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showInkAnnotation="0" codeName="ThisWorkbook" defaultThemeVersion="124226"/>
  <mc:AlternateContent xmlns:mc="http://schemas.openxmlformats.org/markup-compatibility/2006">
    <mc:Choice Requires="x15">
      <x15ac:absPath xmlns:x15ac="http://schemas.microsoft.com/office/spreadsheetml/2010/11/ac" url="/Users/jenniferwilkinson/Dropbox/0 Georgia/0 NWGHA/0 Cave Spring/Application/"/>
    </mc:Choice>
  </mc:AlternateContent>
  <xr:revisionPtr revIDLastSave="0" documentId="8_{D0AC9F24-3DEB-C44E-B1FE-FEFD6AD3289B}"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5400" yWindow="1660" windowWidth="25600" windowHeight="13780" tabRatio="876" firstSheet="2" activeTab="1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1">'Part I-Project Identification'!$A$2:$P$45</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27">'Part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Criteria'!$A$1:$Q$449</definedName>
    <definedName name="_xlnm.Print_Area" localSheetId="13">'Part VIII Scoring Criteria'!$A$1:$P$445</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1">'Part VII-Threshold Criteria'!$1:$4</definedName>
    <definedName name="_xlnm.Print_Titles" localSheetId="13">'Part VIII Scoring Criteria'!$1:$6</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0" i="78" l="1"/>
  <c r="S21" i="78"/>
  <c r="S131" i="78" l="1"/>
  <c r="S130" i="78"/>
  <c r="J142" i="78"/>
  <c r="S111" i="78"/>
  <c r="S109" i="78"/>
  <c r="S108" i="78"/>
  <c r="J91" i="78"/>
  <c r="J90" i="78"/>
  <c r="J70" i="78"/>
  <c r="J380" i="99" s="1"/>
  <c r="G82" i="78"/>
  <c r="J55" i="78"/>
  <c r="J40" i="78"/>
  <c r="J39" i="78"/>
  <c r="J38" i="78"/>
  <c r="J26" i="78"/>
  <c r="O14" i="99"/>
  <c r="P1680" i="99"/>
  <c r="P1914" i="99"/>
  <c r="P1924" i="99"/>
  <c r="AH1551" i="99" s="1"/>
  <c r="O1924" i="99"/>
  <c r="P1918" i="99"/>
  <c r="AG1550" i="99" s="1"/>
  <c r="O1918" i="99"/>
  <c r="L1918" i="99" s="1"/>
  <c r="P1908" i="99"/>
  <c r="O1908" i="99"/>
  <c r="AA1548" i="99" s="1"/>
  <c r="P1895" i="99"/>
  <c r="P1900" i="99"/>
  <c r="P1887" i="99"/>
  <c r="AH1546" i="99" s="1"/>
  <c r="O1887" i="99"/>
  <c r="L1887" i="99" s="1"/>
  <c r="P1868" i="99"/>
  <c r="P1859" i="99"/>
  <c r="O1859" i="99"/>
  <c r="L1859" i="99" s="1"/>
  <c r="P1839" i="99"/>
  <c r="O1839" i="99"/>
  <c r="P1832" i="99"/>
  <c r="AG1544" i="99" s="1"/>
  <c r="P1824" i="99"/>
  <c r="AI1543" i="99" s="1"/>
  <c r="O1824" i="99"/>
  <c r="AA1543" i="99" s="1"/>
  <c r="P1800" i="99"/>
  <c r="AH1541" i="99" s="1"/>
  <c r="P1775" i="99"/>
  <c r="AI1540" i="99" s="1"/>
  <c r="O1775" i="99"/>
  <c r="P1758" i="99"/>
  <c r="P1756" i="99"/>
  <c r="P1752" i="99"/>
  <c r="P1751" i="99"/>
  <c r="P1742" i="99"/>
  <c r="AD1537" i="99" s="1"/>
  <c r="P1732" i="99"/>
  <c r="O1732" i="99"/>
  <c r="L1732" i="99" s="1"/>
  <c r="P1723" i="99"/>
  <c r="P1715" i="99"/>
  <c r="P1695" i="99"/>
  <c r="P1661" i="99"/>
  <c r="O1661" i="99"/>
  <c r="P1659" i="99"/>
  <c r="O1659" i="99"/>
  <c r="P1642" i="99"/>
  <c r="O1642" i="99"/>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Q1697" i="99" s="1"/>
  <c r="O1681" i="99"/>
  <c r="O1674" i="99"/>
  <c r="O1689" i="99"/>
  <c r="O1688" i="99"/>
  <c r="O1718" i="99"/>
  <c r="O1717" i="99"/>
  <c r="Q1717" i="99" s="1"/>
  <c r="O1726" i="99"/>
  <c r="O1725" i="99"/>
  <c r="O1733" i="99"/>
  <c r="O1767" i="99"/>
  <c r="O1766" i="99"/>
  <c r="O1802" i="99"/>
  <c r="O1801" i="99"/>
  <c r="Q1801" i="99" s="1"/>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Q1743" i="99" s="1"/>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A1540"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603" i="99" s="1"/>
  <c r="M1545" i="99"/>
  <c r="L1868" i="99" s="1"/>
  <c r="P1539" i="99"/>
  <c r="P1538" i="99"/>
  <c r="P1533" i="99"/>
  <c r="P1534" i="99"/>
  <c r="P1532" i="99"/>
  <c r="Q1926" i="99"/>
  <c r="L1914" i="99"/>
  <c r="Q1899" i="99"/>
  <c r="Q1898" i="99"/>
  <c r="Q1879" i="99"/>
  <c r="O1874" i="99"/>
  <c r="Q1872" i="99"/>
  <c r="L1870" i="99"/>
  <c r="J1868" i="99"/>
  <c r="M1857" i="99"/>
  <c r="M1853" i="99"/>
  <c r="Q1839" i="99"/>
  <c r="L1839" i="99"/>
  <c r="S1834" i="99"/>
  <c r="R1834" i="99"/>
  <c r="L1834" i="99"/>
  <c r="K1832" i="99"/>
  <c r="K1810" i="99"/>
  <c r="P1808" i="99"/>
  <c r="J1808" i="99"/>
  <c r="Q1802" i="99"/>
  <c r="Q1785" i="99"/>
  <c r="Q1767" i="99"/>
  <c r="Q1766" i="99"/>
  <c r="Q1745" i="99"/>
  <c r="Q1744" i="99"/>
  <c r="M1725" i="99"/>
  <c r="Q1718" i="99"/>
  <c r="K1716" i="99"/>
  <c r="H1715" i="99"/>
  <c r="N1704" i="99"/>
  <c r="L1681" i="99"/>
  <c r="Q1674" i="99"/>
  <c r="L1674" i="99"/>
  <c r="Q1672" i="99"/>
  <c r="Q1671" i="99"/>
  <c r="Q1670" i="99"/>
  <c r="V1667" i="99"/>
  <c r="Q1667" i="99"/>
  <c r="V1666" i="99"/>
  <c r="Q1666" i="99"/>
  <c r="Q1662" i="99"/>
  <c r="Q1642" i="99"/>
  <c r="H1642" i="99"/>
  <c r="M1625"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I1546" i="99"/>
  <c r="AG1546" i="99"/>
  <c r="AF1546" i="99"/>
  <c r="AE1546" i="99"/>
  <c r="AA1546" i="99"/>
  <c r="AD1545" i="99"/>
  <c r="AI1544" i="99"/>
  <c r="AH1544" i="99"/>
  <c r="AF1544" i="99"/>
  <c r="AE1544" i="99"/>
  <c r="AD1544" i="99"/>
  <c r="AG1543" i="99"/>
  <c r="AD1543" i="99"/>
  <c r="AI1542" i="99"/>
  <c r="AH1542" i="99"/>
  <c r="AG1542" i="99"/>
  <c r="AD1542" i="99"/>
  <c r="AI1541" i="99"/>
  <c r="AG1541" i="99"/>
  <c r="AD1541" i="99"/>
  <c r="AT1540" i="99"/>
  <c r="AH1540" i="99"/>
  <c r="AG1540" i="99"/>
  <c r="AF1540" i="99"/>
  <c r="AD1540" i="99"/>
  <c r="AB1540" i="99"/>
  <c r="X1540" i="99"/>
  <c r="P1540" i="99"/>
  <c r="AT1539" i="99"/>
  <c r="P1537" i="99"/>
  <c r="AD1536" i="99"/>
  <c r="P1536" i="99"/>
  <c r="P1535" i="99"/>
  <c r="AD1534" i="99"/>
  <c r="AE1533" i="99"/>
  <c r="AD1533" i="99"/>
  <c r="AD1532" i="99"/>
  <c r="AE1530" i="99"/>
  <c r="AD1530" i="99"/>
  <c r="Y1530" i="99"/>
  <c r="X1530" i="99"/>
  <c r="AD1528" i="99"/>
  <c r="P1527" i="99"/>
  <c r="M1932" i="99" s="1"/>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F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I1171" i="99"/>
  <c r="H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MF662" i="99" s="1"/>
  <c r="P662" i="99"/>
  <c r="O662" i="99"/>
  <c r="N662" i="99"/>
  <c r="K662" i="99"/>
  <c r="I662" i="99"/>
  <c r="H662" i="99"/>
  <c r="G662" i="99"/>
  <c r="F662" i="99"/>
  <c r="E662" i="99"/>
  <c r="D662" i="99"/>
  <c r="C662" i="99"/>
  <c r="B662" i="99"/>
  <c r="Q661" i="99"/>
  <c r="P661" i="99"/>
  <c r="O661" i="99"/>
  <c r="N661" i="99"/>
  <c r="EG661" i="99" s="1"/>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MR652" i="99" s="1"/>
  <c r="B652" i="99"/>
  <c r="Q651" i="99"/>
  <c r="P651" i="99"/>
  <c r="O651" i="99"/>
  <c r="N651" i="99"/>
  <c r="K651" i="99"/>
  <c r="J651" i="99"/>
  <c r="I651" i="99"/>
  <c r="H651" i="99"/>
  <c r="G651" i="99"/>
  <c r="F651" i="99"/>
  <c r="E651" i="99"/>
  <c r="D651" i="99"/>
  <c r="C651" i="99"/>
  <c r="B651" i="99"/>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O662" i="99"/>
  <c r="MN662" i="99"/>
  <c r="MM662" i="99"/>
  <c r="MK662" i="99"/>
  <c r="ID662" i="99"/>
  <c r="IC662" i="99"/>
  <c r="IB662" i="99"/>
  <c r="IA662" i="99"/>
  <c r="HZ662" i="99"/>
  <c r="HF662" i="99"/>
  <c r="DY662" i="99"/>
  <c r="BC662" i="99"/>
  <c r="MT661" i="99"/>
  <c r="MS661" i="99"/>
  <c r="MR661" i="99"/>
  <c r="MQ661" i="99"/>
  <c r="MP661" i="99"/>
  <c r="MH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S652" i="99"/>
  <c r="LE652" i="99"/>
  <c r="KO652" i="99"/>
  <c r="JY652" i="99"/>
  <c r="JI652" i="99"/>
  <c r="IS652" i="99"/>
  <c r="IC652" i="99"/>
  <c r="AC652" i="99"/>
  <c r="MP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S454" i="99" s="1"/>
  <c r="P453" i="99"/>
  <c r="P452" i="99"/>
  <c r="P454" i="99" s="1"/>
  <c r="M453" i="99"/>
  <c r="M452" i="99"/>
  <c r="M454" i="99" s="1"/>
  <c r="J453" i="99"/>
  <c r="J452" i="99"/>
  <c r="J454" i="99" s="1"/>
  <c r="G453" i="99"/>
  <c r="G452" i="99"/>
  <c r="P444" i="99"/>
  <c r="P443" i="99"/>
  <c r="M444" i="99"/>
  <c r="M443" i="99"/>
  <c r="J444" i="99"/>
  <c r="S444" i="99"/>
  <c r="S443" i="99"/>
  <c r="S442" i="99"/>
  <c r="S441" i="99"/>
  <c r="S440" i="99"/>
  <c r="S439" i="99"/>
  <c r="G440" i="99"/>
  <c r="G441" i="99"/>
  <c r="G442" i="99"/>
  <c r="G443" i="99"/>
  <c r="G444" i="99"/>
  <c r="S436" i="99"/>
  <c r="S435" i="99"/>
  <c r="S434" i="99"/>
  <c r="P436" i="99"/>
  <c r="P437" i="99" s="1"/>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P402" i="99" s="1"/>
  <c r="M399" i="99"/>
  <c r="J399" i="99"/>
  <c r="G399" i="99"/>
  <c r="S398" i="99"/>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M351" i="99" s="1"/>
  <c r="J350" i="99"/>
  <c r="J349" i="99"/>
  <c r="J348" i="99"/>
  <c r="G349" i="99"/>
  <c r="G350" i="99"/>
  <c r="S345" i="99"/>
  <c r="S344" i="99"/>
  <c r="S343" i="99"/>
  <c r="S342" i="99"/>
  <c r="S341" i="99"/>
  <c r="S340" i="99"/>
  <c r="S346" i="99" s="1"/>
  <c r="P345" i="99"/>
  <c r="P344" i="99"/>
  <c r="P343" i="99"/>
  <c r="P342" i="99"/>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J445" i="99" s="1"/>
  <c r="G439" i="99"/>
  <c r="G426" i="99"/>
  <c r="G430" i="99" s="1"/>
  <c r="G434" i="99"/>
  <c r="S432" i="99"/>
  <c r="P432" i="99"/>
  <c r="M432" i="99"/>
  <c r="J432" i="99"/>
  <c r="G432" i="99"/>
  <c r="S365" i="99"/>
  <c r="P365" i="99"/>
  <c r="M365" i="99"/>
  <c r="J365" i="99"/>
  <c r="G365" i="99"/>
  <c r="S356" i="99"/>
  <c r="P356" i="99"/>
  <c r="M356" i="99"/>
  <c r="J356" i="99"/>
  <c r="G356" i="99"/>
  <c r="G348" i="99"/>
  <c r="G340" i="99"/>
  <c r="P336" i="99"/>
  <c r="M336" i="99"/>
  <c r="G336" i="99"/>
  <c r="S330" i="99"/>
  <c r="S334" i="99" s="1"/>
  <c r="G330" i="99"/>
  <c r="T489" i="99"/>
  <c r="R475" i="99"/>
  <c r="H475" i="99"/>
  <c r="E401" i="99"/>
  <c r="E400" i="99"/>
  <c r="C468" i="99"/>
  <c r="C453" i="99"/>
  <c r="C444" i="99"/>
  <c r="U444" i="99" s="1"/>
  <c r="C429" i="99"/>
  <c r="U429" i="99" s="1"/>
  <c r="C423" i="99"/>
  <c r="C422" i="99"/>
  <c r="U422" i="99" s="1"/>
  <c r="C412" i="99"/>
  <c r="U412" i="99" s="1"/>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J469" i="99"/>
  <c r="J473" i="99" s="1"/>
  <c r="W461" i="99"/>
  <c r="W460" i="99"/>
  <c r="V454" i="99"/>
  <c r="G454" i="99"/>
  <c r="W451" i="99"/>
  <c r="O451" i="99"/>
  <c r="V449" i="99"/>
  <c r="V445" i="99"/>
  <c r="M445" i="99"/>
  <c r="J441" i="99"/>
  <c r="J440"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A412" i="99"/>
  <c r="W406" i="99"/>
  <c r="O406" i="99"/>
  <c r="V404" i="99"/>
  <c r="V402" i="99"/>
  <c r="W397" i="99"/>
  <c r="O397" i="99"/>
  <c r="V396" i="99"/>
  <c r="W384" i="99"/>
  <c r="O384" i="99"/>
  <c r="V383" i="99"/>
  <c r="U382" i="99"/>
  <c r="A382" i="99"/>
  <c r="W370" i="99"/>
  <c r="O370" i="99"/>
  <c r="W364" i="99"/>
  <c r="O364" i="99"/>
  <c r="W361" i="99"/>
  <c r="W355" i="99"/>
  <c r="O355" i="99"/>
  <c r="V351" i="99"/>
  <c r="F350" i="99"/>
  <c r="D350" i="99"/>
  <c r="F349" i="99"/>
  <c r="D349" i="99"/>
  <c r="F348" i="99"/>
  <c r="D348" i="99"/>
  <c r="D351" i="99" s="1"/>
  <c r="W347" i="99"/>
  <c r="O347" i="99"/>
  <c r="V346" i="99"/>
  <c r="W339" i="99"/>
  <c r="O339" i="99"/>
  <c r="V338" i="99"/>
  <c r="P338" i="99"/>
  <c r="M338" i="99"/>
  <c r="G338" i="99"/>
  <c r="F336" i="99"/>
  <c r="W335" i="99"/>
  <c r="O335" i="99"/>
  <c r="V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1895" i="99" s="1"/>
  <c r="O396" i="72"/>
  <c r="O377" i="72"/>
  <c r="O1868" i="99" s="1"/>
  <c r="R1868" i="99" s="1"/>
  <c r="O341" i="72"/>
  <c r="O1832" i="99" s="1"/>
  <c r="P317" i="72"/>
  <c r="O309" i="72"/>
  <c r="O1800" i="99" s="1"/>
  <c r="O284" i="72"/>
  <c r="O265" i="72"/>
  <c r="O1756" i="99" s="1"/>
  <c r="L1756" i="99" s="1"/>
  <c r="O261" i="72"/>
  <c r="O267" i="72" s="1"/>
  <c r="O1758" i="99" s="1"/>
  <c r="O251" i="72"/>
  <c r="O1742" i="99" s="1"/>
  <c r="O224" i="72"/>
  <c r="O1715" i="99" s="1"/>
  <c r="R1715" i="99" s="1"/>
  <c r="O204" i="72"/>
  <c r="O1695" i="99" s="1"/>
  <c r="O102" i="72"/>
  <c r="O1593" i="99" s="1"/>
  <c r="P1594" i="99" s="1"/>
  <c r="N1449" i="99" l="1"/>
  <c r="L869" i="99"/>
  <c r="J501" i="99"/>
  <c r="E418" i="99" s="1"/>
  <c r="M328" i="99"/>
  <c r="S437" i="99"/>
  <c r="U325" i="99"/>
  <c r="G334" i="99"/>
  <c r="P396" i="99"/>
  <c r="A429" i="99"/>
  <c r="F1521" i="99" s="1"/>
  <c r="M402" i="99"/>
  <c r="A444" i="99"/>
  <c r="P445" i="99"/>
  <c r="S328" i="99"/>
  <c r="U381" i="99"/>
  <c r="G402" i="99"/>
  <c r="M437" i="99"/>
  <c r="G437" i="99"/>
  <c r="S402" i="99"/>
  <c r="A395" i="99"/>
  <c r="P346" i="99"/>
  <c r="P328" i="99"/>
  <c r="S338" i="99"/>
  <c r="J1171" i="99"/>
  <c r="K1171" i="99"/>
  <c r="J351" i="99"/>
  <c r="J437" i="99"/>
  <c r="F865" i="99"/>
  <c r="G346" i="99"/>
  <c r="AB1548" i="99"/>
  <c r="X1536" i="99"/>
  <c r="E1732" i="99"/>
  <c r="S445" i="99"/>
  <c r="S430" i="99"/>
  <c r="S424" i="99"/>
  <c r="X1543" i="99"/>
  <c r="AB1543" i="99"/>
  <c r="F885" i="99"/>
  <c r="L885" i="99"/>
  <c r="L879" i="99"/>
  <c r="S413" i="99"/>
  <c r="O1900" i="99"/>
  <c r="AB1544" i="99"/>
  <c r="Z1544" i="99"/>
  <c r="X1544" i="99"/>
  <c r="AA1544" i="99"/>
  <c r="AC1544" i="99"/>
  <c r="AA1541" i="99"/>
  <c r="AB1541" i="99"/>
  <c r="O1752" i="99"/>
  <c r="Q1758" i="99" s="1"/>
  <c r="X1537" i="99"/>
  <c r="L1742" i="99"/>
  <c r="L1695" i="99"/>
  <c r="Y1533" i="99"/>
  <c r="J1764" i="99"/>
  <c r="L1764" i="99" s="1"/>
  <c r="K1715" i="99"/>
  <c r="L613" i="99"/>
  <c r="K613" i="99"/>
  <c r="AS652" i="99"/>
  <c r="ID652" i="99"/>
  <c r="IT652" i="99"/>
  <c r="JJ652" i="99"/>
  <c r="JZ652" i="99"/>
  <c r="KP652" i="99"/>
  <c r="LF652" i="99"/>
  <c r="MT652" i="99"/>
  <c r="BI652" i="99"/>
  <c r="IE652" i="99"/>
  <c r="IU652" i="99"/>
  <c r="JK652" i="99"/>
  <c r="KA652" i="99"/>
  <c r="KQ652" i="99"/>
  <c r="LU652" i="99"/>
  <c r="BY652" i="99"/>
  <c r="IF652" i="99"/>
  <c r="IV652" i="99"/>
  <c r="JL652" i="99"/>
  <c r="KB652" i="99"/>
  <c r="KR652" i="99"/>
  <c r="MF652" i="99"/>
  <c r="CO652" i="99"/>
  <c r="IG652" i="99"/>
  <c r="IW652" i="99"/>
  <c r="JM652" i="99"/>
  <c r="KC652" i="99"/>
  <c r="KS652" i="99"/>
  <c r="MG652" i="99"/>
  <c r="DE652" i="99"/>
  <c r="IH652" i="99"/>
  <c r="IX652" i="99"/>
  <c r="IX687" i="99" s="1"/>
  <c r="O781" i="99" s="1"/>
  <c r="JN652" i="99"/>
  <c r="KD652" i="99"/>
  <c r="KT652" i="99"/>
  <c r="MH652" i="99"/>
  <c r="DU652" i="99"/>
  <c r="II652" i="99"/>
  <c r="IY652" i="99"/>
  <c r="JO652" i="99"/>
  <c r="KE652" i="99"/>
  <c r="KU652" i="99"/>
  <c r="MI652" i="99"/>
  <c r="EK652" i="99"/>
  <c r="IJ652" i="99"/>
  <c r="IZ652" i="99"/>
  <c r="JP652" i="99"/>
  <c r="KF652" i="99"/>
  <c r="KF687" i="99" s="1"/>
  <c r="N767" i="99" s="1"/>
  <c r="KV652" i="99"/>
  <c r="MJ652" i="99"/>
  <c r="FA652" i="99"/>
  <c r="IK652" i="99"/>
  <c r="JA652" i="99"/>
  <c r="JQ652" i="99"/>
  <c r="KG652" i="99"/>
  <c r="KW652" i="99"/>
  <c r="MK652" i="99"/>
  <c r="FQ652" i="99"/>
  <c r="IL652" i="99"/>
  <c r="JB652" i="99"/>
  <c r="JR652" i="99"/>
  <c r="KH652" i="99"/>
  <c r="KX652" i="99"/>
  <c r="KX687" i="99" s="1"/>
  <c r="L771" i="99" s="1"/>
  <c r="ML652" i="99"/>
  <c r="GG652" i="99"/>
  <c r="IM652" i="99"/>
  <c r="JC652" i="99"/>
  <c r="JS652" i="99"/>
  <c r="KI652" i="99"/>
  <c r="KY652" i="99"/>
  <c r="MM652" i="99"/>
  <c r="GW652" i="99"/>
  <c r="IN652" i="99"/>
  <c r="JD652" i="99"/>
  <c r="JT652" i="99"/>
  <c r="KJ652" i="99"/>
  <c r="KZ652" i="99"/>
  <c r="MN652" i="99"/>
  <c r="HM652" i="99"/>
  <c r="KK652" i="99"/>
  <c r="KK687" i="99" s="1"/>
  <c r="N769" i="99" s="1"/>
  <c r="LA652" i="99"/>
  <c r="MO652" i="99"/>
  <c r="JU652" i="99"/>
  <c r="HZ652" i="99"/>
  <c r="IP652" i="99"/>
  <c r="JF652" i="99"/>
  <c r="JV652" i="99"/>
  <c r="KL652" i="99"/>
  <c r="LB652" i="99"/>
  <c r="MP652" i="99"/>
  <c r="JE652" i="99"/>
  <c r="IA652" i="99"/>
  <c r="IQ652" i="99"/>
  <c r="JG652" i="99"/>
  <c r="JW652" i="99"/>
  <c r="KM652" i="99"/>
  <c r="LC652" i="99"/>
  <c r="MQ652" i="99"/>
  <c r="IO652" i="99"/>
  <c r="IB652" i="99"/>
  <c r="IR652" i="99"/>
  <c r="JH652" i="99"/>
  <c r="JX652" i="99"/>
  <c r="KN652" i="99"/>
  <c r="LD652" i="99"/>
  <c r="M499" i="99"/>
  <c r="L293" i="99"/>
  <c r="N293" i="99" s="1"/>
  <c r="L294" i="99"/>
  <c r="N294" i="99" s="1"/>
  <c r="L275" i="99"/>
  <c r="MO661" i="99"/>
  <c r="LY652" i="99"/>
  <c r="MO651" i="99"/>
  <c r="MO687" i="99" s="1"/>
  <c r="IN662" i="99"/>
  <c r="JD662" i="99"/>
  <c r="JT662" i="99"/>
  <c r="KM662" i="99"/>
  <c r="MG662" i="99"/>
  <c r="IP662" i="99"/>
  <c r="JF662" i="99"/>
  <c r="JV662" i="99"/>
  <c r="KO662" i="99"/>
  <c r="MJ662" i="99"/>
  <c r="IQ662" i="99"/>
  <c r="JG662" i="99"/>
  <c r="JW662" i="99"/>
  <c r="KQ662" i="99"/>
  <c r="KN662" i="99"/>
  <c r="IR662" i="99"/>
  <c r="JH662" i="99"/>
  <c r="JX662" i="99"/>
  <c r="KR662" i="99"/>
  <c r="KR687" i="99" s="1"/>
  <c r="K772" i="99" s="1"/>
  <c r="IS662" i="99"/>
  <c r="JI662" i="99"/>
  <c r="JY662" i="99"/>
  <c r="KS662" i="99"/>
  <c r="IT662" i="99"/>
  <c r="JJ662" i="99"/>
  <c r="JZ662" i="99"/>
  <c r="KU662" i="99"/>
  <c r="IE662" i="99"/>
  <c r="IU662" i="99"/>
  <c r="JK662" i="99"/>
  <c r="KA662" i="99"/>
  <c r="KV662" i="99"/>
  <c r="MQ662" i="99"/>
  <c r="IF662" i="99"/>
  <c r="IV662" i="99"/>
  <c r="IV687" i="99" s="1"/>
  <c r="M781" i="99" s="1"/>
  <c r="JL662" i="99"/>
  <c r="KB662" i="99"/>
  <c r="KW662" i="99"/>
  <c r="MR662" i="99"/>
  <c r="JU662" i="99"/>
  <c r="IG662" i="99"/>
  <c r="IW662" i="99"/>
  <c r="JM662" i="99"/>
  <c r="KC662" i="99"/>
  <c r="KY662" i="99"/>
  <c r="MS662" i="99"/>
  <c r="MI662" i="99"/>
  <c r="IH662" i="99"/>
  <c r="IX662" i="99"/>
  <c r="JN662" i="99"/>
  <c r="KE662" i="99"/>
  <c r="KZ662" i="99"/>
  <c r="II662" i="99"/>
  <c r="IY662" i="99"/>
  <c r="JO662" i="99"/>
  <c r="KF662" i="99"/>
  <c r="LA662" i="99"/>
  <c r="JE662" i="99"/>
  <c r="IJ662" i="99"/>
  <c r="IZ662" i="99"/>
  <c r="JP662" i="99"/>
  <c r="KG662" i="99"/>
  <c r="LC662" i="99"/>
  <c r="IO662" i="99"/>
  <c r="IK662" i="99"/>
  <c r="JA662" i="99"/>
  <c r="JQ662" i="99"/>
  <c r="JQ687" i="99" s="1"/>
  <c r="N777" i="99" s="1"/>
  <c r="N788" i="99" s="1"/>
  <c r="KI662" i="99"/>
  <c r="LD662" i="99"/>
  <c r="IL662" i="99"/>
  <c r="JB662" i="99"/>
  <c r="JR662" i="99"/>
  <c r="KJ662" i="99"/>
  <c r="LE662" i="99"/>
  <c r="IM662" i="99"/>
  <c r="JC662" i="99"/>
  <c r="JS662" i="99"/>
  <c r="KK662" i="99"/>
  <c r="MG661" i="99"/>
  <c r="MI661" i="99"/>
  <c r="MJ661" i="99"/>
  <c r="MK661" i="99"/>
  <c r="ML661" i="99"/>
  <c r="MM661" i="99"/>
  <c r="MN661" i="99"/>
  <c r="EH661" i="99"/>
  <c r="FW661" i="99"/>
  <c r="FX661" i="99"/>
  <c r="FY661" i="99"/>
  <c r="FZ661" i="99"/>
  <c r="GA661" i="99"/>
  <c r="GB661" i="99"/>
  <c r="GC661" i="99"/>
  <c r="GD661" i="99"/>
  <c r="GE661" i="99"/>
  <c r="GF661" i="99"/>
  <c r="CE661" i="99"/>
  <c r="ED661" i="99"/>
  <c r="EE661" i="99"/>
  <c r="EF661" i="99"/>
  <c r="E688" i="99"/>
  <c r="B688" i="99"/>
  <c r="L652" i="99"/>
  <c r="IA651" i="99"/>
  <c r="MQ651" i="99"/>
  <c r="MR651" i="99"/>
  <c r="E687" i="99"/>
  <c r="MS651" i="99"/>
  <c r="MT651" i="99"/>
  <c r="MF651" i="99"/>
  <c r="MG651" i="99"/>
  <c r="MH651" i="99"/>
  <c r="MI651" i="99"/>
  <c r="MJ651" i="99"/>
  <c r="MK651" i="99"/>
  <c r="A651" i="99"/>
  <c r="ML651" i="99"/>
  <c r="MM651" i="99"/>
  <c r="MN651" i="99"/>
  <c r="GK651" i="99"/>
  <c r="A437" i="99"/>
  <c r="Q1509" i="99" s="1"/>
  <c r="J492" i="99"/>
  <c r="G445" i="99"/>
  <c r="G413" i="99"/>
  <c r="J402" i="99"/>
  <c r="J396" i="99"/>
  <c r="F347" i="99"/>
  <c r="G351" i="99"/>
  <c r="C359" i="99" s="1"/>
  <c r="B368" i="99" s="1"/>
  <c r="J346" i="99"/>
  <c r="J328"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LB687" i="99" s="1"/>
  <c r="K773" i="99" s="1"/>
  <c r="KX662" i="99"/>
  <c r="KT662" i="99"/>
  <c r="KP662" i="99"/>
  <c r="KL662" i="99"/>
  <c r="KL687" i="99" s="1"/>
  <c r="O769" i="99" s="1"/>
  <c r="KH662" i="99"/>
  <c r="KD662" i="99"/>
  <c r="MT663" i="99"/>
  <c r="MP663" i="99"/>
  <c r="ML663" i="99"/>
  <c r="MH663" i="99"/>
  <c r="MD663" i="99"/>
  <c r="LZ663" i="99"/>
  <c r="LV663" i="99"/>
  <c r="LR663" i="99"/>
  <c r="LN663" i="99"/>
  <c r="LF663" i="99"/>
  <c r="LB663" i="99"/>
  <c r="KX663" i="99"/>
  <c r="KT663" i="99"/>
  <c r="KP663" i="99"/>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K687" i="99" s="1"/>
  <c r="MF664" i="99"/>
  <c r="LE664" i="99"/>
  <c r="LE687" i="99" s="1"/>
  <c r="N773" i="99" s="1"/>
  <c r="KZ664" i="99"/>
  <c r="KZ687" i="99" s="1"/>
  <c r="N771" i="99" s="1"/>
  <c r="KT664" i="99"/>
  <c r="KO664" i="99"/>
  <c r="KJ664" i="99"/>
  <c r="KD664" i="99"/>
  <c r="JY664" i="99"/>
  <c r="JY687" i="99" s="1"/>
  <c r="L768" i="99" s="1"/>
  <c r="JT664" i="99"/>
  <c r="JN664" i="99"/>
  <c r="JN687" i="99" s="1"/>
  <c r="K777" i="99" s="1"/>
  <c r="JI664" i="99"/>
  <c r="JD664" i="99"/>
  <c r="JD687" i="99" s="1"/>
  <c r="K779" i="99" s="1"/>
  <c r="IX664" i="99"/>
  <c r="IS664" i="99"/>
  <c r="IS687" i="99" s="1"/>
  <c r="O780" i="99" s="1"/>
  <c r="IN664" i="99"/>
  <c r="IN687" i="99" s="1"/>
  <c r="O775" i="99" s="1"/>
  <c r="IH664" i="99"/>
  <c r="IC664" i="99"/>
  <c r="LD664" i="99"/>
  <c r="LD687" i="99" s="1"/>
  <c r="M773" i="99" s="1"/>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Q687" i="99" s="1"/>
  <c r="MM664" i="99"/>
  <c r="MM687" i="99" s="1"/>
  <c r="MI664" i="99"/>
  <c r="ME664" i="99"/>
  <c r="MA664" i="99"/>
  <c r="LW664" i="99"/>
  <c r="LS664" i="99"/>
  <c r="LO664" i="99"/>
  <c r="LC664" i="99"/>
  <c r="LC687" i="99" s="1"/>
  <c r="L773" i="99" s="1"/>
  <c r="KY664" i="99"/>
  <c r="KY687" i="99" s="1"/>
  <c r="M771" i="99" s="1"/>
  <c r="KU664" i="99"/>
  <c r="KU687" i="99" s="1"/>
  <c r="N772" i="99" s="1"/>
  <c r="KQ664" i="99"/>
  <c r="KQ687" i="99" s="1"/>
  <c r="O770" i="99" s="1"/>
  <c r="KM664" i="99"/>
  <c r="KI664" i="99"/>
  <c r="KI687" i="99" s="1"/>
  <c r="L769" i="99" s="1"/>
  <c r="KE664" i="99"/>
  <c r="KA664" i="99"/>
  <c r="KA687" i="99" s="1"/>
  <c r="N768" i="99" s="1"/>
  <c r="JW664" i="99"/>
  <c r="JS664" i="99"/>
  <c r="JO664" i="99"/>
  <c r="JK664" i="99"/>
  <c r="JG664" i="99"/>
  <c r="JG687" i="99" s="1"/>
  <c r="N779" i="99" s="1"/>
  <c r="JC664" i="99"/>
  <c r="JC687" i="99" s="1"/>
  <c r="O778" i="99" s="1"/>
  <c r="IY664" i="99"/>
  <c r="IU664" i="99"/>
  <c r="IQ664" i="99"/>
  <c r="IQ687" i="99" s="1"/>
  <c r="M780" i="99" s="1"/>
  <c r="IM664" i="99"/>
  <c r="IM687" i="99" s="1"/>
  <c r="N775" i="99" s="1"/>
  <c r="II664" i="99"/>
  <c r="IE664" i="99"/>
  <c r="IE687" i="99" s="1"/>
  <c r="K774" i="99" s="1"/>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JF687" i="99"/>
  <c r="M779" i="99" s="1"/>
  <c r="JJ687" i="99"/>
  <c r="L776" i="99" s="1"/>
  <c r="L787" i="99" s="1"/>
  <c r="JV687" i="99"/>
  <c r="N766" i="99" s="1"/>
  <c r="JL687" i="99"/>
  <c r="N776" i="99" s="1"/>
  <c r="N787" i="99" s="1"/>
  <c r="JK687" i="99"/>
  <c r="M776" i="99" s="1"/>
  <c r="M787" i="99" s="1"/>
  <c r="MI687" i="99"/>
  <c r="JB687" i="99"/>
  <c r="N778" i="99" s="1"/>
  <c r="JR687" i="99"/>
  <c r="O777" i="99" s="1"/>
  <c r="O788" i="99" s="1"/>
  <c r="KH687" i="99"/>
  <c r="K769" i="99" s="1"/>
  <c r="MT687" i="99"/>
  <c r="IY687" i="99"/>
  <c r="K778" i="99" s="1"/>
  <c r="JO687" i="99"/>
  <c r="L777" i="99" s="1"/>
  <c r="L788" i="99" s="1"/>
  <c r="IB687" i="99"/>
  <c r="IJ687" i="99"/>
  <c r="K775" i="99" s="1"/>
  <c r="IR687" i="99"/>
  <c r="N780" i="99" s="1"/>
  <c r="IZ687" i="99"/>
  <c r="L778" i="99" s="1"/>
  <c r="JH687" i="99"/>
  <c r="O779" i="99" s="1"/>
  <c r="JT687" i="99"/>
  <c r="L766" i="99" s="1"/>
  <c r="JX687" i="99"/>
  <c r="K768" i="99" s="1"/>
  <c r="KJ687" i="99"/>
  <c r="M769" i="99" s="1"/>
  <c r="KN687" i="99"/>
  <c r="L770" i="99" s="1"/>
  <c r="KV687" i="99"/>
  <c r="O772" i="99" s="1"/>
  <c r="MJ687" i="99"/>
  <c r="MR687" i="99"/>
  <c r="IC687" i="99"/>
  <c r="IG687" i="99"/>
  <c r="M774" i="99" s="1"/>
  <c r="IK687" i="99"/>
  <c r="L775" i="99" s="1"/>
  <c r="IO687" i="99"/>
  <c r="K780" i="99" s="1"/>
  <c r="IW687" i="99"/>
  <c r="N781" i="99" s="1"/>
  <c r="JA687" i="99"/>
  <c r="M778" i="99" s="1"/>
  <c r="JE687" i="99"/>
  <c r="L779" i="99" s="1"/>
  <c r="JM687" i="99"/>
  <c r="O776" i="99" s="1"/>
  <c r="O787" i="99" s="1"/>
  <c r="JU687" i="99"/>
  <c r="M766" i="99" s="1"/>
  <c r="KC687" i="99"/>
  <c r="K767" i="99" s="1"/>
  <c r="KG687" i="99"/>
  <c r="O767" i="99" s="1"/>
  <c r="KO687" i="99"/>
  <c r="M770" i="99" s="1"/>
  <c r="KS687" i="99"/>
  <c r="L772" i="99" s="1"/>
  <c r="KW687" i="99"/>
  <c r="K771" i="99" s="1"/>
  <c r="LA687" i="99"/>
  <c r="O771" i="99" s="1"/>
  <c r="MS687" i="99"/>
  <c r="J613" i="99"/>
  <c r="M613" i="99"/>
  <c r="U453" i="99"/>
  <c r="G424" i="99"/>
  <c r="A423" i="99"/>
  <c r="J418" i="99"/>
  <c r="G396" i="99"/>
  <c r="S396" i="99"/>
  <c r="M383" i="99"/>
  <c r="M456" i="99" s="1"/>
  <c r="M472" i="99" s="1"/>
  <c r="M474" i="99" s="1"/>
  <c r="M476" i="99" s="1"/>
  <c r="J383" i="99"/>
  <c r="G383" i="99"/>
  <c r="S383" i="99"/>
  <c r="P383" i="99"/>
  <c r="P456" i="99"/>
  <c r="P472" i="99" s="1"/>
  <c r="P474" i="99" s="1"/>
  <c r="P476" i="99" s="1"/>
  <c r="E350" i="99"/>
  <c r="E349" i="99"/>
  <c r="A453" i="99"/>
  <c r="A422" i="99"/>
  <c r="U327" i="99"/>
  <c r="AD437" i="99"/>
  <c r="E348" i="99"/>
  <c r="AF418" i="99"/>
  <c r="I302" i="99"/>
  <c r="S456" i="99" l="1"/>
  <c r="G353" i="99"/>
  <c r="J456" i="99"/>
  <c r="J472" i="99" s="1"/>
  <c r="J474" i="99" s="1"/>
  <c r="J476" i="99" s="1"/>
  <c r="JP687" i="99"/>
  <c r="M777" i="99" s="1"/>
  <c r="M788" i="99" s="1"/>
  <c r="MH687" i="99"/>
  <c r="IH687" i="99"/>
  <c r="N774" i="99" s="1"/>
  <c r="N785" i="99" s="1"/>
  <c r="KB687" i="99"/>
  <c r="O768" i="99" s="1"/>
  <c r="P768" i="99" s="1"/>
  <c r="ML687" i="99"/>
  <c r="KM687" i="99"/>
  <c r="K770" i="99" s="1"/>
  <c r="JS687" i="99"/>
  <c r="K766" i="99" s="1"/>
  <c r="K789" i="99" s="1"/>
  <c r="KD687" i="99"/>
  <c r="L767" i="99" s="1"/>
  <c r="L790" i="99" s="1"/>
  <c r="MF687" i="99"/>
  <c r="IU687" i="99"/>
  <c r="L781" i="99" s="1"/>
  <c r="L786" i="99" s="1"/>
  <c r="JW687" i="99"/>
  <c r="O766" i="99" s="1"/>
  <c r="O789" i="99" s="1"/>
  <c r="MG687" i="99"/>
  <c r="EJ687" i="99"/>
  <c r="L795" i="99" s="1"/>
  <c r="JI687" i="99"/>
  <c r="K776" i="99" s="1"/>
  <c r="P776" i="99" s="1"/>
  <c r="KE687" i="99"/>
  <c r="M767" i="99" s="1"/>
  <c r="M790" i="99" s="1"/>
  <c r="II687" i="99"/>
  <c r="O774" i="99" s="1"/>
  <c r="KP687" i="99"/>
  <c r="N770" i="99" s="1"/>
  <c r="MP687" i="99"/>
  <c r="P879" i="99" s="1"/>
  <c r="LF687" i="99"/>
  <c r="O773" i="99" s="1"/>
  <c r="P773" i="99" s="1"/>
  <c r="KT687" i="99"/>
  <c r="M772" i="99" s="1"/>
  <c r="LM687" i="99"/>
  <c r="GA687" i="99"/>
  <c r="A687" i="99"/>
  <c r="A644" i="99" s="1"/>
  <c r="GC687" i="99"/>
  <c r="L805" i="99" s="1"/>
  <c r="AI687" i="99"/>
  <c r="L696" i="99" s="1"/>
  <c r="MN687" i="99"/>
  <c r="MA687" i="99"/>
  <c r="HV687" i="99"/>
  <c r="BF687" i="99"/>
  <c r="O700" i="99" s="1"/>
  <c r="CG687" i="99"/>
  <c r="L733" i="99" s="1"/>
  <c r="F1522" i="99"/>
  <c r="HR687" i="99"/>
  <c r="M758" i="99" s="1"/>
  <c r="FB687" i="99"/>
  <c r="O798" i="99" s="1"/>
  <c r="BA687" i="99"/>
  <c r="O699" i="99" s="1"/>
  <c r="G456" i="99"/>
  <c r="J486" i="99" s="1"/>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N786" i="99"/>
  <c r="L791" i="99"/>
  <c r="K791" i="99"/>
  <c r="P779" i="99"/>
  <c r="P775" i="99"/>
  <c r="K786" i="99"/>
  <c r="K785" i="99"/>
  <c r="N791" i="99"/>
  <c r="O791" i="99"/>
  <c r="P777" i="99"/>
  <c r="K788" i="99"/>
  <c r="P788" i="99" s="1"/>
  <c r="O786" i="99"/>
  <c r="M789" i="99"/>
  <c r="L789" i="99"/>
  <c r="P769" i="99"/>
  <c r="K792" i="99"/>
  <c r="K763" i="99"/>
  <c r="K790" i="99"/>
  <c r="N790" i="99"/>
  <c r="N763" i="99"/>
  <c r="P771" i="99"/>
  <c r="O763" i="99"/>
  <c r="O790" i="99"/>
  <c r="M792" i="99"/>
  <c r="P778" i="99"/>
  <c r="F365" i="99"/>
  <c r="E351" i="99"/>
  <c r="G347" i="99" s="1"/>
  <c r="K32" i="66"/>
  <c r="H1094" i="99" s="1"/>
  <c r="P774" i="99" l="1"/>
  <c r="P770" i="99"/>
  <c r="Q878" i="99"/>
  <c r="K765" i="99"/>
  <c r="L765" i="99"/>
  <c r="K787" i="99"/>
  <c r="P787" i="99" s="1"/>
  <c r="Q877" i="99"/>
  <c r="P781" i="99"/>
  <c r="L763" i="99"/>
  <c r="P766" i="99"/>
  <c r="P877" i="99"/>
  <c r="P767" i="99"/>
  <c r="N789" i="99"/>
  <c r="P789" i="99" s="1"/>
  <c r="M763" i="99"/>
  <c r="N765" i="99"/>
  <c r="O785" i="99"/>
  <c r="P785" i="99" s="1"/>
  <c r="M765" i="99"/>
  <c r="P772" i="99"/>
  <c r="M791" i="99"/>
  <c r="P791" i="99" s="1"/>
  <c r="Q879" i="99"/>
  <c r="O765" i="99"/>
  <c r="P878" i="99"/>
  <c r="O792" i="99"/>
  <c r="P792" i="99" s="1"/>
  <c r="L753" i="99"/>
  <c r="O756" i="99"/>
  <c r="N753" i="99"/>
  <c r="P735" i="99"/>
  <c r="P696" i="99"/>
  <c r="P744" i="99"/>
  <c r="K753" i="99"/>
  <c r="O738" i="99"/>
  <c r="M753" i="99"/>
  <c r="P731" i="99"/>
  <c r="O759" i="99"/>
  <c r="P736" i="99"/>
  <c r="P751" i="99"/>
  <c r="P803" i="99"/>
  <c r="K759" i="99"/>
  <c r="L701" i="99"/>
  <c r="L703" i="99" s="1"/>
  <c r="L705" i="99" s="1"/>
  <c r="L717" i="99" s="1"/>
  <c r="O749" i="99"/>
  <c r="P752" i="99"/>
  <c r="M738" i="99"/>
  <c r="P700" i="99"/>
  <c r="Q801" i="99" s="1"/>
  <c r="P702" i="99"/>
  <c r="P758" i="99"/>
  <c r="P795" i="99"/>
  <c r="P798" i="99"/>
  <c r="N756" i="99"/>
  <c r="M759" i="99"/>
  <c r="P745" i="99"/>
  <c r="N759" i="99"/>
  <c r="P797" i="99"/>
  <c r="P699" i="99"/>
  <c r="Q800" i="99" s="1"/>
  <c r="O802" i="99"/>
  <c r="O804" i="99" s="1"/>
  <c r="O806" i="99" s="1"/>
  <c r="P805" i="99"/>
  <c r="P698" i="99"/>
  <c r="Q799" i="99" s="1"/>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P747" i="99"/>
  <c r="P734" i="99"/>
  <c r="P786" i="99"/>
  <c r="P790" i="99"/>
  <c r="E241" i="72"/>
  <c r="P152" i="72"/>
  <c r="P763" i="99" l="1"/>
  <c r="P881" i="99" s="1"/>
  <c r="P765" i="99"/>
  <c r="N809" i="99"/>
  <c r="Q797" i="99"/>
  <c r="L720" i="99"/>
  <c r="L714" i="99"/>
  <c r="L708" i="99"/>
  <c r="Q798" i="99"/>
  <c r="L726" i="99"/>
  <c r="L723" i="99"/>
  <c r="P759" i="99"/>
  <c r="O726" i="99"/>
  <c r="O711" i="99"/>
  <c r="P753" i="99"/>
  <c r="N717" i="99"/>
  <c r="O720" i="99"/>
  <c r="O717" i="99"/>
  <c r="O809" i="99"/>
  <c r="Q803" i="99"/>
  <c r="P701" i="99"/>
  <c r="M720" i="99"/>
  <c r="N714" i="99"/>
  <c r="L711" i="99"/>
  <c r="M711" i="99"/>
  <c r="M726" i="99"/>
  <c r="K703" i="99"/>
  <c r="K705" i="99" s="1"/>
  <c r="P738" i="99"/>
  <c r="L809" i="99"/>
  <c r="M717" i="99"/>
  <c r="M809" i="99"/>
  <c r="N723" i="99"/>
  <c r="M708" i="99"/>
  <c r="O714" i="99"/>
  <c r="O723" i="99"/>
  <c r="N711" i="99"/>
  <c r="P756" i="99"/>
  <c r="M723" i="99"/>
  <c r="P749" i="99"/>
  <c r="G909" i="99"/>
  <c r="N708" i="99"/>
  <c r="P802" i="99"/>
  <c r="N720" i="99"/>
  <c r="N726" i="99"/>
  <c r="K806" i="99"/>
  <c r="P806" i="99" s="1"/>
  <c r="K813" i="99" s="1"/>
  <c r="P804" i="99"/>
  <c r="Q294" i="72"/>
  <c r="Q297" i="72"/>
  <c r="Q93" i="72"/>
  <c r="Q311" i="72"/>
  <c r="Q310" i="72"/>
  <c r="P880" i="99" l="1"/>
  <c r="Q880" i="99"/>
  <c r="Q881" i="99" s="1"/>
  <c r="P703"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I1539" i="99"/>
  <c r="AH1539" i="99"/>
  <c r="AG1539" i="99"/>
  <c r="AG1553" i="99" s="1"/>
  <c r="AE1539" i="99"/>
  <c r="AD1539" i="99"/>
  <c r="K1619" i="99"/>
  <c r="I161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Y1529" i="99" l="1"/>
  <c r="L1604" i="99"/>
  <c r="X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J37" i="99"/>
  <c r="A3" i="99"/>
  <c r="A244" i="99"/>
  <c r="A508" i="99"/>
  <c r="P50" i="98"/>
  <c r="G74" i="98" s="1"/>
  <c r="L74" i="98" s="1"/>
  <c r="A2" i="75"/>
  <c r="A2" i="68"/>
  <c r="S2" i="68" s="1"/>
  <c r="A2" i="78"/>
  <c r="W2" i="78" s="1"/>
  <c r="A1" i="77"/>
  <c r="A1" i="72"/>
  <c r="A1" i="76"/>
  <c r="A1" i="73"/>
  <c r="A2" i="74"/>
  <c r="G60" i="98"/>
  <c r="L60" i="98" s="1"/>
  <c r="G51" i="98"/>
  <c r="L51"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665" i="99"/>
  <c r="L665" i="99" s="1"/>
  <c r="M665" i="99" s="1"/>
  <c r="J664" i="99"/>
  <c r="L664" i="99" s="1"/>
  <c r="M664" i="99" s="1"/>
  <c r="J25" i="75"/>
  <c r="J663" i="99" s="1"/>
  <c r="L663" i="99" s="1"/>
  <c r="M663" i="99" s="1"/>
  <c r="J662" i="99"/>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K91" i="74"/>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H76" i="74"/>
  <c r="H971" i="99" s="1"/>
  <c r="I76" i="74"/>
  <c r="I971" i="99" s="1"/>
  <c r="J76" i="74"/>
  <c r="J971" i="99" s="1"/>
  <c r="K76" i="74"/>
  <c r="K971" i="99" s="1"/>
  <c r="H26" i="74" l="1"/>
  <c r="H921" i="99" s="1"/>
  <c r="B120" i="74"/>
  <c r="B1015" i="99" s="1"/>
  <c r="J58" i="74"/>
  <c r="J953" i="99" s="1"/>
  <c r="I26" i="74"/>
  <c r="I921" i="99" s="1"/>
  <c r="B26" i="74"/>
  <c r="B921" i="99" s="1"/>
  <c r="P287" i="99"/>
  <c r="D56" i="86"/>
  <c r="G73" i="98"/>
  <c r="L73" i="98" s="1"/>
  <c r="G57" i="98"/>
  <c r="L57" i="98" s="1"/>
  <c r="G72" i="98"/>
  <c r="L72" i="98" s="1"/>
  <c r="G56" i="98"/>
  <c r="L56" i="98" s="1"/>
  <c r="G49" i="98"/>
  <c r="L49" i="98" s="1"/>
  <c r="G67" i="98"/>
  <c r="L67" i="98" s="1"/>
  <c r="G65" i="98"/>
  <c r="L65" i="98" s="1"/>
  <c r="G50" i="98"/>
  <c r="L50" i="98" s="1"/>
  <c r="G70" i="98"/>
  <c r="L70" i="98" s="1"/>
  <c r="G52" i="98"/>
  <c r="L52" i="98" s="1"/>
  <c r="G63" i="98"/>
  <c r="L63" i="98" s="1"/>
  <c r="G64" i="98"/>
  <c r="L64" i="98" s="1"/>
  <c r="G58" i="98"/>
  <c r="L58" i="98" s="1"/>
  <c r="G66" i="98"/>
  <c r="L66" i="98" s="1"/>
  <c r="G59" i="98"/>
  <c r="L59" i="98" s="1"/>
  <c r="G71" i="98"/>
  <c r="L71" i="98" s="1"/>
  <c r="N39" i="99"/>
  <c r="Q868" i="99"/>
  <c r="P642" i="99"/>
  <c r="O39" i="99"/>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658" i="99"/>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I69" i="74"/>
  <c r="J99" i="74"/>
  <c r="B16" i="87"/>
  <c r="F99" i="74"/>
  <c r="C128" i="74"/>
  <c r="E41" i="87"/>
  <c r="E21" i="87"/>
  <c r="F84" i="92"/>
  <c r="G36" i="74"/>
  <c r="H68" i="74"/>
  <c r="I36" i="74"/>
  <c r="D36" i="74"/>
  <c r="C68" i="74"/>
  <c r="E130" i="74"/>
  <c r="B10" i="87"/>
  <c r="B17" i="87"/>
  <c r="D99" i="74"/>
  <c r="B68" i="74"/>
  <c r="H36" i="74"/>
  <c r="G68" i="74"/>
  <c r="B42" i="87"/>
  <c r="H99" i="74"/>
  <c r="E39" i="87"/>
  <c r="B40" i="87"/>
  <c r="B28" i="87"/>
  <c r="B129" i="74"/>
  <c r="J68" i="74"/>
  <c r="E99" i="74"/>
  <c r="F69" i="74"/>
  <c r="D68" i="74"/>
  <c r="E1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C8" i="90"/>
  <c r="B5" i="92" s="1"/>
  <c r="J659" i="99"/>
  <c r="L659" i="99" s="1"/>
  <c r="M659" i="99" s="1"/>
  <c r="F40" i="78"/>
  <c r="D32" i="74"/>
  <c r="F38" i="78"/>
  <c r="J661" i="99"/>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12" i="87" l="1"/>
  <c r="K65" i="82"/>
  <c r="B27" i="87"/>
  <c r="B43" i="87"/>
  <c r="B33" i="87"/>
  <c r="B29" i="87"/>
  <c r="B959" i="99"/>
  <c r="H927" i="99"/>
  <c r="I927" i="99"/>
  <c r="K927" i="99"/>
  <c r="D959" i="99"/>
  <c r="F927" i="99"/>
  <c r="D927" i="99"/>
  <c r="C927" i="99"/>
  <c r="F959" i="99"/>
  <c r="E959" i="99"/>
  <c r="B927" i="99"/>
  <c r="B44" i="74"/>
  <c r="B939" i="99" s="1"/>
  <c r="E927" i="99"/>
  <c r="J927" i="99"/>
  <c r="G927" i="99"/>
  <c r="C959" i="99"/>
  <c r="B35" i="87"/>
  <c r="B44" i="87"/>
  <c r="B20" i="87"/>
  <c r="B39" i="87"/>
  <c r="B22" i="87"/>
  <c r="B26" i="87"/>
  <c r="B14" i="87"/>
  <c r="B13" i="87"/>
  <c r="B31" i="87"/>
  <c r="B36" i="87"/>
  <c r="B11" i="87"/>
  <c r="B30" i="87"/>
  <c r="B25" i="87"/>
  <c r="B37" i="87"/>
  <c r="B32" i="87"/>
  <c r="B41" i="87"/>
  <c r="C40" i="74"/>
  <c r="J985" i="99"/>
  <c r="B23" i="87"/>
  <c r="K921" i="99"/>
  <c r="B34" i="87"/>
  <c r="M687" i="99"/>
  <c r="M688" i="99" s="1"/>
  <c r="L34" i="68"/>
  <c r="L276" i="99" s="1"/>
  <c r="L277" i="99" s="1"/>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R916" i="99" l="1"/>
  <c r="R919" i="99"/>
  <c r="R927" i="99"/>
  <c r="R925" i="99"/>
  <c r="R920" i="99"/>
  <c r="R930" i="99"/>
  <c r="R921" i="99"/>
  <c r="R933" i="99"/>
  <c r="R922" i="99"/>
  <c r="R923" i="99"/>
  <c r="R924" i="99"/>
  <c r="R918" i="99"/>
  <c r="R929" i="99"/>
  <c r="R935" i="99"/>
  <c r="R931" i="99"/>
  <c r="R932" i="99"/>
  <c r="R928" i="99"/>
  <c r="R934" i="99"/>
  <c r="R917" i="99"/>
  <c r="C44" i="74"/>
  <c r="R926" i="99"/>
  <c r="L35" i="68"/>
  <c r="AC47" i="72"/>
  <c r="Y1538" i="99"/>
  <c r="Z1538" i="99"/>
  <c r="AB1538" i="99"/>
  <c r="X1538" i="99"/>
  <c r="AA1538" i="99"/>
  <c r="AA1553" i="99" s="1"/>
  <c r="AC1538" i="99"/>
  <c r="C935" i="99"/>
  <c r="D10" i="86"/>
  <c r="D40" i="74"/>
  <c r="D935" i="99" s="1"/>
  <c r="AD424" i="99"/>
  <c r="AF424" i="99" s="1"/>
  <c r="AD420" i="99"/>
  <c r="AF420" i="99" s="1"/>
  <c r="AD109" i="78"/>
  <c r="AF109" i="78" s="1"/>
  <c r="AD419" i="99"/>
  <c r="P293" i="99"/>
  <c r="P294" i="99"/>
  <c r="I304"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939" i="99" l="1"/>
  <c r="D44" i="74"/>
  <c r="E10" i="86"/>
  <c r="E40" i="74"/>
  <c r="E935" i="99" s="1"/>
  <c r="G1386" i="99"/>
  <c r="G1381" i="99"/>
  <c r="AF419" i="99"/>
  <c r="AF421" i="99" s="1"/>
  <c r="AD421" i="99"/>
  <c r="L348" i="73"/>
  <c r="L1386" i="99"/>
  <c r="L1381"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AT48" i="72"/>
  <c r="F31" i="74"/>
  <c r="F926" i="99" s="1"/>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D939" i="99" l="1"/>
  <c r="E44" i="74"/>
  <c r="F40" i="74"/>
  <c r="F935" i="99" s="1"/>
  <c r="B910" i="99"/>
  <c r="AD113" i="78"/>
  <c r="AF113" i="78" s="1"/>
  <c r="AF115" i="78" s="1"/>
  <c r="E109" i="78" s="1"/>
  <c r="I109" i="78" s="1"/>
  <c r="AD423" i="99"/>
  <c r="L1588" i="99"/>
  <c r="P1588" i="99" s="1"/>
  <c r="K1588" i="99"/>
  <c r="O1588" i="99" s="1"/>
  <c r="F358" i="99"/>
  <c r="F367" i="99"/>
  <c r="K175" i="75"/>
  <c r="J368" i="99"/>
  <c r="J359" i="99"/>
  <c r="J477" i="99"/>
  <c r="J478" i="99" s="1"/>
  <c r="J480" i="99" s="1"/>
  <c r="H1881" i="99"/>
  <c r="P242" i="75"/>
  <c r="Q242" i="75"/>
  <c r="Q243" i="75" s="1"/>
  <c r="Q234" i="75" s="1"/>
  <c r="Q872" i="99" s="1"/>
  <c r="F368" i="99"/>
  <c r="F359" i="99"/>
  <c r="M477" i="99"/>
  <c r="M478" i="99" s="1"/>
  <c r="M480" i="99" s="1"/>
  <c r="P477" i="99"/>
  <c r="P478" i="99" s="1"/>
  <c r="P480" i="99" s="1"/>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F48" i="78"/>
  <c r="F49" i="78"/>
  <c r="J49" i="78"/>
  <c r="J58" i="78"/>
  <c r="F57" i="78"/>
  <c r="F58" i="78"/>
  <c r="G31" i="74"/>
  <c r="G926" i="99" s="1"/>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919" i="99" s="1"/>
  <c r="G15" i="74"/>
  <c r="P167" i="78"/>
  <c r="P168" i="78" s="1"/>
  <c r="P170" i="78" s="1"/>
  <c r="H21" i="86"/>
  <c r="G22" i="86"/>
  <c r="G10" i="86" l="1"/>
  <c r="E939" i="99"/>
  <c r="F44" i="74"/>
  <c r="F910" i="99"/>
  <c r="D910" i="99"/>
  <c r="C910" i="99"/>
  <c r="E910" i="99"/>
  <c r="G910" i="99"/>
  <c r="J481" i="99"/>
  <c r="G458" i="99"/>
  <c r="P367" i="99"/>
  <c r="P358" i="99"/>
  <c r="N873" i="99"/>
  <c r="AD106" i="78"/>
  <c r="M1331" i="99"/>
  <c r="L1331" i="99" s="1"/>
  <c r="J1855" i="99"/>
  <c r="D458" i="99"/>
  <c r="AD416" i="99"/>
  <c r="J1881" i="99"/>
  <c r="L1881" i="99" s="1"/>
  <c r="E1386" i="99"/>
  <c r="N1386" i="99" s="1"/>
  <c r="E1383" i="99"/>
  <c r="N1383" i="99" s="1"/>
  <c r="M1328" i="99"/>
  <c r="L1328" i="99" s="1"/>
  <c r="O1875" i="99"/>
  <c r="O1876" i="99" s="1"/>
  <c r="O1235" i="99"/>
  <c r="AE432" i="99"/>
  <c r="E1381" i="99"/>
  <c r="N1381" i="99" s="1"/>
  <c r="E365" i="99"/>
  <c r="G364" i="99" s="1"/>
  <c r="F443" i="99"/>
  <c r="AE435" i="99"/>
  <c r="H1716" i="99"/>
  <c r="AE436" i="99"/>
  <c r="AE433" i="99"/>
  <c r="E397" i="99"/>
  <c r="AE434" i="99"/>
  <c r="AE437" i="99"/>
  <c r="J367" i="99"/>
  <c r="J358" i="99"/>
  <c r="M290" i="73"/>
  <c r="L290" i="73" s="1"/>
  <c r="M293" i="73"/>
  <c r="L293" i="73" s="1"/>
  <c r="Q230" i="75"/>
  <c r="AF423" i="99"/>
  <c r="AF425" i="99" s="1"/>
  <c r="E419" i="99" s="1"/>
  <c r="I419" i="99" s="1"/>
  <c r="AD425"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H919" i="99" s="1"/>
  <c r="I14" i="74"/>
  <c r="H16" i="74"/>
  <c r="H911" i="99" s="1"/>
  <c r="H15" i="74"/>
  <c r="I21" i="86"/>
  <c r="I22" i="86" s="1"/>
  <c r="H22" i="86"/>
  <c r="F939" i="99" l="1"/>
  <c r="G44" i="74"/>
  <c r="H910" i="99"/>
  <c r="B22" i="74"/>
  <c r="K8" i="74" s="1"/>
  <c r="H53" i="82"/>
  <c r="H926" i="99"/>
  <c r="AF435" i="99"/>
  <c r="AH435" i="99" s="1"/>
  <c r="M1856" i="99"/>
  <c r="J1856" i="99"/>
  <c r="J1857" i="99" s="1"/>
  <c r="F23" i="74"/>
  <c r="B918" i="99"/>
  <c r="AF432" i="99"/>
  <c r="AH432"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K89" i="75"/>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B20" i="74"/>
  <c r="G66" i="84"/>
  <c r="K66" i="84"/>
  <c r="H23" i="74"/>
  <c r="H918" i="99" s="1"/>
  <c r="I23" i="74"/>
  <c r="I918" i="99" s="1"/>
  <c r="C23" i="74"/>
  <c r="C13" i="86"/>
  <c r="D23" i="74"/>
  <c r="G23" i="74"/>
  <c r="P57" i="78"/>
  <c r="G148" i="78"/>
  <c r="K13" i="84"/>
  <c r="M365" i="72"/>
  <c r="M366" i="72" s="1"/>
  <c r="G54" i="78"/>
  <c r="F52" i="89"/>
  <c r="A9" i="83"/>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K90" i="75"/>
  <c r="P90" i="75"/>
  <c r="AF125" i="78"/>
  <c r="AH125" i="78" s="1"/>
  <c r="H19" i="84"/>
  <c r="AF122" i="78"/>
  <c r="AH122" i="78" s="1"/>
  <c r="E127" i="78" s="1"/>
  <c r="D17" i="83"/>
  <c r="C19" i="84"/>
  <c r="F16" i="85"/>
  <c r="H17" i="74"/>
  <c r="H912" i="99" s="1"/>
  <c r="H915" i="99" s="1"/>
  <c r="I24" i="74"/>
  <c r="I919" i="99" s="1"/>
  <c r="J14" i="74"/>
  <c r="I16" i="74"/>
  <c r="I911" i="99" s="1"/>
  <c r="I15" i="74"/>
  <c r="G939" i="99" l="1"/>
  <c r="H44" i="74"/>
  <c r="F22" i="74"/>
  <c r="F917" i="99" s="1"/>
  <c r="D22" i="74"/>
  <c r="D917" i="99" s="1"/>
  <c r="I910" i="99"/>
  <c r="C22" i="74"/>
  <c r="C917" i="99" s="1"/>
  <c r="E22" i="74"/>
  <c r="E917" i="99" s="1"/>
  <c r="B917" i="99"/>
  <c r="Q220" i="75"/>
  <c r="H22" i="74"/>
  <c r="H917" i="99" s="1"/>
  <c r="G22" i="74"/>
  <c r="G917" i="99" s="1"/>
  <c r="C918" i="99"/>
  <c r="F918" i="99"/>
  <c r="E918" i="99"/>
  <c r="G918" i="99"/>
  <c r="D918" i="99"/>
  <c r="J31" i="74"/>
  <c r="J926" i="99" s="1"/>
  <c r="I53" i="82"/>
  <c r="G13" i="86"/>
  <c r="G20" i="74"/>
  <c r="P88" i="72"/>
  <c r="P1579" i="99" s="1"/>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919" i="99" s="1"/>
  <c r="J15" i="74"/>
  <c r="J16" i="74"/>
  <c r="J911" i="99" s="1"/>
  <c r="J23" i="74"/>
  <c r="J918" i="99" s="1"/>
  <c r="I17" i="74"/>
  <c r="I912" i="99" s="1"/>
  <c r="I915" i="99" s="1"/>
  <c r="H20" i="74"/>
  <c r="H939" i="99" l="1"/>
  <c r="I44" i="74"/>
  <c r="Q858" i="99"/>
  <c r="Q228" i="75"/>
  <c r="C68" i="84"/>
  <c r="O221" i="75"/>
  <c r="O222" i="75"/>
  <c r="I22" i="74"/>
  <c r="J910" i="99"/>
  <c r="Z1527" i="99"/>
  <c r="Z1553" i="99" s="1"/>
  <c r="AB1527" i="99"/>
  <c r="AB1553" i="99" s="1"/>
  <c r="AC1527" i="99"/>
  <c r="AC1553" i="99" s="1"/>
  <c r="P1581" i="99"/>
  <c r="Y1527" i="99"/>
  <c r="Y1553" i="99" s="1"/>
  <c r="X1527" i="99"/>
  <c r="X1553" i="99" s="1"/>
  <c r="O1932" i="99"/>
  <c r="O1497" i="99" s="1"/>
  <c r="AF1527" i="99"/>
  <c r="AF1553" i="99" s="1"/>
  <c r="P1932" i="99"/>
  <c r="P1497" i="99" s="1"/>
  <c r="AE1527" i="99"/>
  <c r="AE1553" i="99" s="1"/>
  <c r="AI1527" i="99"/>
  <c r="AI1553" i="99" s="1"/>
  <c r="AD1527" i="99"/>
  <c r="AD1553" i="99" s="1"/>
  <c r="AH1527" i="99"/>
  <c r="AH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16" i="74"/>
  <c r="K911" i="99" s="1"/>
  <c r="K23" i="74"/>
  <c r="K918" i="99" s="1"/>
  <c r="D33" i="86"/>
  <c r="B63" i="74"/>
  <c r="B958" i="99" s="1"/>
  <c r="K53" i="82"/>
  <c r="J17" i="74"/>
  <c r="J912" i="99" s="1"/>
  <c r="I939" i="99" l="1"/>
  <c r="J44" i="74"/>
  <c r="J915" i="99"/>
  <c r="K910" i="99"/>
  <c r="K68" i="84"/>
  <c r="K70" i="84" s="1"/>
  <c r="E68" i="84"/>
  <c r="E70" i="84" s="1"/>
  <c r="I68" i="84"/>
  <c r="I70" i="84" s="1"/>
  <c r="G68" i="84"/>
  <c r="G70" i="84" s="1"/>
  <c r="C70" i="84"/>
  <c r="F130" i="78"/>
  <c r="F131" i="78"/>
  <c r="F440" i="99"/>
  <c r="B21" i="74"/>
  <c r="F441" i="99"/>
  <c r="Q247" i="75"/>
  <c r="P229" i="75"/>
  <c r="N228" i="75"/>
  <c r="Q866" i="99"/>
  <c r="O859" i="99"/>
  <c r="O860" i="99"/>
  <c r="I917" i="99"/>
  <c r="J22" i="74"/>
  <c r="E30" i="86"/>
  <c r="B15" i="82"/>
  <c r="J183" i="78"/>
  <c r="M189" i="78" s="1"/>
  <c r="B72" i="74"/>
  <c r="B967" i="99" s="1"/>
  <c r="J20" i="74"/>
  <c r="K17" i="74"/>
  <c r="K912" i="99" s="1"/>
  <c r="K915" i="99" s="1"/>
  <c r="C46" i="74"/>
  <c r="B56" i="74"/>
  <c r="B951" i="99" s="1"/>
  <c r="B48" i="74"/>
  <c r="B943" i="99" s="1"/>
  <c r="B47" i="74"/>
  <c r="B55" i="74"/>
  <c r="B950" i="99" s="1"/>
  <c r="C63" i="74"/>
  <c r="C958" i="99" s="1"/>
  <c r="B73" i="82"/>
  <c r="E33" i="86"/>
  <c r="J939" i="99" l="1"/>
  <c r="K44" i="74"/>
  <c r="C72" i="84"/>
  <c r="C76" i="84"/>
  <c r="C73" i="84" s="1"/>
  <c r="G76" i="84"/>
  <c r="G73" i="84" s="1"/>
  <c r="G72" i="84"/>
  <c r="J917" i="99"/>
  <c r="I76" i="84"/>
  <c r="I73" i="84" s="1"/>
  <c r="I72" i="84"/>
  <c r="B942" i="99"/>
  <c r="C21" i="74"/>
  <c r="B916" i="99"/>
  <c r="B920" i="99" s="1"/>
  <c r="F21" i="74"/>
  <c r="E21" i="74"/>
  <c r="D21" i="74"/>
  <c r="G21" i="74"/>
  <c r="H21" i="74"/>
  <c r="I21" i="74"/>
  <c r="J21" i="74"/>
  <c r="J916" i="99" s="1"/>
  <c r="B39" i="74"/>
  <c r="B934" i="99" s="1"/>
  <c r="B25" i="74"/>
  <c r="K21" i="74"/>
  <c r="K916" i="99" s="1"/>
  <c r="E76" i="84"/>
  <c r="E73" i="84" s="1"/>
  <c r="E72" i="84"/>
  <c r="K72" i="84"/>
  <c r="K76" i="84"/>
  <c r="K73" i="84" s="1"/>
  <c r="K22" i="74"/>
  <c r="B53" i="74"/>
  <c r="B948" i="99" s="1"/>
  <c r="N866" i="99"/>
  <c r="P867" i="99"/>
  <c r="Q885" i="99"/>
  <c r="F30" i="86"/>
  <c r="C72" i="74"/>
  <c r="C967" i="99" s="1"/>
  <c r="C73" i="82"/>
  <c r="D63" i="74"/>
  <c r="D958" i="99" s="1"/>
  <c r="C48" i="74"/>
  <c r="C943" i="99" s="1"/>
  <c r="C56" i="74"/>
  <c r="C951" i="99" s="1"/>
  <c r="D46" i="74"/>
  <c r="C47" i="74"/>
  <c r="C53" i="74"/>
  <c r="C55" i="74"/>
  <c r="C950" i="99" s="1"/>
  <c r="B49" i="74"/>
  <c r="B944" i="99" s="1"/>
  <c r="F33" i="86"/>
  <c r="K20" i="74"/>
  <c r="B947" i="99" l="1"/>
  <c r="K939" i="99"/>
  <c r="B76" i="74"/>
  <c r="J39" i="74"/>
  <c r="J934" i="99" s="1"/>
  <c r="B54" i="74"/>
  <c r="B949" i="99" s="1"/>
  <c r="B952" i="99" s="1"/>
  <c r="B928" i="99"/>
  <c r="S916" i="99" s="1"/>
  <c r="B929" i="99"/>
  <c r="B933" i="99"/>
  <c r="B34" i="74"/>
  <c r="B38" i="74"/>
  <c r="J920" i="99"/>
  <c r="D916" i="99"/>
  <c r="D920" i="99" s="1"/>
  <c r="D39" i="74"/>
  <c r="D934" i="99" s="1"/>
  <c r="D25" i="74"/>
  <c r="E916" i="99"/>
  <c r="E920" i="99" s="1"/>
  <c r="E39" i="74"/>
  <c r="E934" i="99" s="1"/>
  <c r="E25" i="74"/>
  <c r="C916" i="99"/>
  <c r="C920" i="99" s="1"/>
  <c r="C39" i="74"/>
  <c r="C934" i="99" s="1"/>
  <c r="C25" i="74"/>
  <c r="K917" i="99"/>
  <c r="K920" i="99" s="1"/>
  <c r="K39" i="74"/>
  <c r="K934" i="99" s="1"/>
  <c r="F916" i="99"/>
  <c r="F920" i="99" s="1"/>
  <c r="F25" i="74"/>
  <c r="F39" i="74"/>
  <c r="F934" i="99" s="1"/>
  <c r="C942" i="99"/>
  <c r="I916" i="99"/>
  <c r="I920" i="99" s="1"/>
  <c r="I39" i="74"/>
  <c r="I934" i="99" s="1"/>
  <c r="I25" i="74"/>
  <c r="B33" i="74"/>
  <c r="B44" i="82"/>
  <c r="H916" i="99"/>
  <c r="H920" i="99" s="1"/>
  <c r="H39" i="74"/>
  <c r="H934" i="99" s="1"/>
  <c r="H25" i="74"/>
  <c r="B71" i="74"/>
  <c r="B966" i="99" s="1"/>
  <c r="J25" i="74"/>
  <c r="G916" i="99"/>
  <c r="G920" i="99" s="1"/>
  <c r="G39" i="74"/>
  <c r="G934" i="99" s="1"/>
  <c r="G25" i="74"/>
  <c r="C948" i="99"/>
  <c r="G30" i="86"/>
  <c r="D72" i="74"/>
  <c r="D967" i="99" s="1"/>
  <c r="E46" i="74"/>
  <c r="D56" i="74"/>
  <c r="D951" i="99" s="1"/>
  <c r="D48" i="74"/>
  <c r="D943" i="99" s="1"/>
  <c r="D47" i="74"/>
  <c r="D53" i="74"/>
  <c r="D55" i="74"/>
  <c r="D950" i="99" s="1"/>
  <c r="E63" i="74"/>
  <c r="E958" i="99" s="1"/>
  <c r="D73" i="82"/>
  <c r="G33" i="86"/>
  <c r="K25" i="74"/>
  <c r="B52" i="74"/>
  <c r="C49" i="74"/>
  <c r="C944" i="99" s="1"/>
  <c r="B971" i="99" l="1"/>
  <c r="C76" i="74"/>
  <c r="C947" i="99"/>
  <c r="H34" i="74"/>
  <c r="H38" i="74"/>
  <c r="C34" i="74"/>
  <c r="C38" i="74"/>
  <c r="J928" i="99"/>
  <c r="J933" i="99"/>
  <c r="J929" i="99"/>
  <c r="H928" i="99"/>
  <c r="H929" i="99"/>
  <c r="H933" i="99"/>
  <c r="G38" i="74"/>
  <c r="G34" i="74"/>
  <c r="D34" i="74"/>
  <c r="D38" i="74"/>
  <c r="B960" i="99"/>
  <c r="B965" i="99"/>
  <c r="B961" i="99"/>
  <c r="E34" i="74"/>
  <c r="E38" i="74"/>
  <c r="I34" i="74"/>
  <c r="I38" i="74"/>
  <c r="D928" i="99"/>
  <c r="D929" i="99"/>
  <c r="D933" i="99"/>
  <c r="F928" i="99"/>
  <c r="F929" i="99"/>
  <c r="F933" i="99"/>
  <c r="G928" i="99"/>
  <c r="G933" i="99"/>
  <c r="G929" i="99"/>
  <c r="C928" i="99"/>
  <c r="S917" i="99" s="1"/>
  <c r="C929" i="99"/>
  <c r="C933" i="99"/>
  <c r="E928" i="99"/>
  <c r="E929" i="99"/>
  <c r="E933" i="99"/>
  <c r="I928" i="99"/>
  <c r="I929" i="99"/>
  <c r="I933" i="99"/>
  <c r="F34" i="74"/>
  <c r="F38" i="74"/>
  <c r="K38" i="74"/>
  <c r="K34" i="74"/>
  <c r="J33" i="74"/>
  <c r="D29" i="86" s="1"/>
  <c r="D37" i="86" s="1"/>
  <c r="D38" i="86" s="1"/>
  <c r="D40" i="86" s="1"/>
  <c r="D44" i="86" s="1"/>
  <c r="K14" i="86" s="1"/>
  <c r="J34" i="74"/>
  <c r="J38" i="74"/>
  <c r="K928" i="99"/>
  <c r="K929" i="99"/>
  <c r="K933" i="99"/>
  <c r="C54" i="74"/>
  <c r="C949" i="99" s="1"/>
  <c r="C952" i="99" s="1"/>
  <c r="J44" i="82"/>
  <c r="J46" i="82" s="1"/>
  <c r="S21" i="74"/>
  <c r="C9" i="86"/>
  <c r="C17" i="86" s="1"/>
  <c r="C18" i="86" s="1"/>
  <c r="C20" i="86" s="1"/>
  <c r="C24" i="86" s="1"/>
  <c r="K6" i="86" s="1"/>
  <c r="G66" i="86" s="1"/>
  <c r="N92" i="85" s="1"/>
  <c r="B51" i="82"/>
  <c r="B46" i="82"/>
  <c r="E44" i="82"/>
  <c r="E33" i="74"/>
  <c r="F9" i="86" s="1"/>
  <c r="F17" i="86" s="1"/>
  <c r="F18" i="86" s="1"/>
  <c r="F20" i="86" s="1"/>
  <c r="F24" i="86" s="1"/>
  <c r="K9" i="86" s="1"/>
  <c r="F33" i="74"/>
  <c r="G9" i="86" s="1"/>
  <c r="G17" i="86" s="1"/>
  <c r="G18" i="86" s="1"/>
  <c r="G20" i="86" s="1"/>
  <c r="G24" i="86" s="1"/>
  <c r="K10" i="86" s="1"/>
  <c r="F44" i="82"/>
  <c r="D942" i="99"/>
  <c r="D33" i="74"/>
  <c r="E9" i="86" s="1"/>
  <c r="E17" i="86" s="1"/>
  <c r="E18" i="86" s="1"/>
  <c r="E20" i="86" s="1"/>
  <c r="E24" i="86" s="1"/>
  <c r="K8" i="86" s="1"/>
  <c r="D44" i="82"/>
  <c r="G33" i="74"/>
  <c r="H9" i="86" s="1"/>
  <c r="H17" i="86" s="1"/>
  <c r="H18" i="86" s="1"/>
  <c r="H20" i="86" s="1"/>
  <c r="H24" i="86" s="1"/>
  <c r="K11" i="86" s="1"/>
  <c r="G44" i="82"/>
  <c r="I33" i="74"/>
  <c r="C29" i="86" s="1"/>
  <c r="C37" i="86" s="1"/>
  <c r="C38" i="86" s="1"/>
  <c r="C40" i="86" s="1"/>
  <c r="C44" i="86" s="1"/>
  <c r="K13" i="86" s="1"/>
  <c r="I44" i="82"/>
  <c r="H44" i="82"/>
  <c r="H33" i="74"/>
  <c r="I9" i="86" s="1"/>
  <c r="I17" i="86" s="1"/>
  <c r="I18" i="86" s="1"/>
  <c r="I20" i="86" s="1"/>
  <c r="I24" i="86" s="1"/>
  <c r="K12" i="86" s="1"/>
  <c r="C44" i="82"/>
  <c r="C33" i="74"/>
  <c r="D948" i="99"/>
  <c r="H30" i="86"/>
  <c r="E72" i="74"/>
  <c r="E967" i="99" s="1"/>
  <c r="C52" i="74"/>
  <c r="E73" i="82"/>
  <c r="F63" i="74"/>
  <c r="F958" i="99" s="1"/>
  <c r="D49" i="74"/>
  <c r="D944" i="99" s="1"/>
  <c r="D947" i="99" s="1"/>
  <c r="B57" i="74"/>
  <c r="K44" i="82"/>
  <c r="K33" i="74"/>
  <c r="E47" i="74"/>
  <c r="E56" i="74"/>
  <c r="E951" i="99" s="1"/>
  <c r="F46" i="74"/>
  <c r="E48" i="74"/>
  <c r="E943" i="99" s="1"/>
  <c r="E53" i="74"/>
  <c r="E55" i="74"/>
  <c r="E950" i="99" s="1"/>
  <c r="H33" i="86"/>
  <c r="J51" i="82" l="1"/>
  <c r="C971" i="99"/>
  <c r="D76" i="74"/>
  <c r="S926" i="99"/>
  <c r="B66" i="74"/>
  <c r="B70" i="74"/>
  <c r="C960" i="99"/>
  <c r="S927" i="99" s="1"/>
  <c r="C965" i="99"/>
  <c r="C961" i="99"/>
  <c r="S921" i="99"/>
  <c r="S919" i="99"/>
  <c r="S923" i="99"/>
  <c r="S922" i="99"/>
  <c r="S924" i="99"/>
  <c r="S918" i="99"/>
  <c r="S925" i="99"/>
  <c r="S920" i="99"/>
  <c r="S26" i="74"/>
  <c r="C71" i="74"/>
  <c r="C966" i="99" s="1"/>
  <c r="S29" i="74"/>
  <c r="G51" i="82"/>
  <c r="G46" i="82"/>
  <c r="S27" i="74"/>
  <c r="E46" i="82"/>
  <c r="E51" i="82"/>
  <c r="S24" i="74"/>
  <c r="S25" i="74"/>
  <c r="D54" i="74"/>
  <c r="I51" i="82"/>
  <c r="I46" i="82"/>
  <c r="D9" i="86"/>
  <c r="D17" i="86" s="1"/>
  <c r="D18" i="86" s="1"/>
  <c r="D20" i="86" s="1"/>
  <c r="D24" i="86" s="1"/>
  <c r="K7" i="86" s="1"/>
  <c r="S28" i="74"/>
  <c r="S23" i="74"/>
  <c r="D46" i="82"/>
  <c r="D51" i="82"/>
  <c r="E942" i="99"/>
  <c r="C46" i="82"/>
  <c r="C51" i="82"/>
  <c r="F51" i="82"/>
  <c r="F46" i="82"/>
  <c r="S22" i="74"/>
  <c r="H46" i="82"/>
  <c r="H51" i="82"/>
  <c r="E948" i="99"/>
  <c r="I30" i="86"/>
  <c r="F72" i="74"/>
  <c r="F967" i="99" s="1"/>
  <c r="C57" i="74"/>
  <c r="D52" i="74"/>
  <c r="F56" i="74"/>
  <c r="F951" i="99" s="1"/>
  <c r="F48" i="74"/>
  <c r="F943" i="99" s="1"/>
  <c r="F47" i="74"/>
  <c r="G46" i="74"/>
  <c r="F53" i="74"/>
  <c r="F55" i="74"/>
  <c r="F950" i="99" s="1"/>
  <c r="E49" i="74"/>
  <c r="E944" i="99" s="1"/>
  <c r="E29" i="86"/>
  <c r="S30" i="74"/>
  <c r="F73" i="82"/>
  <c r="G63" i="74"/>
  <c r="G958" i="99" s="1"/>
  <c r="K51" i="82"/>
  <c r="K46" i="82"/>
  <c r="I33" i="86"/>
  <c r="B64" i="82"/>
  <c r="B65" i="74"/>
  <c r="E947" i="99" l="1"/>
  <c r="D971" i="99"/>
  <c r="E76" i="74"/>
  <c r="C70" i="74"/>
  <c r="C66" i="74"/>
  <c r="B25" i="82"/>
  <c r="C72" i="82" s="1"/>
  <c r="F942" i="99"/>
  <c r="E54" i="74"/>
  <c r="D949" i="99"/>
  <c r="D952" i="99" s="1"/>
  <c r="D71" i="74"/>
  <c r="D966" i="99" s="1"/>
  <c r="F948" i="99"/>
  <c r="C50" i="86"/>
  <c r="G72" i="74"/>
  <c r="G967" i="99" s="1"/>
  <c r="C64" i="82"/>
  <c r="C66" i="82" s="1"/>
  <c r="C65" i="74"/>
  <c r="E52" i="74"/>
  <c r="E37" i="86"/>
  <c r="E38" i="86" s="1"/>
  <c r="E40" i="86" s="1"/>
  <c r="E44" i="86" s="1"/>
  <c r="K15" i="86" s="1"/>
  <c r="F49" i="74"/>
  <c r="F944" i="99" s="1"/>
  <c r="S31" i="74"/>
  <c r="F29" i="86"/>
  <c r="H63" i="74"/>
  <c r="H958" i="99" s="1"/>
  <c r="G73" i="82"/>
  <c r="B66" i="82"/>
  <c r="B71" i="82"/>
  <c r="C53" i="86"/>
  <c r="D57" i="74"/>
  <c r="G56" i="74"/>
  <c r="G951" i="99" s="1"/>
  <c r="G48" i="74"/>
  <c r="G943" i="99" s="1"/>
  <c r="H46" i="74"/>
  <c r="G47" i="74"/>
  <c r="G53" i="74"/>
  <c r="G55" i="74"/>
  <c r="G950" i="99" s="1"/>
  <c r="E971" i="99" l="1"/>
  <c r="F76" i="74"/>
  <c r="G72" i="82"/>
  <c r="C52" i="82"/>
  <c r="C54" i="82" s="1"/>
  <c r="C55" i="82" s="1"/>
  <c r="C56" i="82" s="1"/>
  <c r="E72" i="82"/>
  <c r="F947" i="99"/>
  <c r="D66" i="74"/>
  <c r="D70" i="74"/>
  <c r="I72" i="82"/>
  <c r="D960" i="99"/>
  <c r="S928" i="99" s="1"/>
  <c r="D965" i="99"/>
  <c r="D961" i="99"/>
  <c r="B52" i="82"/>
  <c r="B54" i="82" s="1"/>
  <c r="B55" i="82" s="1"/>
  <c r="B56" i="82" s="1"/>
  <c r="F72" i="82"/>
  <c r="K72" i="82"/>
  <c r="I52" i="82"/>
  <c r="I54" i="82" s="1"/>
  <c r="I55" i="82" s="1"/>
  <c r="I56" i="82" s="1"/>
  <c r="F52" i="82"/>
  <c r="F54" i="82" s="1"/>
  <c r="F55" i="82" s="1"/>
  <c r="F56" i="82" s="1"/>
  <c r="K52" i="82"/>
  <c r="K54" i="82" s="1"/>
  <c r="K55" i="82" s="1"/>
  <c r="K56" i="82" s="1"/>
  <c r="D52" i="82"/>
  <c r="D54" i="82" s="1"/>
  <c r="D55" i="82" s="1"/>
  <c r="D56" i="82" s="1"/>
  <c r="D72" i="82"/>
  <c r="J72" i="82"/>
  <c r="J52" i="82"/>
  <c r="J54" i="82" s="1"/>
  <c r="J55" i="82" s="1"/>
  <c r="J56" i="82" s="1"/>
  <c r="B26" i="82"/>
  <c r="B5" i="82" s="1"/>
  <c r="B6" i="82" s="1"/>
  <c r="B7" i="82" s="1"/>
  <c r="G52" i="82"/>
  <c r="G54" i="82" s="1"/>
  <c r="G55" i="82" s="1"/>
  <c r="G56" i="82" s="1"/>
  <c r="E52" i="82"/>
  <c r="E54" i="82" s="1"/>
  <c r="E55" i="82" s="1"/>
  <c r="E56" i="82" s="1"/>
  <c r="H72" i="82"/>
  <c r="H52" i="82"/>
  <c r="H54" i="82" s="1"/>
  <c r="H55" i="82" s="1"/>
  <c r="H56" i="82" s="1"/>
  <c r="B72" i="82"/>
  <c r="B74" i="82" s="1"/>
  <c r="B75" i="82" s="1"/>
  <c r="G942" i="99"/>
  <c r="E949" i="99"/>
  <c r="E952" i="99" s="1"/>
  <c r="E71" i="74"/>
  <c r="E966" i="99" s="1"/>
  <c r="F54" i="74"/>
  <c r="G948" i="99"/>
  <c r="D50" i="86"/>
  <c r="H72" i="74"/>
  <c r="H967" i="99" s="1"/>
  <c r="G29" i="86"/>
  <c r="G37" i="86" s="1"/>
  <c r="G38" i="86" s="1"/>
  <c r="G40" i="86" s="1"/>
  <c r="G44" i="86" s="1"/>
  <c r="K17" i="86" s="1"/>
  <c r="C71" i="82"/>
  <c r="C74" i="82" s="1"/>
  <c r="C75" i="82" s="1"/>
  <c r="C76" i="82" s="1"/>
  <c r="S32" i="74"/>
  <c r="E57" i="74"/>
  <c r="H73" i="82"/>
  <c r="I63" i="74"/>
  <c r="I958" i="99" s="1"/>
  <c r="H56" i="74"/>
  <c r="H951" i="99" s="1"/>
  <c r="H47" i="74"/>
  <c r="H48" i="74"/>
  <c r="H943" i="99" s="1"/>
  <c r="I46" i="74"/>
  <c r="H53" i="74"/>
  <c r="H55" i="74"/>
  <c r="H950" i="99" s="1"/>
  <c r="D53" i="86"/>
  <c r="F52" i="74"/>
  <c r="F37" i="86"/>
  <c r="F38" i="86" s="1"/>
  <c r="F40" i="86" s="1"/>
  <c r="F44" i="86" s="1"/>
  <c r="K16" i="86" s="1"/>
  <c r="G49" i="74"/>
  <c r="G944" i="99" s="1"/>
  <c r="D65" i="74"/>
  <c r="D64" i="82"/>
  <c r="F971" i="99" l="1"/>
  <c r="G76" i="74"/>
  <c r="G971" i="99" s="1"/>
  <c r="E960" i="99"/>
  <c r="S929" i="99" s="1"/>
  <c r="E965" i="99"/>
  <c r="E961" i="99"/>
  <c r="E66" i="74"/>
  <c r="E70" i="74"/>
  <c r="G947" i="99"/>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G21" i="82" s="1"/>
  <c r="H942" i="99"/>
  <c r="F949" i="99"/>
  <c r="F952" i="99" s="1"/>
  <c r="F71" i="74"/>
  <c r="F966" i="99" s="1"/>
  <c r="G54" i="74"/>
  <c r="H948" i="99"/>
  <c r="D57" i="86"/>
  <c r="D58" i="86" s="1"/>
  <c r="D60" i="86" s="1"/>
  <c r="D64" i="86" s="1"/>
  <c r="K21" i="86" s="1"/>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G52" i="74"/>
  <c r="H49" i="74"/>
  <c r="H944" i="99" s="1"/>
  <c r="J63" i="74"/>
  <c r="J958" i="99" s="1"/>
  <c r="I73" i="82"/>
  <c r="F57" i="74"/>
  <c r="B29" i="82" l="1"/>
  <c r="H947" i="99"/>
  <c r="F960" i="99"/>
  <c r="S930" i="99" s="1"/>
  <c r="F965" i="99"/>
  <c r="F961" i="99"/>
  <c r="F66" i="74"/>
  <c r="F70" i="74"/>
  <c r="G949" i="99"/>
  <c r="G952" i="99" s="1"/>
  <c r="G71" i="74"/>
  <c r="G966" i="99" s="1"/>
  <c r="H54" i="74"/>
  <c r="I942" i="99"/>
  <c r="I948" i="99"/>
  <c r="E57" i="86"/>
  <c r="E58" i="86" s="1"/>
  <c r="E60" i="86" s="1"/>
  <c r="E64" i="86" s="1"/>
  <c r="K22" i="86" s="1"/>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J73" i="82"/>
  <c r="K63" i="74"/>
  <c r="K958" i="99" s="1"/>
  <c r="D75" i="82"/>
  <c r="D76" i="82" s="1"/>
  <c r="E75" i="82"/>
  <c r="E76" i="82" s="1"/>
  <c r="H52" i="74"/>
  <c r="F53" i="86"/>
  <c r="I947" i="99" l="1"/>
  <c r="G70" i="74"/>
  <c r="G66" i="74"/>
  <c r="G960" i="99"/>
  <c r="S931" i="99" s="1"/>
  <c r="G965" i="99"/>
  <c r="G961" i="99"/>
  <c r="H949" i="99"/>
  <c r="H952" i="99" s="1"/>
  <c r="H71" i="74"/>
  <c r="H966" i="99" s="1"/>
  <c r="J942" i="99"/>
  <c r="I54" i="74"/>
  <c r="J948" i="99"/>
  <c r="F57" i="86"/>
  <c r="F58" i="86" s="1"/>
  <c r="F60" i="86" s="1"/>
  <c r="F64" i="86" s="1"/>
  <c r="K23" i="86" s="1"/>
  <c r="G50" i="86"/>
  <c r="K72" i="74"/>
  <c r="K967" i="99" s="1"/>
  <c r="I52" i="74"/>
  <c r="F66" i="82"/>
  <c r="F71" i="82"/>
  <c r="F74" i="82" s="1"/>
  <c r="G53" i="86"/>
  <c r="G64" i="82"/>
  <c r="G65" i="74"/>
  <c r="J49" i="74"/>
  <c r="J944" i="99" s="1"/>
  <c r="C49" i="86"/>
  <c r="S35" i="74"/>
  <c r="K73" i="82"/>
  <c r="B95" i="74"/>
  <c r="B990" i="99" s="1"/>
  <c r="B78" i="74"/>
  <c r="K56" i="74"/>
  <c r="K951" i="99" s="1"/>
  <c r="K47" i="74"/>
  <c r="K48" i="74"/>
  <c r="K943" i="99" s="1"/>
  <c r="K53" i="74"/>
  <c r="K55" i="74"/>
  <c r="K950" i="99" s="1"/>
  <c r="H57" i="74"/>
  <c r="H960" i="99" l="1"/>
  <c r="S932" i="99" s="1"/>
  <c r="H961" i="99"/>
  <c r="H965" i="99"/>
  <c r="H66" i="74"/>
  <c r="H70" i="74"/>
  <c r="J54" i="74"/>
  <c r="J949" i="99" s="1"/>
  <c r="K942" i="99"/>
  <c r="I949" i="99"/>
  <c r="I952" i="99" s="1"/>
  <c r="I71" i="74"/>
  <c r="I966" i="99" s="1"/>
  <c r="J947" i="99"/>
  <c r="K948" i="99"/>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C95" i="74"/>
  <c r="C990" i="99" s="1"/>
  <c r="K947" i="99" l="1"/>
  <c r="I960" i="99"/>
  <c r="S933" i="99" s="1"/>
  <c r="I965" i="99"/>
  <c r="I961" i="99"/>
  <c r="I70" i="74"/>
  <c r="I66" i="74"/>
  <c r="J952" i="99"/>
  <c r="J71" i="74"/>
  <c r="J966" i="99" s="1"/>
  <c r="K54" i="74"/>
  <c r="B974" i="99"/>
  <c r="B980" i="99"/>
  <c r="H57" i="86"/>
  <c r="H58" i="86" s="1"/>
  <c r="H60" i="86" s="1"/>
  <c r="H64" i="86" s="1"/>
  <c r="K25" i="86" s="1"/>
  <c r="C86" i="90"/>
  <c r="F60" i="89"/>
  <c r="C103" i="74"/>
  <c r="C998" i="99" s="1"/>
  <c r="I65" i="74"/>
  <c r="L47" i="68"/>
  <c r="L289" i="99" s="1"/>
  <c r="J57" i="74"/>
  <c r="I64" i="82"/>
  <c r="I66" i="82" s="1"/>
  <c r="K52" i="74"/>
  <c r="B81" i="74"/>
  <c r="B976" i="99" s="1"/>
  <c r="S37" i="74"/>
  <c r="D95" i="74"/>
  <c r="D990" i="99" s="1"/>
  <c r="H66" i="82"/>
  <c r="H71" i="82"/>
  <c r="H74" i="82" s="1"/>
  <c r="C79" i="74"/>
  <c r="D78" i="74"/>
  <c r="C88" i="74"/>
  <c r="C983" i="99" s="1"/>
  <c r="C80" i="74"/>
  <c r="C975" i="99" s="1"/>
  <c r="C85" i="74"/>
  <c r="C87" i="74"/>
  <c r="C982" i="99" s="1"/>
  <c r="G75" i="82"/>
  <c r="G76" i="82" s="1"/>
  <c r="J960" i="99" l="1"/>
  <c r="S934" i="99" s="1"/>
  <c r="J965" i="99"/>
  <c r="J961" i="99"/>
  <c r="J66" i="74"/>
  <c r="J70" i="74"/>
  <c r="B979" i="99"/>
  <c r="B86" i="74"/>
  <c r="C974" i="99"/>
  <c r="K949" i="99"/>
  <c r="K952" i="99" s="1"/>
  <c r="K71" i="74"/>
  <c r="K966" i="99" s="1"/>
  <c r="C980" i="99"/>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E95" i="74"/>
  <c r="E990" i="99" s="1"/>
  <c r="B84" i="74"/>
  <c r="H75" i="82"/>
  <c r="H76" i="82" s="1"/>
  <c r="K57" i="74"/>
  <c r="C979" i="99" l="1"/>
  <c r="K960" i="99"/>
  <c r="S935" i="99" s="1"/>
  <c r="K965" i="99"/>
  <c r="K961" i="99"/>
  <c r="K66" i="74"/>
  <c r="K70" i="74"/>
  <c r="C86" i="74"/>
  <c r="C981" i="99" s="1"/>
  <c r="C984" i="99" s="1"/>
  <c r="B981" i="99"/>
  <c r="B102" i="74"/>
  <c r="D974" i="99"/>
  <c r="D980" i="99"/>
  <c r="E103" i="74"/>
  <c r="E998" i="99" s="1"/>
  <c r="S39" i="74"/>
  <c r="J71" i="82"/>
  <c r="J74" i="82" s="1"/>
  <c r="J75" i="82" s="1"/>
  <c r="J76" i="82" s="1"/>
  <c r="C84" i="74"/>
  <c r="F95" i="74"/>
  <c r="F990" i="99" s="1"/>
  <c r="K65" i="74"/>
  <c r="K64" i="82"/>
  <c r="D81" i="74"/>
  <c r="D976" i="99" s="1"/>
  <c r="F78" i="74"/>
  <c r="E88" i="74"/>
  <c r="E983" i="99" s="1"/>
  <c r="E79" i="74"/>
  <c r="E80" i="74"/>
  <c r="E975" i="99" s="1"/>
  <c r="E85" i="74"/>
  <c r="E87" i="74"/>
  <c r="E982" i="99" s="1"/>
  <c r="B89" i="74"/>
  <c r="D979" i="99" l="1"/>
  <c r="B101" i="74"/>
  <c r="B97" i="74"/>
  <c r="C991" i="99"/>
  <c r="C992" i="99"/>
  <c r="C996" i="99"/>
  <c r="C997" i="99"/>
  <c r="C102" i="74"/>
  <c r="D86" i="74"/>
  <c r="B997" i="99"/>
  <c r="B984" i="99"/>
  <c r="E974" i="99"/>
  <c r="E980" i="99"/>
  <c r="F103" i="74"/>
  <c r="F998" i="99" s="1"/>
  <c r="B96" i="74"/>
  <c r="C89" i="74"/>
  <c r="D84" i="74"/>
  <c r="E81" i="74"/>
  <c r="E976" i="99" s="1"/>
  <c r="K71" i="82"/>
  <c r="K74" i="82" s="1"/>
  <c r="K66" i="82"/>
  <c r="F88" i="74"/>
  <c r="F983" i="99" s="1"/>
  <c r="G78" i="74"/>
  <c r="F80" i="74"/>
  <c r="F975" i="99" s="1"/>
  <c r="F79" i="74"/>
  <c r="F85" i="74"/>
  <c r="F87" i="74"/>
  <c r="F982" i="99" s="1"/>
  <c r="S40" i="74"/>
  <c r="G95" i="74"/>
  <c r="G990" i="99" s="1"/>
  <c r="C97" i="74" l="1"/>
  <c r="C101" i="74"/>
  <c r="B991" i="99"/>
  <c r="B992" i="99"/>
  <c r="B996" i="99"/>
  <c r="E979" i="99"/>
  <c r="F974" i="99"/>
  <c r="E86" i="74"/>
  <c r="D981" i="99"/>
  <c r="D102" i="74"/>
  <c r="F980" i="99"/>
  <c r="G103" i="74"/>
  <c r="G998" i="99" s="1"/>
  <c r="C96" i="74"/>
  <c r="E84" i="74"/>
  <c r="G79" i="74"/>
  <c r="G88" i="74"/>
  <c r="G983" i="99" s="1"/>
  <c r="G80" i="74"/>
  <c r="G975" i="99" s="1"/>
  <c r="H78" i="74"/>
  <c r="G85" i="74"/>
  <c r="G87" i="74"/>
  <c r="G982" i="99" s="1"/>
  <c r="K75" i="82"/>
  <c r="K76" i="82" s="1"/>
  <c r="H95" i="74"/>
  <c r="H990" i="99" s="1"/>
  <c r="F81" i="74"/>
  <c r="F976" i="99" s="1"/>
  <c r="F979" i="99" s="1"/>
  <c r="D89" i="74"/>
  <c r="D97" i="74" l="1"/>
  <c r="D101" i="74"/>
  <c r="F86" i="74"/>
  <c r="F981" i="99" s="1"/>
  <c r="F984" i="99" s="1"/>
  <c r="G974" i="99"/>
  <c r="D984" i="99"/>
  <c r="D997" i="99"/>
  <c r="E981" i="99"/>
  <c r="E102" i="74"/>
  <c r="G980" i="99"/>
  <c r="H103" i="74"/>
  <c r="H998" i="99" s="1"/>
  <c r="D96" i="74"/>
  <c r="E89" i="74"/>
  <c r="F84" i="74"/>
  <c r="H88" i="74"/>
  <c r="H983" i="99" s="1"/>
  <c r="H80" i="74"/>
  <c r="H975" i="99" s="1"/>
  <c r="H79" i="74"/>
  <c r="I78" i="74"/>
  <c r="H85" i="74"/>
  <c r="H87" i="74"/>
  <c r="H982" i="99" s="1"/>
  <c r="G81" i="74"/>
  <c r="G976" i="99" s="1"/>
  <c r="G979" i="99" s="1"/>
  <c r="I95" i="74"/>
  <c r="I990" i="99" s="1"/>
  <c r="E97" i="74" l="1"/>
  <c r="E101" i="74"/>
  <c r="D991" i="99"/>
  <c r="D996" i="99"/>
  <c r="D992" i="99"/>
  <c r="F991" i="99"/>
  <c r="F996" i="99"/>
  <c r="F992" i="99"/>
  <c r="F997" i="99"/>
  <c r="F102" i="74"/>
  <c r="E997" i="99"/>
  <c r="E984" i="99"/>
  <c r="G86" i="74"/>
  <c r="H974" i="99"/>
  <c r="H980" i="99"/>
  <c r="I103" i="74"/>
  <c r="I998" i="99" s="1"/>
  <c r="E96" i="74"/>
  <c r="F89" i="74"/>
  <c r="G84" i="74"/>
  <c r="I88" i="74"/>
  <c r="I983" i="99" s="1"/>
  <c r="I79" i="74"/>
  <c r="J78" i="74"/>
  <c r="I80" i="74"/>
  <c r="I975" i="99" s="1"/>
  <c r="I85" i="74"/>
  <c r="I87" i="74"/>
  <c r="I982" i="99" s="1"/>
  <c r="H81" i="74"/>
  <c r="H976" i="99" s="1"/>
  <c r="J95" i="74"/>
  <c r="J990" i="99" s="1"/>
  <c r="H86" i="74" l="1"/>
  <c r="H981" i="99" s="1"/>
  <c r="F97" i="74"/>
  <c r="F101" i="74"/>
  <c r="E991" i="99"/>
  <c r="E996" i="99"/>
  <c r="E992" i="99"/>
  <c r="H997" i="99"/>
  <c r="I974" i="99"/>
  <c r="H102" i="74"/>
  <c r="H979" i="99"/>
  <c r="H984" i="99" s="1"/>
  <c r="G981" i="99"/>
  <c r="G102" i="74"/>
  <c r="I980" i="99"/>
  <c r="J103" i="74"/>
  <c r="J998" i="99" s="1"/>
  <c r="F96" i="74"/>
  <c r="J80" i="74"/>
  <c r="J975" i="99" s="1"/>
  <c r="K78" i="74"/>
  <c r="J79" i="74"/>
  <c r="J88" i="74"/>
  <c r="J983" i="99" s="1"/>
  <c r="J85" i="74"/>
  <c r="J87" i="74"/>
  <c r="J982" i="99" s="1"/>
  <c r="I81" i="74"/>
  <c r="I976" i="99" s="1"/>
  <c r="K95" i="74"/>
  <c r="K990" i="99" s="1"/>
  <c r="G89" i="74"/>
  <c r="H84" i="74"/>
  <c r="I86" i="74" l="1"/>
  <c r="I981" i="99" s="1"/>
  <c r="I979" i="99"/>
  <c r="H991" i="99"/>
  <c r="H992" i="99"/>
  <c r="H996" i="99"/>
  <c r="G101" i="74"/>
  <c r="G97" i="74"/>
  <c r="I102" i="74"/>
  <c r="I997" i="99"/>
  <c r="J974" i="99"/>
  <c r="I984" i="99"/>
  <c r="G997" i="99"/>
  <c r="G984" i="99"/>
  <c r="J980" i="99"/>
  <c r="K103" i="74"/>
  <c r="K998" i="99" s="1"/>
  <c r="G96" i="74"/>
  <c r="H89" i="74"/>
  <c r="J81" i="74"/>
  <c r="J976" i="99" s="1"/>
  <c r="B125" i="74"/>
  <c r="B1020" i="99" s="1"/>
  <c r="K80" i="74"/>
  <c r="K975" i="99" s="1"/>
  <c r="B108" i="74"/>
  <c r="K88" i="74"/>
  <c r="K983" i="99" s="1"/>
  <c r="K79" i="74"/>
  <c r="K85" i="74"/>
  <c r="K87" i="74"/>
  <c r="K982" i="99" s="1"/>
  <c r="I84" i="74"/>
  <c r="J979" i="99" l="1"/>
  <c r="H97" i="74"/>
  <c r="H101" i="74"/>
  <c r="G991" i="99"/>
  <c r="G996" i="99"/>
  <c r="G992" i="99"/>
  <c r="I991" i="99"/>
  <c r="I996" i="99"/>
  <c r="I992" i="99"/>
  <c r="K974" i="99"/>
  <c r="J86" i="74"/>
  <c r="K980" i="99"/>
  <c r="B133" i="74"/>
  <c r="B1028" i="99" s="1"/>
  <c r="H96" i="74"/>
  <c r="J84" i="74"/>
  <c r="K81" i="74"/>
  <c r="K976" i="99" s="1"/>
  <c r="C125" i="74"/>
  <c r="C1020" i="99" s="1"/>
  <c r="I89" i="74"/>
  <c r="B109" i="74"/>
  <c r="C108" i="74"/>
  <c r="B110" i="74"/>
  <c r="B1005" i="99" s="1"/>
  <c r="B118" i="74"/>
  <c r="B1013" i="99" s="1"/>
  <c r="B115" i="74"/>
  <c r="B117" i="74"/>
  <c r="B1012" i="99" s="1"/>
  <c r="K979" i="99" l="1"/>
  <c r="I97" i="74"/>
  <c r="I101" i="74"/>
  <c r="J981" i="99"/>
  <c r="J102" i="74"/>
  <c r="B1004" i="99"/>
  <c r="K86" i="74"/>
  <c r="B1010" i="99"/>
  <c r="C133" i="74"/>
  <c r="C1028" i="99" s="1"/>
  <c r="I96" i="74"/>
  <c r="J89" i="74"/>
  <c r="K84" i="74"/>
  <c r="D108" i="74"/>
  <c r="C109" i="74"/>
  <c r="C118" i="74"/>
  <c r="C1013" i="99" s="1"/>
  <c r="C110" i="74"/>
  <c r="C1005" i="99" s="1"/>
  <c r="C115" i="74"/>
  <c r="C117" i="74"/>
  <c r="C1012" i="99" s="1"/>
  <c r="D125" i="74"/>
  <c r="D1020" i="99" s="1"/>
  <c r="B111" i="74"/>
  <c r="B1006" i="99" s="1"/>
  <c r="B116" i="74" l="1"/>
  <c r="B1011" i="99" s="1"/>
  <c r="J97" i="74"/>
  <c r="J101" i="74"/>
  <c r="B1009" i="99"/>
  <c r="B1014" i="99" s="1"/>
  <c r="B1027" i="99"/>
  <c r="C1004" i="99"/>
  <c r="B132" i="74"/>
  <c r="K981" i="99"/>
  <c r="K102" i="74"/>
  <c r="J984" i="99"/>
  <c r="J997" i="99"/>
  <c r="C1010" i="99"/>
  <c r="D133" i="74"/>
  <c r="D1028" i="99" s="1"/>
  <c r="K89" i="74"/>
  <c r="J96" i="74"/>
  <c r="B114" i="74"/>
  <c r="C111" i="74"/>
  <c r="C1006" i="99" s="1"/>
  <c r="E125" i="74"/>
  <c r="E1020" i="99" s="1"/>
  <c r="D118" i="74"/>
  <c r="D1013" i="99" s="1"/>
  <c r="D109" i="74"/>
  <c r="E108" i="74"/>
  <c r="D110" i="74"/>
  <c r="D1005" i="99" s="1"/>
  <c r="D115" i="74"/>
  <c r="D117" i="74"/>
  <c r="D1012" i="99" s="1"/>
  <c r="C1009" i="99" l="1"/>
  <c r="K97" i="74"/>
  <c r="K101" i="74"/>
  <c r="B1021" i="99"/>
  <c r="B1026" i="99"/>
  <c r="B1022" i="99"/>
  <c r="J991" i="99"/>
  <c r="J992" i="99"/>
  <c r="J996" i="99"/>
  <c r="C116" i="74"/>
  <c r="K984" i="99"/>
  <c r="K997" i="99"/>
  <c r="D1004" i="99"/>
  <c r="D1010" i="99"/>
  <c r="E133" i="74"/>
  <c r="E1028" i="99" s="1"/>
  <c r="K96" i="74"/>
  <c r="B119" i="74"/>
  <c r="C114" i="74"/>
  <c r="F125" i="74"/>
  <c r="F1020" i="99" s="1"/>
  <c r="F108" i="74"/>
  <c r="E109" i="74"/>
  <c r="E118" i="74"/>
  <c r="E1013" i="99" s="1"/>
  <c r="E110" i="74"/>
  <c r="E1005" i="99" s="1"/>
  <c r="E115" i="74"/>
  <c r="E117" i="74"/>
  <c r="E1012" i="99" s="1"/>
  <c r="D111" i="74"/>
  <c r="D1006" i="99" s="1"/>
  <c r="D116" i="74" l="1"/>
  <c r="D1011" i="99" s="1"/>
  <c r="K991" i="99"/>
  <c r="K996" i="99"/>
  <c r="K992" i="99"/>
  <c r="B127" i="74"/>
  <c r="B131" i="74"/>
  <c r="D132" i="74"/>
  <c r="E1004" i="99"/>
  <c r="C1011" i="99"/>
  <c r="C132" i="74"/>
  <c r="D1027" i="99"/>
  <c r="D1009" i="99"/>
  <c r="D1014" i="99" s="1"/>
  <c r="E1010" i="99"/>
  <c r="F133" i="74"/>
  <c r="F1028" i="99" s="1"/>
  <c r="B126" i="74"/>
  <c r="C119" i="74"/>
  <c r="E111" i="74"/>
  <c r="E1006" i="99" s="1"/>
  <c r="F118" i="74"/>
  <c r="F1013" i="99" s="1"/>
  <c r="F110" i="74"/>
  <c r="F1005" i="99" s="1"/>
  <c r="F109" i="74"/>
  <c r="F115" i="74"/>
  <c r="F117" i="74"/>
  <c r="F1012" i="99" s="1"/>
  <c r="D114" i="74"/>
  <c r="E1009" i="99" l="1"/>
  <c r="D1021" i="99"/>
  <c r="D1022" i="99"/>
  <c r="D1026" i="99"/>
  <c r="C131" i="74"/>
  <c r="C127" i="74"/>
  <c r="F1004" i="99"/>
  <c r="C1027" i="99"/>
  <c r="C1014" i="99"/>
  <c r="E116" i="74"/>
  <c r="F1010" i="99"/>
  <c r="C126" i="74"/>
  <c r="E114" i="74"/>
  <c r="F111" i="74"/>
  <c r="F1006" i="99" s="1"/>
  <c r="D119" i="74"/>
  <c r="F1009" i="99" l="1"/>
  <c r="D127" i="74"/>
  <c r="D131" i="74"/>
  <c r="C1021" i="99"/>
  <c r="C1026" i="99"/>
  <c r="C1022" i="99"/>
  <c r="F116" i="74"/>
  <c r="E1011" i="99"/>
  <c r="E132" i="74"/>
  <c r="D126" i="74"/>
  <c r="E119" i="74"/>
  <c r="F114" i="74"/>
  <c r="E127" i="74" l="1"/>
  <c r="E131" i="74"/>
  <c r="E1014" i="99"/>
  <c r="E1027" i="99"/>
  <c r="F1011" i="99"/>
  <c r="F132" i="74"/>
  <c r="E126" i="74"/>
  <c r="F119" i="74"/>
  <c r="E1021" i="99" l="1"/>
  <c r="E1022" i="99"/>
  <c r="E1026" i="99"/>
  <c r="F127" i="74"/>
  <c r="F131" i="74"/>
  <c r="F1014" i="99"/>
  <c r="F1027" i="99"/>
  <c r="F126" i="74"/>
  <c r="F1021" i="99" l="1"/>
  <c r="F1026" i="99"/>
  <c r="F1022" i="99"/>
  <c r="E15" i="72"/>
  <c r="E20" i="72" l="1"/>
  <c r="E21" i="72" l="1"/>
  <c r="E16" i="72" l="1"/>
  <c r="P232" i="72"/>
  <c r="P441" i="72" s="1"/>
  <c r="O6" i="72" l="1"/>
  <c r="L232" i="72"/>
  <c r="L190" i="72"/>
  <c r="AE44" i="72"/>
  <c r="AE62" i="72" s="1"/>
  <c r="AD44" i="72"/>
  <c r="AD62" i="72" s="1"/>
  <c r="Y44" i="72"/>
  <c r="Y62" i="72" s="1"/>
  <c r="X44" i="72"/>
  <c r="X62" i="72" s="1"/>
  <c r="P6" i="72"/>
  <c r="E19" i="72"/>
  <c r="A446" i="72" l="1"/>
  <c r="A446" i="72"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rgb="FF000000"/>
            <rFont val="Tahoma"/>
            <family val="2"/>
          </rPr>
          <t xml:space="preserve">Total Construction Period Costs from Development Budget:
</t>
        </r>
        <r>
          <rPr>
            <sz val="9"/>
            <color rgb="FF000000"/>
            <rFont val="Tahoma"/>
            <family val="2"/>
          </rPr>
          <t xml:space="preserve">
</t>
        </r>
        <r>
          <rPr>
            <sz val="9"/>
            <color rgb="FF000000"/>
            <rFont val="Tahoma"/>
            <family val="2"/>
          </rPr>
          <t xml:space="preserve">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<sst xmlns="http://schemas.openxmlformats.org/spreadsheetml/2006/main" count="19410" uniqueCount="7001">
  <si>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</si>
  <si>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</si>
  <si>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</si>
  <si>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</si>
  <si>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</si>
  <si>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</si>
  <si>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</si>
  <si>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</si>
  <si>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</si>
  <si>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</si>
  <si>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</si>
  <si>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</si>
  <si>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</si>
  <si>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</si>
  <si>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</si>
  <si>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</si>
  <si>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</si>
  <si>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</si>
  <si>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</si>
  <si>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</si>
  <si>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</si>
  <si>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</si>
  <si>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</si>
  <si>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</si>
  <si>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</si>
  <si>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</si>
  <si>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</si>
  <si>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</si>
  <si>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</si>
  <si>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</si>
  <si>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</si>
  <si>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</si>
  <si>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</si>
  <si>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</si>
  <si>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</si>
  <si>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</si>
  <si>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</si>
  <si>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</si>
  <si>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</si>
  <si>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</si>
  <si>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</si>
  <si>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</si>
  <si>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</si>
  <si>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</si>
  <si>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</si>
  <si>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</si>
  <si>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</si>
  <si>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</si>
  <si>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</si>
  <si>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</si>
  <si>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</si>
  <si>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</si>
  <si>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</si>
  <si>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</si>
  <si>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</si>
  <si>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</si>
  <si>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</si>
  <si>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</si>
  <si>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</si>
  <si>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</si>
  <si>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</si>
  <si>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</si>
  <si>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</si>
  <si>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</si>
  <si>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</si>
  <si>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</si>
  <si>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</si>
  <si>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</si>
  <si>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</si>
  <si>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</si>
  <si>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</si>
  <si>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</si>
  <si>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</si>
  <si>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</si>
  <si>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</si>
  <si>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</si>
  <si>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</si>
  <si>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</si>
  <si>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</si>
  <si>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</si>
  <si>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</si>
  <si>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</si>
  <si>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</si>
  <si>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</si>
  <si>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</si>
  <si>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</si>
  <si>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</si>
  <si>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</si>
  <si>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</si>
  <si>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</si>
  <si>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</si>
  <si>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</si>
  <si>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</si>
  <si>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</si>
  <si>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</si>
  <si>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</si>
  <si>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</si>
  <si>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</si>
  <si>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</si>
  <si>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</si>
  <si>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</si>
  <si>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</si>
  <si>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</si>
  <si>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</si>
  <si>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</si>
  <si>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</si>
  <si>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</si>
  <si>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</si>
  <si>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</si>
  <si>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</si>
  <si>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</si>
  <si>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</si>
  <si>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</si>
  <si>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</si>
  <si>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</si>
  <si>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</si>
  <si>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</si>
  <si>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</si>
  <si>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</si>
  <si>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</si>
  <si>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</si>
  <si>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</si>
  <si>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</si>
  <si>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</si>
  <si>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</si>
  <si>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</si>
  <si>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</si>
  <si>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</si>
  <si>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</si>
  <si>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</si>
  <si>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</si>
  <si>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</si>
  <si>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</si>
  <si>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</si>
  <si>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</si>
  <si>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</si>
  <si>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</si>
  <si>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</si>
  <si>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</si>
  <si>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</si>
  <si>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</si>
  <si>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</si>
  <si>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</si>
  <si>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</si>
  <si>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</si>
  <si>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</si>
  <si>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</si>
  <si>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</si>
  <si>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</si>
  <si>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</si>
  <si>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</si>
  <si>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</si>
  <si>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</si>
  <si>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</si>
  <si>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</si>
  <si>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</si>
  <si>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</si>
  <si>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</si>
  <si>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</si>
  <si>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</si>
  <si>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</si>
  <si>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</si>
  <si>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</si>
  <si>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</si>
  <si>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</si>
  <si>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</si>
  <si>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</si>
  <si>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</si>
  <si>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</si>
  <si>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</si>
  <si>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</si>
  <si>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</si>
  <si>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</si>
  <si>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</si>
  <si>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</si>
  <si>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</si>
  <si>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</si>
  <si>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</si>
  <si>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</si>
  <si>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</si>
  <si>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</si>
  <si>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</si>
  <si>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</si>
  <si>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</si>
  <si>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</si>
  <si>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</si>
  <si>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</si>
  <si>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</si>
  <si>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</si>
  <si>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</si>
  <si>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</si>
  <si>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</si>
  <si>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</si>
  <si>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</si>
  <si>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</si>
  <si>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</si>
  <si>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</si>
  <si>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</si>
  <si>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</si>
  <si>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</si>
  <si>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</si>
  <si>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</si>
  <si>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</si>
  <si>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</si>
  <si>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</si>
  <si>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</si>
  <si>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</si>
  <si>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</si>
  <si>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</si>
  <si>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</si>
  <si>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</si>
  <si>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</si>
  <si>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</si>
  <si>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</si>
  <si>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</si>
  <si>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</si>
  <si>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</si>
  <si>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</si>
  <si>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</si>
  <si>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</si>
  <si>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</si>
  <si>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</si>
  <si>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</si>
  <si>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</si>
  <si>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</si>
  <si>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</si>
  <si>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</si>
  <si>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</si>
  <si>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</si>
  <si>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</si>
  <si>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</si>
  <si>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</si>
  <si>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</si>
  <si>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</si>
  <si>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</si>
  <si>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</si>
  <si>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</si>
  <si>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</si>
  <si>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</si>
  <si>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</si>
  <si>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</si>
  <si>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</si>
  <si>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</si>
  <si>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</si>
  <si>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</si>
  <si>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</si>
  <si>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</si>
  <si>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</si>
  <si>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</si>
  <si>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</si>
  <si>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</si>
  <si>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</si>
  <si>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</si>
  <si>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</si>
  <si>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</si>
  <si>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</si>
  <si>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</si>
  <si>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</si>
  <si>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</si>
  <si>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</si>
  <si>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</si>
  <si>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</si>
  <si>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</si>
  <si>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</si>
  <si>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</si>
  <si>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</si>
  <si>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</si>
  <si>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</si>
  <si>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</si>
  <si>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</si>
  <si>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</si>
  <si>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</si>
  <si>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</si>
  <si>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</si>
  <si>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</si>
  <si>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</si>
  <si>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</si>
  <si>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</si>
  <si>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</si>
  <si>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</si>
  <si>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</si>
  <si>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</si>
  <si>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</si>
  <si>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</si>
  <si>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</si>
  <si>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</si>
  <si>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</si>
  <si>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</si>
  <si>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</si>
  <si>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</si>
  <si>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</si>
  <si>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</si>
  <si>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</si>
  <si>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</si>
  <si>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</si>
  <si>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</si>
  <si>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</si>
  <si>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</si>
  <si>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</si>
  <si>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</si>
  <si>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</si>
  <si>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</si>
  <si>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</si>
  <si>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</si>
  <si>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</si>
  <si>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</si>
  <si>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</si>
  <si>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</si>
  <si>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</si>
  <si>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</si>
  <si>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</si>
  <si>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</si>
  <si>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</si>
  <si>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</si>
  <si>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</si>
  <si>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</si>
  <si>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</si>
  <si>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</si>
  <si>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</si>
  <si>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</si>
  <si>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</si>
  <si>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</si>
  <si>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</si>
  <si>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</si>
  <si>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</si>
  <si>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</si>
  <si>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</si>
  <si>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</si>
  <si>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</si>
  <si>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</si>
  <si>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</si>
  <si>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</si>
  <si>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</si>
  <si>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</si>
  <si>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</si>
  <si>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</si>
  <si>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</si>
  <si>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</si>
  <si>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</si>
  <si>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</si>
  <si>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</si>
  <si>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</si>
  <si>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</si>
  <si>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</si>
  <si>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</si>
  <si>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</si>
  <si>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</si>
  <si>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</si>
  <si>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</si>
  <si>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</si>
  <si>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</si>
  <si>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</si>
  <si>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</si>
  <si>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</si>
  <si>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</si>
  <si>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</si>
  <si>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</si>
  <si>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</si>
  <si>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</si>
  <si>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</si>
  <si>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</si>
  <si>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</si>
  <si>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</si>
  <si>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</si>
  <si>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</si>
  <si>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</si>
  <si>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</si>
  <si>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</si>
  <si>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</si>
  <si>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</si>
  <si>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</si>
  <si>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</si>
  <si>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</si>
  <si>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</si>
  <si>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</si>
  <si>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</si>
  <si>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</si>
  <si>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</si>
  <si>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</si>
  <si>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</si>
  <si>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</si>
  <si>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</si>
  <si>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</si>
  <si>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</si>
  <si>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</si>
  <si>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</si>
  <si>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</si>
  <si>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</si>
  <si>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</si>
  <si>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</si>
  <si>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</si>
  <si>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</si>
  <si>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</si>
  <si>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</si>
  <si>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</si>
  <si>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</si>
  <si>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</si>
  <si>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</si>
  <si>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</si>
  <si>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</si>
  <si>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</si>
  <si>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</si>
  <si>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</si>
  <si>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</si>
  <si>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</si>
  <si>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</si>
  <si>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</si>
  <si>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</si>
  <si>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</si>
  <si>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</si>
  <si>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</si>
  <si>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</si>
  <si>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</si>
  <si>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</si>
  <si>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</si>
  <si>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</si>
  <si>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</si>
  <si>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</si>
  <si>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</si>
  <si>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</si>
  <si>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</si>
  <si>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</si>
  <si>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</si>
  <si>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</si>
  <si>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</si>
  <si>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</si>
  <si>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</si>
  <si>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</si>
  <si>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</si>
  <si>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</si>
  <si>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</si>
  <si>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</si>
  <si>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</si>
  <si>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</si>
  <si>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</si>
  <si>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</si>
  <si>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</si>
  <si>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</si>
  <si>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</si>
  <si>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</si>
  <si>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</si>
  <si>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</si>
  <si>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</si>
  <si>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</si>
  <si>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</si>
  <si>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</si>
  <si>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</si>
  <si>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</si>
  <si>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</si>
  <si>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</si>
  <si>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</si>
  <si>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</si>
  <si>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</si>
  <si>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</si>
  <si>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</si>
  <si>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</si>
  <si>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</si>
  <si>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</si>
  <si>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</si>
  <si>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</si>
  <si>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</si>
  <si>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</si>
  <si>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</si>
  <si>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</si>
  <si>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</si>
  <si>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</si>
  <si>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</si>
  <si>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</si>
  <si>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</si>
  <si>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</si>
  <si>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</si>
  <si>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</si>
  <si>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</si>
  <si>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</si>
  <si>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</si>
  <si>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</si>
  <si>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</si>
  <si>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</si>
  <si>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</si>
  <si>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</si>
  <si>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</si>
  <si>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</si>
  <si>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</si>
  <si>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</si>
  <si>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</si>
  <si>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</si>
  <si>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</si>
  <si>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</si>
  <si>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</si>
  <si>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</si>
  <si>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</si>
  <si>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</si>
  <si>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</si>
  <si>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</si>
  <si>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</si>
  <si>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</si>
  <si>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</si>
  <si>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</si>
  <si>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</si>
  <si>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</si>
  <si>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</si>
  <si>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</si>
  <si>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</si>
  <si>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</si>
  <si>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</si>
  <si>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</si>
  <si>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</si>
  <si>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</si>
  <si>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</si>
  <si>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</si>
  <si>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</si>
  <si>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</si>
  <si>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</si>
  <si>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</si>
  <si>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</si>
  <si>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</si>
  <si>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</si>
  <si>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</si>
  <si>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</si>
  <si>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</si>
  <si>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</si>
  <si>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</si>
  <si>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</si>
  <si>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</si>
  <si>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</si>
  <si>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</si>
  <si>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</si>
  <si>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</si>
  <si>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</si>
  <si>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</si>
  <si>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</si>
  <si>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</si>
  <si>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</si>
  <si>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</si>
  <si>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</si>
  <si>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</si>
  <si>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</si>
  <si>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</si>
  <si>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</si>
  <si>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</si>
  <si>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</si>
  <si>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</si>
  <si>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</si>
  <si>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</si>
  <si>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</si>
  <si>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</si>
  <si>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</si>
  <si>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</si>
  <si>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</si>
  <si>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</si>
  <si>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</si>
  <si>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</si>
  <si>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</si>
  <si>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</si>
  <si>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</si>
  <si>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</si>
  <si>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</si>
  <si>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</si>
  <si>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</si>
  <si>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</si>
  <si>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</si>
  <si>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</si>
  <si>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</si>
  <si>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</si>
  <si>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</si>
  <si>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</si>
  <si>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</si>
  <si>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</si>
  <si>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</si>
  <si>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</si>
  <si>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</si>
  <si>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</si>
  <si>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</si>
  <si>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</si>
  <si>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</si>
  <si>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</si>
  <si>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</si>
  <si>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</si>
  <si>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</si>
  <si>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</si>
  <si>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</si>
  <si>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</si>
  <si>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</si>
  <si>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</si>
  <si>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</si>
  <si>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</si>
  <si>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</si>
  <si>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</si>
  <si>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</si>
  <si>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</si>
  <si>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</si>
  <si>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</si>
  <si>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</si>
  <si>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</si>
  <si>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</si>
  <si>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</si>
  <si>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</si>
  <si>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</si>
  <si>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</si>
  <si>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</si>
  <si>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</si>
  <si>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</si>
  <si>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</si>
  <si>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</si>
  <si>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</si>
  <si>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</si>
  <si>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</si>
  <si>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</si>
  <si>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</si>
  <si>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</si>
  <si>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</si>
  <si>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</si>
  <si>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</si>
  <si>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</si>
  <si>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</si>
  <si>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</si>
  <si>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</si>
  <si>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</si>
  <si>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</si>
  <si>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</si>
  <si>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</si>
  <si>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</si>
  <si>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</si>
  <si>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</si>
  <si>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</si>
  <si>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</si>
  <si>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</si>
  <si>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</si>
  <si>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</si>
  <si>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</si>
  <si>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</si>
  <si>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</si>
  <si>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</si>
  <si>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</si>
  <si>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</si>
  <si>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</si>
  <si>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</si>
  <si>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</si>
  <si>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</si>
  <si>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</si>
  <si>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</si>
  <si>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</si>
  <si>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</si>
  <si>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</si>
  <si>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</si>
  <si>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</si>
  <si>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</si>
  <si>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</si>
  <si>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</si>
  <si>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</si>
  <si>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</si>
  <si>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</si>
  <si>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</si>
  <si>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</si>
  <si>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</si>
  <si>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</si>
  <si>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</si>
  <si>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</si>
  <si>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</si>
  <si>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</si>
  <si>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</si>
  <si>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</si>
  <si>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</si>
  <si>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</si>
  <si>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</si>
  <si>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</si>
  <si>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</si>
  <si>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</si>
  <si>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</si>
  <si>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</si>
  <si>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</si>
  <si>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</si>
  <si>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</si>
  <si>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</si>
  <si>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</si>
  <si>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</si>
  <si>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</si>
  <si>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</si>
  <si>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</si>
  <si>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</si>
  <si>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</si>
  <si>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</si>
  <si>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</si>
  <si>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</si>
  <si>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</si>
  <si>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</si>
  <si>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</si>
  <si>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</si>
  <si>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</si>
  <si>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</si>
  <si>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</si>
  <si>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</si>
  <si>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</si>
  <si>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</si>
  <si>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</si>
  <si>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</si>
  <si>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</si>
  <si>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</si>
  <si>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</si>
  <si>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</si>
  <si>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</si>
  <si>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</si>
  <si>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</si>
  <si>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</si>
  <si>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</si>
  <si>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</si>
  <si>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</si>
  <si>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</si>
  <si>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</si>
  <si>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</si>
  <si>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</si>
  <si>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</si>
  <si>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</si>
  <si>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</si>
  <si>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</si>
  <si>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</si>
  <si>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</si>
  <si>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</si>
  <si>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</si>
  <si>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</si>
  <si>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</si>
  <si>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</si>
  <si>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</si>
  <si>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</si>
  <si>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</si>
  <si>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</si>
  <si>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</si>
  <si>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</si>
  <si>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</si>
  <si>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</si>
  <si>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</si>
  <si>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</si>
  <si>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</si>
  <si>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</si>
  <si>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</si>
  <si>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</si>
  <si>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</si>
  <si>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</si>
  <si>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</si>
  <si>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</si>
  <si>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</si>
  <si>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</si>
  <si>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</si>
  <si>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</si>
  <si>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</si>
  <si>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</si>
  <si>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</si>
  <si>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</si>
  <si>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</si>
  <si>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</si>
  <si>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</si>
  <si>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</si>
  <si>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</si>
  <si>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</si>
  <si>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</si>
  <si>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</si>
  <si>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</si>
  <si>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</si>
  <si>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</si>
  <si>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</si>
  <si>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</si>
  <si>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</si>
  <si>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</si>
  <si>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</si>
  <si>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</si>
  <si>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</si>
  <si>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</si>
  <si>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</si>
  <si>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</si>
  <si>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</si>
  <si>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</si>
  <si>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</si>
  <si>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</si>
  <si>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</si>
  <si>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</si>
  <si>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</si>
  <si>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</si>
  <si>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</si>
  <si>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</si>
  <si>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</si>
  <si>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</si>
  <si>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</si>
  <si>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</si>
  <si>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</si>
  <si>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</si>
  <si>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</si>
  <si>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</si>
  <si>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</si>
  <si>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</si>
  <si>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</si>
  <si>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</si>
  <si>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</si>
  <si>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</si>
  <si>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</si>
  <si>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</si>
  <si>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</si>
  <si>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</si>
  <si>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</si>
  <si>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</si>
  <si>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</si>
  <si>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</si>
  <si>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</si>
  <si>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</si>
  <si>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</si>
  <si>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</si>
  <si>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</si>
  <si>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</si>
  <si>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</si>
  <si>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</si>
  <si>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</si>
  <si>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</si>
  <si>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</si>
  <si>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</si>
  <si>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</si>
  <si>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</si>
  <si>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</si>
  <si>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</si>
  <si>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</si>
  <si>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</si>
  <si>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</si>
  <si>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</si>
  <si>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</si>
  <si>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</si>
  <si>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</si>
  <si>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</si>
  <si>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</si>
  <si>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</si>
  <si>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</si>
  <si>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</si>
  <si>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</si>
  <si>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</si>
  <si>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</si>
  <si>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</si>
  <si>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</si>
  <si>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</si>
  <si>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</si>
  <si>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</si>
  <si>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</si>
  <si>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</si>
  <si>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</si>
  <si>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</si>
  <si>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</si>
  <si>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</si>
  <si>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</si>
  <si>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</si>
  <si>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</si>
  <si>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</si>
  <si>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</si>
  <si>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</si>
  <si>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</si>
  <si>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</si>
  <si>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</si>
  <si>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</si>
  <si>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</si>
  <si>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</si>
  <si>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</si>
  <si>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</si>
  <si>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</si>
  <si>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</si>
  <si>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</si>
  <si>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</si>
  <si>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</si>
  <si>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</si>
  <si>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</si>
  <si>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</si>
  <si>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</si>
  <si>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</si>
  <si>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</si>
  <si>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</si>
  <si>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</si>
  <si>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</si>
  <si>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</si>
  <si>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</si>
  <si>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</si>
  <si>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</si>
  <si>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</si>
  <si>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</si>
  <si>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</si>
  <si>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</si>
  <si>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</si>
  <si>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</si>
  <si>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</si>
  <si>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</si>
  <si>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</si>
  <si>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</si>
  <si>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</si>
  <si>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</si>
  <si>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</si>
  <si>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</si>
  <si>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</si>
  <si>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</si>
  <si>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</si>
  <si>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</si>
  <si>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</si>
  <si>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</si>
  <si>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</si>
  <si>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</si>
  <si>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</si>
  <si>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</si>
  <si>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</si>
  <si>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</si>
  <si>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</si>
  <si>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</si>
  <si>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</si>
  <si>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</si>
  <si>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</si>
  <si>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</si>
  <si>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</si>
  <si>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</si>
  <si>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</si>
  <si>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</si>
  <si>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</si>
  <si>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</si>
  <si>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</si>
  <si>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</si>
  <si>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</si>
  <si>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</si>
  <si>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</si>
  <si>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</si>
  <si>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</si>
  <si>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</si>
  <si>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</si>
  <si>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</si>
  <si>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</si>
  <si>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</si>
  <si>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</si>
  <si>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</si>
  <si>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</si>
  <si>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</si>
  <si>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</si>
  <si>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</si>
  <si>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</si>
  <si>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</si>
  <si>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</si>
  <si>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</si>
  <si>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</si>
  <si>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</si>
  <si>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</si>
  <si>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</si>
  <si>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</si>
  <si>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</si>
  <si>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</si>
  <si>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</si>
  <si>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</si>
  <si>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</si>
  <si>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</si>
  <si>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</si>
  <si>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</si>
  <si>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</si>
  <si>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</si>
  <si>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</si>
  <si>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</si>
  <si>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</si>
  <si>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</si>
  <si>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</si>
  <si>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</si>
  <si>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</si>
  <si>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</si>
  <si>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</si>
  <si>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</si>
  <si>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</si>
  <si>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</si>
  <si>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</si>
  <si>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</si>
  <si>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</si>
  <si>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</si>
  <si>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</si>
  <si>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</si>
  <si>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</si>
  <si>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</si>
  <si>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</si>
  <si>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</si>
  <si>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</si>
  <si>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</si>
  <si>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</si>
  <si>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</si>
  <si>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</si>
  <si>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</si>
  <si>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</si>
  <si>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</si>
  <si>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</si>
  <si>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</si>
  <si>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</si>
  <si>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</si>
  <si>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</si>
  <si>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</si>
  <si>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</si>
  <si>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</si>
  <si>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</si>
  <si>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</si>
  <si>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</si>
  <si>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</si>
  <si>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</si>
  <si>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</si>
  <si>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</si>
  <si>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</si>
  <si>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</si>
  <si>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</si>
  <si>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</si>
  <si>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</si>
  <si>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</si>
  <si>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</si>
  <si>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</si>
  <si>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</si>
  <si>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</si>
  <si>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</si>
  <si>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</si>
  <si>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</si>
  <si>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</si>
  <si>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</si>
  <si>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</si>
  <si>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</si>
  <si>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</si>
  <si>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</si>
  <si>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</si>
  <si>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</si>
  <si>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</si>
  <si>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</si>
  <si>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</si>
  <si>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</si>
  <si>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</si>
  <si>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</si>
  <si>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</si>
  <si>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</si>
  <si>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</si>
  <si>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</si>
  <si>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</si>
  <si>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</si>
  <si>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</si>
  <si>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</si>
  <si>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</si>
  <si>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</si>
  <si>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</si>
  <si>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</si>
  <si>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</si>
  <si>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</si>
  <si>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</si>
  <si>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</si>
  <si>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</si>
  <si>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</si>
  <si>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</si>
  <si>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</si>
  <si>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</si>
  <si>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</si>
  <si>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</si>
  <si>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</si>
  <si>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</si>
  <si>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</si>
  <si>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</si>
  <si>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</si>
  <si>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</si>
  <si>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</si>
  <si>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</si>
  <si>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</si>
  <si>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</si>
  <si>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</si>
  <si>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</si>
  <si>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</si>
  <si>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</si>
  <si>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</si>
  <si>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</si>
  <si>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</si>
  <si>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</si>
  <si>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</si>
  <si>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</si>
  <si>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</si>
  <si>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</si>
  <si>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</si>
  <si>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</si>
  <si>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</si>
  <si>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</si>
  <si>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</si>
  <si>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</si>
  <si>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</si>
  <si>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</si>
  <si>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</si>
  <si>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</si>
  <si>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</si>
  <si>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</si>
  <si>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</si>
  <si>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</si>
  <si>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</si>
  <si>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</si>
  <si>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</si>
  <si>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</si>
  <si>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</si>
  <si>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</si>
  <si>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</si>
  <si>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</si>
  <si>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</si>
  <si>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</si>
  <si>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</si>
  <si>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</si>
  <si>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</si>
  <si>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</si>
  <si>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</si>
  <si>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</si>
  <si>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</si>
  <si>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</si>
  <si>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</si>
  <si>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</si>
  <si>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</si>
  <si>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</si>
  <si>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</si>
  <si>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</si>
  <si>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</si>
  <si>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</si>
  <si>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</si>
  <si>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</si>
  <si>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</si>
  <si>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</si>
  <si>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</si>
  <si>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</si>
  <si>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</si>
  <si>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</si>
  <si>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</si>
  <si>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</si>
  <si>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</si>
  <si>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</si>
  <si>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</si>
  <si>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</si>
  <si>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</si>
  <si>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</si>
  <si>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</si>
  <si>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</si>
  <si>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</si>
  <si>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</si>
  <si>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</si>
  <si>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</si>
  <si>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</si>
  <si>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</si>
  <si>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</si>
  <si>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</si>
  <si>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</si>
  <si>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</si>
  <si>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</si>
  <si>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</si>
  <si>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</si>
  <si>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</si>
  <si>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</si>
  <si>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</si>
  <si>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</si>
  <si>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</si>
  <si>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</si>
  <si>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</si>
  <si>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</si>
  <si>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</si>
  <si>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</si>
  <si>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</si>
  <si>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</si>
  <si>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</si>
  <si>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</si>
  <si>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</si>
  <si>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</si>
  <si>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</si>
  <si>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</si>
  <si>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</si>
  <si>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</si>
  <si>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</si>
  <si>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</si>
  <si>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</si>
  <si>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</si>
  <si>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</si>
  <si>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</si>
  <si>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</si>
  <si>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</si>
  <si>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</si>
  <si>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</si>
  <si>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</si>
  <si>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</si>
  <si>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</si>
  <si>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</si>
  <si>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</si>
  <si>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</si>
  <si>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</si>
  <si>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</si>
  <si>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</si>
  <si>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</si>
  <si>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</si>
  <si>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</si>
  <si>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</si>
  <si>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</si>
  <si>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</si>
  <si>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</si>
  <si>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</si>
  <si>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</si>
  <si>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</si>
  <si>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</si>
  <si>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</si>
  <si>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</si>
  <si>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</si>
  <si>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</si>
  <si>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</si>
  <si>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</si>
  <si>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</si>
  <si>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</si>
  <si>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</si>
  <si>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</si>
  <si>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</si>
  <si>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</si>
  <si>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</si>
  <si>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</si>
  <si>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</si>
  <si>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</si>
  <si>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</si>
  <si>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</si>
  <si>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</si>
  <si>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</si>
  <si>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</si>
  <si>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</si>
  <si>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</si>
  <si>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</si>
  <si>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</si>
  <si>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</si>
  <si>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</si>
  <si>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</si>
  <si>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</si>
  <si>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</si>
  <si>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</si>
  <si>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</si>
  <si>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</si>
  <si>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</si>
  <si>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</si>
  <si>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</si>
  <si>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</si>
  <si>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</si>
  <si>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</si>
  <si>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</si>
  <si>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</si>
  <si>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</si>
  <si>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</si>
  <si>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</si>
  <si>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</si>
  <si>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</si>
  <si>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</si>
  <si>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</si>
  <si>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</si>
  <si>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</si>
  <si>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</si>
  <si>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</si>
  <si>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</si>
  <si>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</si>
  <si>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</si>
  <si>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</si>
  <si>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</si>
  <si>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</si>
  <si>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</si>
  <si>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</si>
  <si>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</si>
  <si>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</si>
  <si>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</si>
  <si>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</si>
  <si>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</si>
  <si>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</si>
  <si>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</si>
  <si>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</si>
  <si>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</si>
  <si>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</si>
  <si>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</si>
  <si>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</si>
  <si>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</si>
  <si>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</si>
  <si>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</si>
  <si>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</si>
  <si>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</si>
  <si>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</si>
  <si>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</si>
  <si>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</si>
  <si>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</si>
  <si>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</si>
  <si>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</si>
  <si>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</si>
  <si>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</si>
  <si>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</si>
  <si>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</si>
  <si>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</si>
  <si>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</si>
  <si>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</si>
  <si>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</si>
  <si>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</si>
  <si>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</si>
  <si>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</si>
  <si>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</si>
  <si>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</si>
  <si>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</si>
  <si>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</si>
  <si>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</si>
  <si>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</si>
  <si>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</si>
  <si>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</si>
  <si>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</si>
  <si>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</si>
  <si>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</si>
  <si>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</si>
  <si>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</si>
  <si>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</si>
  <si>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</si>
  <si>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</si>
  <si>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</si>
  <si>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</si>
  <si>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</si>
  <si>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</si>
  <si>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</si>
  <si>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</si>
  <si>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</si>
  <si>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</si>
  <si>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</si>
  <si>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</si>
  <si>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</si>
  <si>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</si>
  <si>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</si>
  <si>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</si>
  <si>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</si>
  <si>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</si>
  <si>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</si>
  <si>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</si>
  <si>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</si>
  <si>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</si>
  <si>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</si>
  <si>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</si>
  <si>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</si>
  <si>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</si>
  <si>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</si>
  <si>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</si>
  <si>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</si>
  <si>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</si>
  <si>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</si>
  <si>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</si>
  <si>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</si>
  <si>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</si>
  <si>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</si>
  <si>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</si>
  <si>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</si>
  <si>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</si>
  <si>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</si>
  <si>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</si>
  <si>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</si>
  <si>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</si>
  <si>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</si>
  <si>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</si>
  <si>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</si>
  <si>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</si>
  <si>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</si>
  <si>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</si>
  <si>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</si>
  <si>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</si>
  <si>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</si>
  <si>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</si>
  <si>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</si>
  <si>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</si>
  <si>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</si>
  <si>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</si>
  <si>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</si>
  <si>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</si>
  <si>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</si>
  <si>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</si>
  <si>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</si>
  <si>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</si>
  <si>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</si>
  <si>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</si>
  <si>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</si>
  <si>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</si>
  <si>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</si>
  <si>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</si>
  <si>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</si>
  <si>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</si>
  <si>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</si>
  <si>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</si>
  <si>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</si>
  <si>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</si>
  <si>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</si>
  <si>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</si>
  <si>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</si>
  <si>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</si>
  <si>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</si>
  <si>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</si>
  <si>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</si>
  <si>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</si>
  <si>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</si>
  <si>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</si>
  <si>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</si>
  <si>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</si>
  <si>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</si>
  <si>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</si>
  <si>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</si>
  <si>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</si>
  <si>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</si>
  <si>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</si>
  <si>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</si>
  <si>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</si>
  <si>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</si>
  <si>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</si>
  <si>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</si>
  <si>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</si>
  <si>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</si>
  <si>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</si>
  <si>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</si>
  <si>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</si>
  <si>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</si>
  <si>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</si>
  <si>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</si>
  <si>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</si>
  <si>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</si>
  <si>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</si>
  <si>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</si>
  <si>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</si>
  <si>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</si>
  <si>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</si>
  <si>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</si>
  <si>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</si>
  <si>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</si>
  <si>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</si>
  <si>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</si>
  <si>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</si>
  <si>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</si>
  <si>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</si>
  <si>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</si>
  <si>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</si>
  <si>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</si>
  <si>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</si>
  <si>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</si>
  <si>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</si>
  <si>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</si>
  <si>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</si>
  <si>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</si>
  <si>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</si>
  <si>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</si>
  <si>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</si>
  <si>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</si>
  <si>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</si>
  <si>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</si>
  <si>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</si>
  <si>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</si>
  <si>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</si>
  <si>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</si>
  <si>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</si>
  <si>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</si>
  <si>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</si>
  <si>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</si>
  <si>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</si>
  <si>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</si>
  <si>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</si>
  <si>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</si>
  <si>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</si>
  <si>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</si>
  <si>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</si>
  <si>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</si>
  <si>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</si>
  <si>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</si>
  <si>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</si>
  <si>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</si>
  <si>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</si>
  <si>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</si>
  <si>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</si>
  <si>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</si>
  <si>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</si>
  <si>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</si>
  <si>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</si>
  <si>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</si>
  <si>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</si>
  <si>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</si>
  <si>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</si>
  <si>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</si>
  <si>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</si>
  <si>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</si>
  <si>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</si>
  <si>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</si>
  <si>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</si>
  <si>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</si>
  <si>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</si>
  <si>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</si>
  <si>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</si>
  <si>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</si>
  <si>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</si>
  <si>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</si>
  <si>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</si>
  <si>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</si>
  <si>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</si>
  <si>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</si>
  <si>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</si>
  <si>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</si>
  <si>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</si>
  <si>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</si>
  <si>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</si>
  <si>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</si>
  <si>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</si>
  <si>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</si>
  <si>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</si>
  <si>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</si>
  <si>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</si>
  <si>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</si>
  <si>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</si>
  <si>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</si>
  <si>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</si>
  <si>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</si>
  <si>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</si>
  <si>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</si>
  <si>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</si>
  <si>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</si>
  <si>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</si>
  <si>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</si>
  <si>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</si>
  <si>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</si>
  <si>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</si>
  <si>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</si>
  <si>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</si>
  <si>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</si>
  <si>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</si>
  <si>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</si>
  <si>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</si>
  <si>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</si>
  <si>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</si>
  <si>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</si>
  <si>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</si>
  <si>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</si>
  <si>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</si>
  <si>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</si>
  <si>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</si>
  <si>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</si>
  <si>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</si>
  <si>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</si>
  <si>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</si>
  <si>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</si>
  <si>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</si>
  <si>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</si>
  <si>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</si>
  <si>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</si>
  <si>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</si>
  <si>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</si>
  <si>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</si>
  <si>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</si>
  <si>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</si>
  <si>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</si>
  <si>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</si>
  <si>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</si>
  <si>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</si>
  <si>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</si>
  <si>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</si>
  <si>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</si>
  <si>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</si>
  <si>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</si>
  <si>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</si>
  <si>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</si>
  <si>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</si>
  <si>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</si>
  <si>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</si>
  <si>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</si>
  <si>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</si>
  <si>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</si>
  <si>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</si>
  <si>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</si>
  <si>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</si>
  <si>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</si>
  <si>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</si>
  <si>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</si>
  <si>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</si>
  <si>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</si>
  <si>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</si>
  <si>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</si>
  <si>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</si>
  <si>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</si>
  <si>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</si>
  <si>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</si>
  <si>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</si>
  <si>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</si>
  <si>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</si>
  <si>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</si>
  <si>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</si>
  <si>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</si>
  <si>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</si>
  <si>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</si>
  <si>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</si>
  <si>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</si>
  <si>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</si>
  <si>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</si>
  <si>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</si>
  <si>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</si>
  <si>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</si>
  <si>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</si>
  <si>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</si>
  <si>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</si>
  <si>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</si>
  <si>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</si>
  <si>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</si>
  <si>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</si>
  <si>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</si>
  <si>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</si>
  <si>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</si>
  <si>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</si>
  <si>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</si>
  <si>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</si>
  <si>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</si>
  <si>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</si>
  <si>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</si>
  <si>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</si>
  <si>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</si>
  <si>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</si>
  <si>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</si>
  <si>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</si>
  <si>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</si>
  <si>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</si>
  <si>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</si>
  <si>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</si>
  <si>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</si>
  <si>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</si>
  <si>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</si>
  <si>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</si>
  <si>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</si>
  <si>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</si>
  <si>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</si>
  <si>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</si>
  <si>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</si>
  <si>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</si>
  <si>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</si>
  <si>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</si>
  <si>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</si>
  <si>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</si>
  <si>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</si>
  <si>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</si>
  <si>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</si>
  <si>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</si>
  <si>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</si>
  <si>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</si>
  <si>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</si>
  <si>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</si>
  <si>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</si>
  <si>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</si>
  <si>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</si>
  <si>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</si>
  <si>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</si>
  <si>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</si>
  <si>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</si>
  <si>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</si>
  <si>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</si>
  <si>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</si>
  <si>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</si>
  <si>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</si>
  <si>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</si>
  <si>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</si>
  <si>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</si>
  <si>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</si>
  <si>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</si>
  <si>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</si>
  <si>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</si>
  <si>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</si>
  <si>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</si>
  <si>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</si>
  <si>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</si>
  <si>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</si>
  <si>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</si>
  <si>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</si>
  <si>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</si>
  <si>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</si>
  <si>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</si>
  <si>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</si>
  <si>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</si>
  <si>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</si>
  <si>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</si>
  <si>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</si>
  <si>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</si>
  <si>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</si>
  <si>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</si>
  <si>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</si>
  <si>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</si>
  <si>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</si>
  <si>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</si>
  <si>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</si>
  <si>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</si>
  <si>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</si>
  <si>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</si>
  <si>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</si>
  <si>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</si>
  <si>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</si>
  <si>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</si>
  <si>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</si>
  <si>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</si>
  <si>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</si>
  <si>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</si>
  <si>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</si>
  <si>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</si>
  <si>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</si>
  <si>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</si>
  <si>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</si>
  <si>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</si>
  <si>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</si>
  <si>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</si>
  <si>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</si>
  <si>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</si>
  <si>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</si>
  <si>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</si>
  <si>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</si>
  <si>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</si>
  <si>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</si>
  <si>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</si>
  <si>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</si>
  <si>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</si>
  <si>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</si>
  <si>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</si>
  <si>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</si>
  <si>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</si>
  <si>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</si>
  <si>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</si>
  <si>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</si>
  <si>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</si>
  <si>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</si>
  <si>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</si>
  <si>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</si>
  <si>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</si>
  <si>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</si>
  <si>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</si>
  <si>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</si>
  <si>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</si>
  <si>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</si>
  <si>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</si>
  <si>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</si>
  <si>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</si>
  <si>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</si>
  <si>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</si>
  <si>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</si>
  <si>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</si>
  <si>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</si>
  <si>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</si>
  <si>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</si>
  <si>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</si>
  <si>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</si>
  <si>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</si>
  <si>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</si>
  <si>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</si>
  <si>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</si>
  <si>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</si>
  <si>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</si>
  <si>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</si>
  <si>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</si>
  <si>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</si>
  <si>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</si>
  <si>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</si>
  <si>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</si>
  <si>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</si>
  <si>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</si>
  <si>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</si>
  <si>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</si>
  <si>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</si>
  <si>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</si>
  <si>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</si>
  <si>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</si>
  <si>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</si>
  <si>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</si>
  <si>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</si>
  <si>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</si>
  <si>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</si>
  <si>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</si>
  <si>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</si>
  <si>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</si>
  <si>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</si>
  <si>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</si>
  <si>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</si>
  <si>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</si>
  <si>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</si>
  <si>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</si>
  <si>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</si>
  <si>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</si>
  <si>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</si>
  <si>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</si>
  <si>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</si>
  <si>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</si>
  <si>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</si>
  <si>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</si>
  <si>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</si>
  <si>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</si>
  <si>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</si>
  <si>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</si>
  <si>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</si>
  <si>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</si>
  <si>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</si>
  <si>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</si>
  <si>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</si>
  <si>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</si>
  <si>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</si>
  <si>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</si>
  <si>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</si>
  <si>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</si>
  <si>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</si>
  <si>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</si>
  <si>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</si>
  <si>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</si>
  <si>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</si>
  <si>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</si>
  <si>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</si>
  <si>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</si>
  <si>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</si>
  <si>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</si>
  <si>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</si>
  <si>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</si>
  <si>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</si>
  <si>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</si>
  <si>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</si>
  <si>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</si>
  <si>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</si>
  <si>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</si>
  <si>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</si>
  <si>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</si>
  <si>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</si>
  <si>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</si>
  <si>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</si>
  <si>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</si>
  <si>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</si>
  <si>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</si>
  <si>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</si>
  <si>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</si>
  <si>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</si>
  <si>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</si>
  <si>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</si>
  <si>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</si>
  <si>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</si>
  <si>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</si>
  <si>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</si>
  <si>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</si>
  <si>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</si>
  <si>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</si>
  <si>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</si>
  <si>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</si>
  <si>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</si>
  <si>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</si>
  <si>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</si>
  <si>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</si>
  <si>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</si>
  <si>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</si>
  <si>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</si>
  <si>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</si>
  <si>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</si>
  <si>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</si>
  <si>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</si>
  <si>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</si>
  <si>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</si>
  <si>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</si>
  <si>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</si>
  <si>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</si>
  <si>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</si>
  <si>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</si>
  <si>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</si>
  <si>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</si>
  <si>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</si>
  <si>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</si>
  <si>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</si>
  <si>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</si>
  <si>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</si>
  <si>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</si>
  <si>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</si>
  <si>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</si>
  <si>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</si>
  <si>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</si>
  <si>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</si>
  <si>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</si>
  <si>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</si>
  <si>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</si>
  <si>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</si>
  <si>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</si>
  <si>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</si>
  <si>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</si>
  <si>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</si>
  <si>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</si>
  <si>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</si>
  <si>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</si>
  <si>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</si>
  <si>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</si>
  <si>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</si>
  <si>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</si>
  <si>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</si>
  <si>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</si>
  <si>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</si>
  <si>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</si>
  <si>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</si>
  <si>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</si>
  <si>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</si>
  <si>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</si>
  <si>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</si>
  <si>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</si>
  <si>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</si>
  <si>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</si>
  <si>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</si>
  <si>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</si>
  <si>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</si>
  <si>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</si>
  <si>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</si>
  <si>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</si>
  <si>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</si>
  <si>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</si>
  <si>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</si>
  <si>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</si>
  <si>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</si>
  <si>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</si>
  <si>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</si>
  <si>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</si>
  <si>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</si>
  <si>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</si>
  <si>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</si>
  <si>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</si>
  <si>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</si>
  <si>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</si>
  <si>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</si>
  <si>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</si>
  <si>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</si>
  <si>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</si>
  <si>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</si>
  <si>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</si>
  <si>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</si>
  <si>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</si>
  <si>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</si>
  <si>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</si>
  <si>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</si>
  <si>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</si>
  <si>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</si>
  <si>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</si>
  <si>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</si>
  <si>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</si>
  <si>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</si>
  <si>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</si>
  <si>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</si>
  <si>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</si>
  <si>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</si>
  <si>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</si>
  <si>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</si>
  <si>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</si>
  <si>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</si>
  <si>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</si>
  <si>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</si>
  <si>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</si>
  <si>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</si>
  <si>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</si>
  <si>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</si>
  <si>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</si>
  <si>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</si>
  <si>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</si>
  <si>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</si>
  <si>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</si>
  <si>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</si>
  <si>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</si>
  <si>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</si>
  <si>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</si>
  <si>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</si>
  <si>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</si>
  <si>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</si>
  <si>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</si>
  <si>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</si>
  <si>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</si>
  <si>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</si>
  <si>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</si>
  <si>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</si>
  <si>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</si>
  <si>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</si>
  <si>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</si>
  <si>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</si>
  <si>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</si>
  <si>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</si>
  <si>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</si>
  <si>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</si>
  <si>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</si>
  <si>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</si>
  <si>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</si>
  <si>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</si>
  <si>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</si>
  <si>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</si>
  <si>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</si>
  <si>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</si>
  <si>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</si>
  <si>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</si>
  <si>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</si>
  <si>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</si>
  <si>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</si>
  <si>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</si>
  <si>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</si>
  <si>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</si>
  <si>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</si>
  <si>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</si>
  <si>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</si>
  <si>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</si>
  <si>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</si>
  <si>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</si>
  <si>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</si>
  <si>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</si>
  <si>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</si>
  <si>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</si>
  <si>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</si>
  <si>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</si>
  <si>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</si>
  <si>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</si>
  <si>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</si>
  <si>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</si>
  <si>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</si>
  <si>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</si>
  <si>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</si>
  <si>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</si>
  <si>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</si>
  <si>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</si>
  <si>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</si>
  <si>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</si>
  <si>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</si>
  <si>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</si>
  <si>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</si>
  <si>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</si>
  <si>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</si>
  <si>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</si>
  <si>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</si>
  <si>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</si>
  <si>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</si>
  <si>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</si>
  <si>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</si>
  <si>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</si>
  <si>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</si>
  <si>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</si>
  <si>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</si>
  <si>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</si>
  <si>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</si>
  <si>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</si>
  <si>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</si>
  <si>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</si>
  <si>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</si>
  <si>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</si>
  <si>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</si>
  <si>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</si>
  <si>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</si>
  <si>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</si>
  <si>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</si>
  <si>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</si>
  <si>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</si>
  <si>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</si>
  <si>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</si>
  <si>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</si>
  <si>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</si>
  <si>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</si>
  <si>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</si>
  <si>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</si>
  <si>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</si>
  <si>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</si>
  <si>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</si>
  <si>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</si>
  <si>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</si>
  <si>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</si>
  <si>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</si>
  <si>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</si>
  <si>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</si>
  <si>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</si>
  <si>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</si>
  <si>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</si>
  <si>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</si>
  <si>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</si>
  <si>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</si>
  <si>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</si>
  <si>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</si>
  <si>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</si>
  <si>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</si>
  <si>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</si>
  <si>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</si>
  <si>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</si>
  <si>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</si>
  <si>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</si>
  <si>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</si>
  <si>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</si>
  <si>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</si>
  <si>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</si>
  <si>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</si>
  <si>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</si>
  <si>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</si>
  <si>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</si>
  <si>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</si>
  <si>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</si>
  <si>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</si>
  <si>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</si>
  <si>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</si>
  <si>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</si>
  <si>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</si>
  <si>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</si>
  <si>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</si>
  <si>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</si>
  <si>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</si>
  <si>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</si>
  <si>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</si>
  <si>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</si>
  <si>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</si>
  <si>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</si>
  <si>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</si>
  <si>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</si>
  <si>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</si>
  <si>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</si>
  <si>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</si>
  <si>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</si>
  <si>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</si>
  <si>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</si>
  <si>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</si>
  <si>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</si>
  <si>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</si>
  <si>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</si>
  <si>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</si>
  <si>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</si>
  <si>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</si>
  <si>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</si>
  <si>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</si>
  <si>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</si>
  <si>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</si>
  <si>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</si>
  <si>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</si>
  <si>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</si>
  <si>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</si>
  <si>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</si>
  <si>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</si>
  <si>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</si>
  <si>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</si>
  <si>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</si>
  <si>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</si>
  <si>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</si>
  <si>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</si>
  <si>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</si>
  <si>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</si>
  <si>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</si>
  <si>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</si>
  <si>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</si>
  <si>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</si>
  <si>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</si>
  <si>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</si>
  <si>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</si>
  <si>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</si>
  <si>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</si>
  <si>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</si>
  <si>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</si>
  <si>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</si>
  <si>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</si>
  <si>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</si>
  <si>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</si>
  <si>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</si>
  <si>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</si>
  <si>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</si>
  <si>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</si>
  <si>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</si>
  <si>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</si>
  <si>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</si>
  <si>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</si>
  <si>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</si>
  <si>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</si>
  <si>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</si>
  <si>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</si>
  <si>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</si>
  <si>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</si>
  <si>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</si>
  <si>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</si>
  <si>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</si>
  <si>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</si>
  <si>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</si>
  <si>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</si>
  <si>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</si>
  <si>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</si>
  <si>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</si>
  <si>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</si>
  <si>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</si>
  <si>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</si>
  <si>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</si>
  <si>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</si>
  <si>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</si>
  <si>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</si>
  <si>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</si>
  <si>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</si>
  <si>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</si>
  <si>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</si>
  <si>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</si>
  <si>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</si>
  <si>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</si>
  <si>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</si>
  <si>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</si>
  <si>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</si>
  <si>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</si>
  <si>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</si>
  <si>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</si>
  <si>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</si>
  <si>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</si>
  <si>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</si>
  <si>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</si>
  <si>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</si>
  <si>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</si>
  <si>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</si>
  <si>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</si>
  <si>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</si>
  <si>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</si>
  <si>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</si>
  <si>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</si>
  <si>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</si>
  <si>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</si>
  <si>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</si>
  <si>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</si>
  <si>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</si>
  <si>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</si>
  <si>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</si>
  <si>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</si>
  <si>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</si>
  <si>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</si>
  <si>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</si>
  <si>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</si>
  <si>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</si>
  <si>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</si>
  <si>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</si>
  <si>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</si>
  <si>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</si>
  <si>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</si>
  <si>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</si>
  <si>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</si>
  <si>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</si>
  <si>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</si>
  <si>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</si>
  <si>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</si>
  <si>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</si>
  <si>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</si>
  <si>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</si>
  <si>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</si>
  <si>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</si>
  <si>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</si>
  <si>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</si>
  <si>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</si>
  <si>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</si>
  <si>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</si>
  <si>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</si>
  <si>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</si>
  <si>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</si>
  <si>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</si>
  <si>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</si>
  <si>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</si>
  <si>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</si>
  <si>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</si>
  <si>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</si>
  <si>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</si>
  <si>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</si>
  <si>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</si>
  <si>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</si>
  <si>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</si>
  <si>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</si>
  <si>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</si>
  <si>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</si>
  <si>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</si>
  <si>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</si>
  <si>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</si>
  <si>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</si>
  <si>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</si>
  <si>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</si>
  <si>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</si>
  <si>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</si>
  <si>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</si>
  <si>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</si>
  <si>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</si>
  <si>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</si>
  <si>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</si>
  <si>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</si>
  <si>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</si>
  <si>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</si>
  <si>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</si>
  <si>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</si>
  <si>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</si>
  <si>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</si>
  <si>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</si>
  <si>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</si>
  <si>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</si>
  <si>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</si>
  <si>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</si>
  <si>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</si>
  <si>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</si>
  <si>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</si>
  <si>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</si>
  <si>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</si>
  <si>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</si>
  <si>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</si>
  <si>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</si>
  <si>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</si>
  <si>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</si>
  <si>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</si>
  <si>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</si>
  <si>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</si>
  <si>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</si>
  <si>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</si>
  <si>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</si>
  <si>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</si>
  <si>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</si>
  <si>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</si>
  <si>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</si>
  <si>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</si>
  <si>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</si>
  <si>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</si>
  <si>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</si>
  <si>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</si>
  <si>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</si>
  <si>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</si>
  <si>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</si>
  <si>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</si>
  <si>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</si>
  <si>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</si>
  <si>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</si>
  <si>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</si>
  <si>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</si>
  <si>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</si>
  <si>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</si>
  <si>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</si>
  <si>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</si>
  <si>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</si>
  <si>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</si>
  <si>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</si>
  <si>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</si>
  <si>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</si>
  <si>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</si>
  <si>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</si>
  <si>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</si>
  <si>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</si>
  <si>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</si>
  <si>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</si>
  <si>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</si>
  <si>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</si>
  <si>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</si>
  <si>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</si>
  <si>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</si>
  <si>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</si>
  <si>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</si>
  <si>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</si>
  <si>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</si>
  <si>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</si>
  <si>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</si>
  <si>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</si>
  <si>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</si>
  <si>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</si>
  <si>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</si>
  <si>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</si>
  <si>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</si>
  <si>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</si>
  <si>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</si>
  <si>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</si>
  <si>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</si>
  <si>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</si>
  <si>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</si>
  <si>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</si>
  <si>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</si>
  <si>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</si>
  <si>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</si>
  <si>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</si>
  <si>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</si>
  <si>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</si>
  <si>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</si>
  <si>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</si>
  <si>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</si>
  <si>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</si>
  <si>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</si>
  <si>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</si>
  <si>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</si>
  <si>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</si>
  <si>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</si>
  <si>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</si>
  <si>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</si>
  <si>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</si>
  <si>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</si>
  <si>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</si>
  <si>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</si>
  <si>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</si>
  <si>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</si>
  <si>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</si>
  <si>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</si>
  <si>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</si>
  <si>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</si>
  <si>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</si>
  <si>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</si>
  <si>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</si>
  <si>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</si>
  <si>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</si>
  <si>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</si>
  <si>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</si>
  <si>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</si>
  <si>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</si>
  <si>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</si>
  <si>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</si>
  <si>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</si>
  <si>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</si>
  <si>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</si>
  <si>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</si>
  <si>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</si>
  <si>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</si>
  <si>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</si>
  <si>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</si>
  <si>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</si>
  <si>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</si>
  <si>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</si>
  <si>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</si>
  <si>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</si>
  <si>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</si>
  <si>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</si>
  <si>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</si>
  <si>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</si>
  <si>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</si>
  <si>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</si>
  <si>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</si>
  <si>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</si>
  <si>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</si>
  <si>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</si>
  <si>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</si>
  <si>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</si>
  <si>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</si>
  <si>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</si>
  <si>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</si>
  <si>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</si>
  <si>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</si>
  <si>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</si>
  <si>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</si>
  <si>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</si>
  <si>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</si>
  <si>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</si>
  <si>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</si>
  <si>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</si>
  <si>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</si>
  <si>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</si>
  <si>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</si>
  <si>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</si>
  <si>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</si>
  <si>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</si>
  <si>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</si>
  <si>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</si>
  <si>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</si>
  <si>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</si>
  <si>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</si>
  <si>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</si>
  <si>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</si>
  <si>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</si>
  <si>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</si>
  <si>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</si>
  <si>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</si>
  <si>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</si>
  <si>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</si>
  <si>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</si>
  <si>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</si>
  <si>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</si>
  <si>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</si>
  <si>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</si>
  <si>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</si>
  <si>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</si>
  <si>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</si>
  <si>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</si>
  <si>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</si>
  <si>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</si>
  <si>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</si>
  <si>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</si>
  <si>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</si>
  <si>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</si>
  <si>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</si>
  <si>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</si>
  <si>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</si>
  <si>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</si>
  <si>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</si>
  <si>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</si>
  <si>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</si>
  <si>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</si>
  <si>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</si>
  <si>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</si>
  <si>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</si>
  <si>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</si>
  <si>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</si>
  <si>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</si>
  <si>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</si>
  <si>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</si>
  <si>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</si>
  <si>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</si>
  <si>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</si>
  <si>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</si>
  <si>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</si>
  <si>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</si>
  <si>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</si>
  <si>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</si>
  <si>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</si>
  <si>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</si>
  <si>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</si>
  <si>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</si>
  <si>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</si>
  <si>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</si>
  <si>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</si>
  <si>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</si>
  <si>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</si>
  <si>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</si>
  <si>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</si>
  <si>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</si>
  <si>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</si>
  <si>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</si>
  <si>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</si>
  <si>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</si>
  <si>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</si>
  <si>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</si>
  <si>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</si>
  <si>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</si>
  <si>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</si>
  <si>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</si>
  <si>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</si>
  <si>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</si>
  <si>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</si>
  <si>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</si>
  <si>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</si>
  <si>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</si>
  <si>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</si>
  <si>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</si>
  <si>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</si>
  <si>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</si>
  <si>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</si>
  <si>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</si>
  <si>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</si>
  <si>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</si>
  <si>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</si>
  <si>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</si>
  <si>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</si>
  <si>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</si>
  <si>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</si>
  <si>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</si>
  <si>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</si>
  <si>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</si>
  <si>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</si>
  <si>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</si>
  <si>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</si>
  <si>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</si>
  <si>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</si>
  <si>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</si>
  <si>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</si>
  <si>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</si>
  <si>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</si>
  <si>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</si>
  <si>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</si>
  <si>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</si>
  <si>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</si>
  <si>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</si>
  <si>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</si>
  <si>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</si>
  <si>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</si>
  <si>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</si>
  <si>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</si>
  <si>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</si>
  <si>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</si>
  <si>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</si>
  <si>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</si>
  <si>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</si>
  <si>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</si>
  <si>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</si>
  <si>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</si>
  <si>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</si>
  <si>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</si>
  <si>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</si>
  <si>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</si>
  <si>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</si>
  <si>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</si>
  <si>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</si>
  <si>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</si>
  <si>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</si>
  <si>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</si>
  <si>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</si>
  <si>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</si>
  <si>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</si>
  <si>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</si>
  <si>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</si>
  <si>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</si>
  <si>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</si>
  <si>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</si>
  <si>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</si>
  <si>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</si>
  <si>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</si>
  <si>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</si>
  <si>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</si>
  <si>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</si>
  <si>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</si>
  <si>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</si>
  <si>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</si>
  <si>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</si>
  <si>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</si>
  <si>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</si>
  <si>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</si>
  <si>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</si>
  <si>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</si>
  <si>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</si>
  <si>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</si>
  <si>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</si>
  <si>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</si>
  <si>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</si>
  <si>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</si>
  <si>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</si>
  <si>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</si>
  <si>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</si>
  <si>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</si>
  <si>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</si>
  <si>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</si>
  <si>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</si>
  <si>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</si>
  <si>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</si>
  <si>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</si>
  <si>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</si>
  <si>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</si>
  <si>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</si>
  <si>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</si>
  <si>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</si>
  <si>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</si>
  <si>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</si>
  <si>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</si>
  <si>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</si>
  <si>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</si>
  <si>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</si>
  <si>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</si>
  <si>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</si>
  <si>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</si>
  <si>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</si>
  <si>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</si>
  <si>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</si>
  <si>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</si>
  <si>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</si>
  <si>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</si>
  <si>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</si>
  <si>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</si>
  <si>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</si>
  <si>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</si>
  <si>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</si>
  <si>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</si>
  <si>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</si>
  <si>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</si>
  <si>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</si>
  <si>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</si>
  <si>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</si>
  <si>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</si>
  <si>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</si>
  <si>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</si>
  <si>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</si>
  <si>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</si>
  <si>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</si>
  <si>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</si>
  <si>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</si>
  <si>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</si>
  <si>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</si>
  <si>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</si>
  <si>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</si>
  <si>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</si>
  <si>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</si>
  <si>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</si>
  <si>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</si>
  <si>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</si>
  <si>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</si>
  <si>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</si>
  <si>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</si>
  <si>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</si>
  <si>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</si>
  <si>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</si>
  <si>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</si>
  <si>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</si>
  <si>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</si>
  <si>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</si>
  <si>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</si>
  <si>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</si>
  <si>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</si>
  <si>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</si>
  <si>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</si>
  <si>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</si>
  <si>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</si>
  <si>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</si>
  <si>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</si>
  <si>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</si>
  <si>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</si>
  <si>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</si>
  <si>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</si>
  <si>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</si>
  <si>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</si>
  <si>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</si>
  <si>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</si>
  <si>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</si>
  <si>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</si>
  <si>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</si>
  <si>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</si>
  <si>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</si>
  <si>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</si>
  <si>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</si>
  <si>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</si>
  <si>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</si>
  <si>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</si>
  <si>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</si>
  <si>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</si>
  <si>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</si>
  <si>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</si>
  <si>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</si>
  <si>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</si>
  <si>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</si>
  <si>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</si>
  <si>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</si>
  <si>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</si>
  <si>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</si>
  <si>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</si>
  <si>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</si>
  <si>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</si>
  <si>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</si>
  <si>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</si>
  <si>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</si>
  <si>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</si>
  <si>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</si>
  <si>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</si>
  <si>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</si>
  <si>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</si>
  <si>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</si>
  <si>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</si>
  <si>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</si>
  <si>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</si>
  <si>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</si>
  <si>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</si>
  <si>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</si>
  <si>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</si>
  <si>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</si>
  <si>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</si>
  <si>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</si>
  <si>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</si>
  <si>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</si>
  <si>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</si>
  <si>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</si>
  <si>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</si>
  <si>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</si>
  <si>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</si>
  <si>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</si>
  <si>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</si>
  <si>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</si>
  <si>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</si>
  <si>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</si>
  <si>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</si>
  <si>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</si>
  <si>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</si>
  <si>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</si>
  <si>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</si>
  <si>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</si>
  <si>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</si>
  <si>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</si>
  <si>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</si>
  <si>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</si>
  <si>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</si>
  <si>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</si>
  <si>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</si>
  <si>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</si>
  <si>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</si>
  <si>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</si>
  <si>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</si>
  <si>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</si>
  <si>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</si>
  <si>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</si>
  <si>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</si>
  <si>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</si>
  <si>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</si>
  <si>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</si>
  <si>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</si>
  <si>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</si>
  <si>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</si>
  <si>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</si>
  <si>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</si>
  <si>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</si>
  <si>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</si>
  <si>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</si>
  <si>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</si>
  <si>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</si>
  <si>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</si>
  <si>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</si>
  <si>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</si>
  <si>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</si>
  <si>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</si>
  <si>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</si>
  <si>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</si>
  <si>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</si>
  <si>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</si>
  <si>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</si>
  <si>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</si>
  <si>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</si>
  <si>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</si>
  <si>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</si>
  <si>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</si>
  <si>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</si>
  <si>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</si>
  <si>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</si>
  <si>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</si>
  <si>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</si>
  <si>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</si>
  <si>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</si>
  <si>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</si>
  <si>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</si>
  <si>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</si>
  <si>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</si>
  <si>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</si>
  <si>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</si>
  <si>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</si>
  <si>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</si>
  <si>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</si>
  <si>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</si>
  <si>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</si>
  <si>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</si>
  <si>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</si>
  <si>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</si>
  <si>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</si>
  <si>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</si>
  <si>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</si>
  <si>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</si>
  <si>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</si>
  <si>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</si>
  <si>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</si>
  <si>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</si>
  <si>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</si>
  <si>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</si>
  <si>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</si>
  <si>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</si>
  <si>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</si>
  <si>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</si>
  <si>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</si>
  <si>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</si>
  <si>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</si>
  <si>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</si>
  <si>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</si>
  <si>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</si>
  <si>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</si>
  <si>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</si>
  <si>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</si>
  <si>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</si>
  <si>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</si>
  <si>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</si>
  <si>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</si>
  <si>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</si>
  <si>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</si>
  <si>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</si>
  <si>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</si>
  <si>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</si>
  <si>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</si>
  <si>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</si>
  <si>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</si>
  <si>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</si>
  <si>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</si>
  <si>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</si>
  <si>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</si>
  <si>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</si>
  <si>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</si>
  <si>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</si>
  <si>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</si>
  <si>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</si>
  <si>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</si>
  <si>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</si>
  <si>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</si>
  <si>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</si>
  <si>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</si>
  <si>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</si>
  <si>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</si>
  <si>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</si>
  <si>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</si>
  <si>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</si>
  <si>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</si>
  <si>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</si>
  <si>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</si>
  <si>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</si>
  <si>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</si>
  <si>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</si>
  <si>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</si>
  <si>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</si>
  <si>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</si>
  <si>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</si>
  <si>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</si>
  <si>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</si>
  <si>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</si>
  <si>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</si>
  <si>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</si>
  <si>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</si>
  <si>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</si>
  <si>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</si>
  <si>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</si>
  <si>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</si>
  <si>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</si>
  <si>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</si>
  <si>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</si>
  <si>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</si>
  <si>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</si>
  <si>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</si>
  <si>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</si>
  <si>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</si>
  <si>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</si>
  <si>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</si>
  <si>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</si>
  <si>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</si>
  <si>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</si>
  <si>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</si>
  <si>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</si>
  <si>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</si>
  <si>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</si>
  <si>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</si>
  <si>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</si>
  <si>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</si>
  <si>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</si>
  <si>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</si>
  <si>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</si>
  <si>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</si>
  <si>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</si>
  <si>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</si>
  <si>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</si>
  <si>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</si>
  <si>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</si>
  <si>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</si>
  <si>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</si>
  <si>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</si>
  <si>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</si>
  <si>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</si>
  <si>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</si>
  <si>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</si>
  <si>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</si>
  <si>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</si>
  <si>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</si>
  <si>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</si>
  <si>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</si>
  <si>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</si>
  <si>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</si>
  <si>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</si>
  <si>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</si>
  <si>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</si>
  <si>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</si>
  <si>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</si>
  <si>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</si>
  <si>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</si>
  <si>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</si>
  <si>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</si>
  <si>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</si>
  <si>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</si>
  <si>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</si>
  <si>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</si>
  <si>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</si>
  <si>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</si>
  <si>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</si>
  <si>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</si>
  <si>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</si>
  <si>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</si>
  <si>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</si>
  <si>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</si>
  <si>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</si>
  <si>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</si>
  <si>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</si>
  <si>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</si>
  <si>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</si>
  <si>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</si>
  <si>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</si>
  <si>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</si>
  <si>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</si>
  <si>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</si>
  <si>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</si>
  <si>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</si>
  <si>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</si>
  <si>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</si>
  <si>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</si>
  <si>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</si>
  <si>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</si>
  <si>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</si>
  <si>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</si>
  <si>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</si>
  <si>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</si>
  <si>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</si>
  <si>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</si>
  <si>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</si>
  <si>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</si>
  <si>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</si>
  <si>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</si>
  <si>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</si>
  <si>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</si>
  <si>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</si>
  <si>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</si>
  <si>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</si>
  <si>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</si>
  <si>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</si>
  <si>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</si>
  <si>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</si>
  <si>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</si>
  <si>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</si>
  <si>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</si>
  <si>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</si>
  <si>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</si>
  <si>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</si>
  <si>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</si>
  <si>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</si>
  <si>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</si>
  <si>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</si>
  <si>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</si>
  <si>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</si>
  <si>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</si>
  <si>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</si>
  <si>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</si>
  <si>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</si>
  <si>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</si>
  <si>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</si>
  <si>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</si>
  <si>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</si>
  <si>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</si>
  <si>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</si>
  <si>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</si>
  <si>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</si>
  <si>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</si>
  <si>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</si>
  <si>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</si>
  <si>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</si>
  <si>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</si>
  <si>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</si>
  <si>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</si>
  <si>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</si>
  <si>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</si>
  <si>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</si>
  <si>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</si>
  <si>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</si>
  <si>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</si>
  <si>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</si>
  <si>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</si>
  <si>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</si>
  <si>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</si>
  <si>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</si>
  <si>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</si>
  <si>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</si>
  <si>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</si>
  <si>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</si>
  <si>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</si>
  <si>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</si>
  <si>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</si>
  <si>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</si>
  <si>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</si>
  <si>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</si>
  <si>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</si>
  <si>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</si>
  <si>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</si>
  <si>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</si>
  <si>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</si>
  <si>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</si>
  <si>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</si>
  <si>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</si>
  <si>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</si>
  <si>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</si>
  <si>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</si>
  <si>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</si>
  <si>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</si>
  <si>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</si>
  <si>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</si>
  <si>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</si>
  <si>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</si>
  <si>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</si>
  <si>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</si>
  <si>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</si>
  <si>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</si>
  <si>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</si>
  <si>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</si>
  <si>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</si>
  <si>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</si>
  <si>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</si>
  <si>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</si>
  <si>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</si>
  <si>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</si>
  <si>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</si>
  <si>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</si>
  <si>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</si>
  <si>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</si>
  <si>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</si>
  <si>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</si>
  <si>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</si>
  <si>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</si>
  <si>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</si>
  <si>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</si>
  <si>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</si>
  <si>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</si>
  <si>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</si>
  <si>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</si>
  <si>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</si>
  <si>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</si>
  <si>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</si>
  <si>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</si>
  <si>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</si>
  <si>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</si>
  <si>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</si>
  <si>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</si>
  <si>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</si>
  <si>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</si>
  <si>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</si>
  <si>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</si>
  <si>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</si>
  <si>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</si>
  <si>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</si>
  <si>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</si>
  <si>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</si>
  <si>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</si>
  <si>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</si>
  <si>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</si>
  <si>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</si>
  <si>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</si>
  <si>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</si>
  <si>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</si>
  <si>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</si>
  <si>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</si>
  <si>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</si>
  <si>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</si>
  <si>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</si>
  <si>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</si>
  <si>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</si>
  <si>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</si>
  <si>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</si>
  <si>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</si>
  <si>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</si>
  <si>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</si>
  <si>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</si>
  <si>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</si>
  <si>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</si>
  <si>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</si>
  <si>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</si>
  <si>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</si>
  <si>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</si>
  <si>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</si>
  <si>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</si>
  <si>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</si>
  <si>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</si>
  <si>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</si>
  <si>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</si>
  <si>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</si>
  <si>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</si>
  <si>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</si>
  <si>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</si>
  <si>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</si>
  <si>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</si>
  <si>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</si>
  <si>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</si>
  <si>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</si>
  <si>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</si>
  <si>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</si>
  <si>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</si>
  <si>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</si>
  <si>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</si>
  <si>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</si>
  <si>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</si>
  <si>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</si>
  <si>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</si>
  <si>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</si>
  <si>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</si>
  <si>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</si>
  <si>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</si>
  <si>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</si>
  <si>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</si>
  <si>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</si>
  <si>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</si>
  <si>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</si>
  <si>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</si>
  <si>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</si>
  <si>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</si>
  <si>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</si>
  <si>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</si>
  <si>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</si>
  <si>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</si>
  <si>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</si>
  <si>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</si>
  <si>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</si>
  <si>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</si>
  <si>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</si>
  <si>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</si>
  <si>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</si>
  <si>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</si>
  <si>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</si>
  <si>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</si>
  <si>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</si>
  <si>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</si>
  <si>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</si>
  <si>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</si>
  <si>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</si>
  <si>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</si>
  <si>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</si>
  <si>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</si>
  <si>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</si>
  <si>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</si>
  <si>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</si>
  <si>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</si>
  <si>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</si>
  <si>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</si>
  <si>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</si>
  <si>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</si>
  <si>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</si>
  <si>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</si>
  <si>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</si>
  <si>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</si>
  <si>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</si>
  <si>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</si>
  <si>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</si>
  <si>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</si>
  <si>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</si>
  <si>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</si>
  <si>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</si>
  <si>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</si>
  <si>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</si>
  <si>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</si>
  <si>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</si>
  <si>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</si>
  <si>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</si>
  <si>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</si>
  <si>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</si>
  <si>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</si>
  <si>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</si>
  <si>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</si>
  <si>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</si>
  <si>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</si>
  <si>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</si>
  <si>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</si>
  <si>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</si>
  <si>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</si>
  <si>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</si>
  <si>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</si>
  <si>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</si>
  <si>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</si>
  <si>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</si>
  <si>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</si>
  <si>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</si>
  <si>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</si>
  <si>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</si>
  <si>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</si>
  <si>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</si>
  <si>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</si>
  <si>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</si>
  <si>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</si>
  <si>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</si>
  <si>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</si>
  <si>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</si>
  <si>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</si>
  <si>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</si>
  <si>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</si>
  <si>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</si>
  <si>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</si>
  <si>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</si>
  <si>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</si>
  <si>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</si>
  <si>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</si>
  <si>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</si>
  <si>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</si>
  <si>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</si>
  <si>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</si>
  <si>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</si>
  <si>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</si>
  <si>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</si>
  <si>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</si>
  <si>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</si>
  <si>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</si>
  <si>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</si>
  <si>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</si>
  <si>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</si>
  <si>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</si>
  <si>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</si>
  <si>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</si>
  <si>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</si>
  <si>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</si>
  <si>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</si>
  <si>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</si>
  <si>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</si>
  <si>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</si>
  <si>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</si>
  <si>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</si>
  <si>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</si>
  <si>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</si>
  <si>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</si>
  <si>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</si>
  <si>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</si>
  <si>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</si>
  <si>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</si>
  <si>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</si>
  <si>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</si>
  <si>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</si>
  <si>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</si>
  <si>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</si>
  <si>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</si>
  <si>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</si>
  <si>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</si>
  <si>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</si>
  <si>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</si>
  <si>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</si>
  <si>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</si>
  <si>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</si>
  <si>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</si>
  <si>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</si>
  <si>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</si>
  <si>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</si>
  <si>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</si>
  <si>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</si>
  <si>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</si>
  <si>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</si>
  <si>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</si>
  <si>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</si>
  <si>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</si>
  <si>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</si>
  <si>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</si>
  <si>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</si>
  <si>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</si>
  <si>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</si>
  <si>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</si>
  <si>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</si>
  <si>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</si>
  <si>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</si>
  <si>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</si>
  <si>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</si>
  <si>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</si>
  <si>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</si>
  <si>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</si>
  <si>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</si>
  <si>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</si>
  <si>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</si>
  <si>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</si>
  <si>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</si>
  <si>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</si>
  <si>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</si>
  <si>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</si>
  <si>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</si>
  <si>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</si>
  <si>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</si>
  <si>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</si>
  <si>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</si>
  <si>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</si>
  <si>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</si>
  <si>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</si>
  <si>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</si>
  <si>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</si>
  <si>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</si>
  <si>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</si>
  <si>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</si>
  <si>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</si>
  <si>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</si>
  <si>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</si>
  <si>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</si>
  <si>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</si>
  <si>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</si>
  <si>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</si>
  <si>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</si>
  <si>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</si>
  <si>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</si>
  <si>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</si>
  <si>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</si>
  <si>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</si>
  <si>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</si>
  <si>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</si>
  <si>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</si>
  <si>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</si>
  <si>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</si>
  <si>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</si>
  <si>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</si>
  <si>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</si>
  <si>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</si>
  <si>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</si>
  <si>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</si>
  <si>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</si>
  <si>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</si>
  <si>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</si>
  <si>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</si>
  <si>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</si>
  <si>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</si>
  <si>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</si>
  <si>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</si>
  <si>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</si>
  <si>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</si>
  <si>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</si>
  <si>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</si>
  <si>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</si>
  <si>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</si>
  <si>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</si>
  <si>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</si>
  <si>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</si>
  <si>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</si>
  <si>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</si>
  <si>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</si>
  <si>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</si>
  <si>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</si>
  <si>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</si>
  <si>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</si>
  <si>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</si>
  <si>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</si>
  <si>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</si>
  <si>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</si>
  <si>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</si>
  <si>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</si>
  <si>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</si>
  <si>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</si>
  <si>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</si>
  <si>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</si>
  <si>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</si>
  <si>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</si>
  <si>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</si>
  <si>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</si>
  <si>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</si>
  <si>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</si>
  <si>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</si>
  <si>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</si>
  <si>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</si>
  <si>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</si>
  <si>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</si>
  <si>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</si>
  <si>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</si>
  <si>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</si>
  <si>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</si>
  <si>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</si>
  <si>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</si>
  <si>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</si>
  <si>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</si>
  <si>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</si>
  <si>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</si>
  <si>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</si>
  <si>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</si>
  <si>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</si>
  <si>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</si>
  <si>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</si>
  <si>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</si>
  <si>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</si>
  <si>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</si>
  <si>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</si>
  <si>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</si>
  <si>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</si>
  <si>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</si>
  <si>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</si>
  <si>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</si>
  <si>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</si>
  <si>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</si>
  <si>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</si>
  <si>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</si>
  <si>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</si>
  <si>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</si>
  <si>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</si>
  <si>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</si>
  <si>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</si>
  <si>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</si>
  <si>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</si>
  <si>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</si>
  <si>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</si>
  <si>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</si>
  <si>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</si>
  <si>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</si>
  <si>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</si>
  <si>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</si>
  <si>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</si>
  <si>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</si>
  <si>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</si>
  <si>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</si>
  <si>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</si>
  <si>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</si>
  <si>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</si>
  <si>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</si>
  <si>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</si>
  <si>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</si>
  <si>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</si>
  <si>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</si>
  <si>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</si>
  <si>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</si>
  <si>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</si>
  <si>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</si>
  <si>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</si>
  <si>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</si>
  <si>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</si>
  <si>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</si>
  <si>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</si>
  <si>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</si>
  <si>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</si>
  <si>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</si>
  <si>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</si>
  <si>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</si>
  <si>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</si>
  <si>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</si>
  <si>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</si>
  <si>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</si>
  <si>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</si>
  <si>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</si>
  <si>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</si>
  <si>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</si>
  <si>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</si>
  <si>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</si>
  <si>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</si>
  <si>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</si>
  <si>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</si>
  <si>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</si>
  <si>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</si>
  <si>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</si>
  <si>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</si>
  <si>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</si>
  <si>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</si>
  <si>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</si>
  <si>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</si>
  <si>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</si>
  <si>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</si>
  <si>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</si>
  <si>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</si>
  <si>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</si>
  <si>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</si>
  <si>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</si>
  <si>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</si>
  <si>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</si>
  <si>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</si>
  <si>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</si>
  <si>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</si>
  <si>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</si>
  <si>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</si>
  <si>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</si>
  <si>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</si>
  <si>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</si>
  <si>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</si>
  <si>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</si>
  <si>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</si>
  <si>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</si>
  <si>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</si>
  <si>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</si>
  <si>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</si>
  <si>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</si>
  <si>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</si>
  <si>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</si>
  <si>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</si>
  <si>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</si>
  <si>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</si>
  <si>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</si>
  <si>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</si>
  <si>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</si>
  <si>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</si>
  <si>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</si>
  <si>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</si>
  <si>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</si>
  <si>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</si>
  <si>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</si>
  <si>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</si>
  <si>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</si>
  <si>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</si>
  <si>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</si>
  <si>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</si>
  <si>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</si>
  <si>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</si>
  <si>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</si>
  <si>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</si>
  <si>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</si>
  <si>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</si>
  <si>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</si>
  <si>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</si>
  <si>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</si>
  <si>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</si>
  <si>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</si>
  <si>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</si>
  <si>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</si>
  <si>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</si>
  <si>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</si>
  <si>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</si>
  <si>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</si>
  <si>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</si>
  <si>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</si>
  <si>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</si>
  <si>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</si>
  <si>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</si>
  <si>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</si>
  <si>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</si>
  <si>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</si>
  <si>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</si>
  <si>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</si>
  <si>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</si>
  <si>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</si>
  <si>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</si>
  <si>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</si>
  <si>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</si>
  <si>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</si>
  <si>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</si>
  <si>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</si>
  <si>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</si>
  <si>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</si>
  <si>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</si>
  <si>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</si>
  <si>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</si>
  <si>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</si>
  <si>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</si>
  <si>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</si>
  <si>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</si>
  <si>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</si>
  <si>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</si>
  <si>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</si>
  <si>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</si>
  <si>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</si>
  <si>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</si>
  <si>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</si>
  <si>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</si>
  <si>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</si>
  <si>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</si>
  <si>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</si>
  <si>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</si>
  <si>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</si>
  <si>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</si>
  <si>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</si>
  <si>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</si>
  <si>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</si>
  <si>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</si>
  <si>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</si>
  <si>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</si>
  <si>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</si>
  <si>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</si>
  <si>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</si>
  <si>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</si>
  <si>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</si>
  <si>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</si>
  <si>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</si>
  <si>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</si>
  <si>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</si>
  <si>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</si>
  <si>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</si>
  <si>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</si>
  <si>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</si>
  <si>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</si>
  <si>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</si>
  <si>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</si>
  <si>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</si>
  <si>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</si>
  <si>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</si>
  <si>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</si>
  <si>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</si>
  <si>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</si>
  <si>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</si>
  <si>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</si>
  <si>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</si>
  <si>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</si>
  <si>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</si>
  <si>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</si>
  <si>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</si>
  <si>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</si>
  <si>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</si>
  <si>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</si>
  <si>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</si>
  <si>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</si>
  <si>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</si>
  <si>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</si>
  <si>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</si>
  <si>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</si>
  <si>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</si>
  <si>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</si>
  <si>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</si>
  <si>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</si>
  <si>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</si>
  <si>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</si>
  <si>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</si>
  <si>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</si>
  <si>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</si>
  <si>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</si>
  <si>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</si>
  <si>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</si>
  <si>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</si>
  <si>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</si>
  <si>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</si>
  <si>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</si>
  <si>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</si>
  <si>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</si>
  <si>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</si>
  <si>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</si>
  <si>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</si>
  <si>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</si>
  <si>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</si>
  <si>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</si>
  <si>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</si>
  <si>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</si>
  <si>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</si>
  <si>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</si>
  <si>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</si>
  <si>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</si>
  <si>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</si>
  <si>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</si>
  <si>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</si>
  <si>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</si>
  <si>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</si>
  <si>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</si>
  <si>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</si>
  <si>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</si>
  <si>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</si>
  <si>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</si>
  <si>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</si>
  <si>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</si>
  <si>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</si>
  <si>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</si>
  <si>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</si>
  <si>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</si>
  <si>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</si>
  <si>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</si>
  <si>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</si>
  <si>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</si>
  <si>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</si>
  <si>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</si>
  <si>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</si>
  <si>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</si>
  <si>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</si>
  <si>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</si>
  <si>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</si>
  <si>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</si>
  <si>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</si>
  <si>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</si>
  <si>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</si>
  <si>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</si>
  <si>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</si>
  <si>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</si>
  <si>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</si>
  <si>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</si>
  <si>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</si>
  <si>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</si>
  <si>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</si>
  <si>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</si>
  <si>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</si>
  <si>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</si>
  <si>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</si>
  <si>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</si>
  <si>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</si>
  <si>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</si>
  <si>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</si>
  <si>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</si>
  <si>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</si>
  <si>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</si>
  <si>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</si>
  <si>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</si>
  <si>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</si>
  <si>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</si>
  <si>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</si>
  <si>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</si>
  <si>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</si>
  <si>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</si>
  <si>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</si>
  <si>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</si>
  <si>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</si>
  <si>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</si>
  <si>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</si>
  <si>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</si>
  <si>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</si>
  <si>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</si>
  <si>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</si>
  <si>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</si>
  <si>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</si>
  <si>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</si>
  <si>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</si>
  <si>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</si>
  <si>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</si>
  <si>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</si>
  <si>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</si>
  <si>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</si>
  <si>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</si>
  <si>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</si>
  <si>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</si>
  <si>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</si>
  <si>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</si>
  <si>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</si>
  <si>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</si>
  <si>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</si>
  <si>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</si>
  <si>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</si>
  <si>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</si>
  <si>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</si>
  <si>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</si>
  <si>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</si>
  <si>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</si>
  <si>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</si>
  <si>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</si>
  <si>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</si>
  <si>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</si>
  <si>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</si>
  <si>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</si>
  <si>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</si>
  <si>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</si>
  <si>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</si>
  <si>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</si>
  <si>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</si>
  <si>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</si>
  <si>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</si>
  <si>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</si>
  <si>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</si>
  <si>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</si>
  <si>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</si>
  <si>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</si>
  <si>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</si>
  <si>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</si>
  <si>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</si>
  <si>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</si>
  <si>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</si>
  <si>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</si>
  <si>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</si>
  <si>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</si>
  <si>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</si>
  <si>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</si>
  <si>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</si>
  <si>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</si>
  <si>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</si>
  <si>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</si>
  <si>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</si>
  <si>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</si>
  <si>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</si>
  <si>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</si>
  <si>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</si>
  <si>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</si>
  <si>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</si>
  <si>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</si>
  <si>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</si>
  <si>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</si>
  <si>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</si>
  <si>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</si>
  <si>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</si>
  <si>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</si>
  <si>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</si>
  <si>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</si>
  <si>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</si>
  <si>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</si>
  <si>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</si>
  <si>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</si>
  <si>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</si>
  <si>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</si>
  <si>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</si>
  <si>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</si>
  <si>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</si>
  <si>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</si>
  <si>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</si>
  <si>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</si>
  <si>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</si>
  <si>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</si>
  <si>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</si>
  <si>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</si>
  <si>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</si>
  <si>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</si>
  <si>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</si>
  <si>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</si>
  <si>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</si>
  <si>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</si>
  <si>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</si>
  <si>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</si>
  <si>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</si>
  <si>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</si>
  <si>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</si>
  <si>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</si>
  <si>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</si>
  <si>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</si>
  <si>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</si>
  <si>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</si>
  <si>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</si>
  <si>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</si>
  <si>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</si>
  <si>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</si>
  <si>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</si>
  <si>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</si>
  <si>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</si>
  <si>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</si>
  <si>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</si>
  <si>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</si>
  <si>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</si>
  <si>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</si>
  <si>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</si>
  <si>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</si>
  <si>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</si>
  <si>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</si>
  <si>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</si>
  <si>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</si>
  <si>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</si>
  <si>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</si>
  <si>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</si>
  <si>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</si>
  <si>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</si>
  <si>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</si>
  <si>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</si>
  <si>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</si>
  <si>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</si>
  <si>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</si>
  <si>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</si>
  <si>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</si>
  <si>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</si>
  <si>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</si>
  <si>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</si>
  <si>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</si>
  <si>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</si>
  <si>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</si>
  <si>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</si>
  <si>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</si>
  <si>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</si>
  <si>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</si>
  <si>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</si>
  <si>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</si>
  <si>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</si>
  <si>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</si>
  <si>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</si>
  <si>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</si>
  <si>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</si>
  <si>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</si>
  <si>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</si>
  <si>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</si>
  <si>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</si>
  <si>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</si>
  <si>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</si>
  <si>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</si>
  <si>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</si>
  <si>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</si>
  <si>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</si>
  <si>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</si>
  <si>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</si>
  <si>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</si>
  <si>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</si>
  <si>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</si>
  <si>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</si>
  <si>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</si>
  <si>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</si>
  <si>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</si>
  <si>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</si>
  <si>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</si>
  <si>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</si>
  <si>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</si>
  <si>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</si>
  <si>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</si>
  <si>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</si>
  <si>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</si>
  <si>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</si>
  <si>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</si>
  <si>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</si>
  <si>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</si>
  <si>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</si>
  <si>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</si>
  <si>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</si>
  <si>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</si>
  <si>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</si>
  <si>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</si>
  <si>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</si>
  <si>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</si>
  <si>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</si>
  <si>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</si>
  <si>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</si>
  <si>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</si>
  <si>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</si>
  <si>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</si>
  <si>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</si>
  <si>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</si>
  <si>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</si>
  <si>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</si>
  <si>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</si>
  <si>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</si>
  <si>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</si>
  <si>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</si>
  <si>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</si>
  <si>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</si>
  <si>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</si>
  <si>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</si>
  <si>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</si>
  <si>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</si>
  <si>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</si>
  <si>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</si>
  <si>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</si>
  <si>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</si>
  <si>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</si>
  <si>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</si>
  <si>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</si>
  <si>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</si>
  <si>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</si>
  <si>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</si>
  <si>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</si>
  <si>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</si>
  <si>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</si>
  <si>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</si>
  <si>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</si>
  <si>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</si>
  <si>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</si>
  <si>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</si>
  <si>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</si>
  <si>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</si>
  <si>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</si>
  <si>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</si>
  <si>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</si>
  <si>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</si>
  <si>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</si>
  <si>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</si>
  <si>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</si>
  <si>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</si>
  <si>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</si>
  <si>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</si>
  <si>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</si>
  <si>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</si>
  <si>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</si>
  <si>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</si>
  <si>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</si>
  <si>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</si>
  <si>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</si>
  <si>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</si>
  <si>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</si>
  <si>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</si>
  <si>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</si>
  <si>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</si>
  <si>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</si>
  <si>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</si>
  <si>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</si>
  <si>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</si>
  <si>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</si>
  <si>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</si>
  <si>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</si>
  <si>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</si>
  <si>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</si>
  <si>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</si>
  <si>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</si>
  <si>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</si>
  <si>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</si>
  <si>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</si>
  <si>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</si>
  <si>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</si>
  <si>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</si>
  <si>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</si>
  <si>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</si>
  <si>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</si>
  <si>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</si>
  <si>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</si>
  <si>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</si>
  <si>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</si>
  <si>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</si>
  <si>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</si>
  <si>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</si>
  <si>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</si>
  <si>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</si>
  <si>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</si>
  <si>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</si>
  <si>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</si>
  <si>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</si>
  <si>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</si>
  <si>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</si>
  <si>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</si>
  <si>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</si>
  <si>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</si>
  <si>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</si>
  <si>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</si>
  <si>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</si>
  <si>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</si>
  <si>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</si>
  <si>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</si>
  <si>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</si>
  <si>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</si>
  <si>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</si>
  <si>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</si>
  <si>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</si>
  <si>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</si>
  <si>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</si>
  <si>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</si>
  <si>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</si>
  <si>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</si>
  <si>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</si>
  <si>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</si>
  <si>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</si>
  <si>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</si>
  <si>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</si>
  <si>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</si>
  <si>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</si>
  <si>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</si>
  <si>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</si>
  <si>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</si>
  <si>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</si>
  <si>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</si>
  <si>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</si>
  <si>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</si>
  <si>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</si>
  <si>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</si>
  <si>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</si>
  <si>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</si>
  <si>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</si>
  <si>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</si>
  <si>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</si>
  <si>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</si>
  <si>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</si>
  <si>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</si>
  <si>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</si>
  <si>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</si>
  <si>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</si>
  <si>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</si>
  <si>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</si>
  <si>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</si>
  <si>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</si>
  <si>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</si>
  <si>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</si>
  <si>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</si>
  <si>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</si>
  <si>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</si>
  <si>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</si>
  <si>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</si>
  <si>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</si>
  <si>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</si>
  <si>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</si>
  <si>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</si>
  <si>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</si>
  <si>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</si>
  <si>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</si>
  <si>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</si>
  <si>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</si>
  <si>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</si>
  <si>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</si>
  <si>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</si>
  <si>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</si>
  <si>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</si>
  <si>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</si>
  <si>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</si>
  <si>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</si>
  <si>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</si>
  <si>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</si>
  <si>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</si>
  <si>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</si>
  <si>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</si>
  <si>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</si>
  <si>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</si>
  <si>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</si>
  <si>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</si>
  <si>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</si>
  <si>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</si>
  <si>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</si>
  <si>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</si>
  <si>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</si>
  <si>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</si>
  <si>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</si>
  <si>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</si>
  <si>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</si>
  <si>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</si>
  <si>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</si>
  <si>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</si>
  <si>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</si>
  <si>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</si>
  <si>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</si>
  <si>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</si>
  <si>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</si>
  <si>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</si>
  <si>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</si>
  <si>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</si>
  <si>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</si>
  <si>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</si>
  <si>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</si>
  <si>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</si>
  <si>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</si>
  <si>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</si>
  <si>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</si>
  <si>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</si>
  <si>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</si>
  <si>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</si>
  <si>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</si>
  <si>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</si>
  <si>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</si>
  <si>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</si>
  <si>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</si>
  <si>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</si>
  <si>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</si>
  <si>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</si>
  <si>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</si>
  <si>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</si>
  <si>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</si>
  <si>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</si>
  <si>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</si>
  <si>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</si>
  <si>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</si>
  <si>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</si>
  <si>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</si>
  <si>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</si>
  <si>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</si>
  <si>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</si>
  <si>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</si>
  <si>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</si>
  <si>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</si>
  <si>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</si>
  <si>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</si>
  <si>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</si>
  <si>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</si>
  <si>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</si>
  <si>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</si>
  <si>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</si>
  <si>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</si>
  <si>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</si>
  <si>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</si>
  <si>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</si>
  <si>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</si>
  <si>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</si>
  <si>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</si>
  <si>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</si>
  <si>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</si>
  <si>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</si>
  <si>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</si>
  <si>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</si>
  <si>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</si>
  <si>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</si>
  <si>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</si>
  <si>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</si>
  <si>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</si>
  <si>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</si>
  <si>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</si>
  <si>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</si>
  <si>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</si>
  <si>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</si>
  <si>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</si>
  <si>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</si>
  <si>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</si>
  <si>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</si>
  <si>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</si>
  <si>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</si>
  <si>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</si>
  <si>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</si>
  <si>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</si>
  <si>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</si>
  <si>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</si>
  <si>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</si>
  <si>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</si>
  <si>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</si>
  <si>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</si>
  <si>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</si>
  <si>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</si>
  <si>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</si>
  <si>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</si>
  <si>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</si>
  <si>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</si>
  <si>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</si>
  <si>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</si>
  <si>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</si>
  <si>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</si>
  <si>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</si>
  <si>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</si>
  <si>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</si>
  <si>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</si>
  <si>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</si>
  <si>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</si>
  <si>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</si>
  <si>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</si>
  <si>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</si>
  <si>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</si>
  <si>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</si>
  <si>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</si>
  <si>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</si>
  <si>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</si>
  <si>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</si>
  <si>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</si>
  <si>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</si>
  <si>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</si>
  <si>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</si>
  <si>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</si>
  <si>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</si>
  <si>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</si>
  <si>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</si>
  <si>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</si>
  <si>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</si>
  <si>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</si>
  <si>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</si>
  <si>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</si>
  <si>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</si>
  <si>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</si>
  <si>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</si>
  <si>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</si>
  <si>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</si>
  <si>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</si>
  <si>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</si>
  <si>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</si>
  <si>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</si>
  <si>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</si>
  <si>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</si>
  <si>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</si>
  <si>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</si>
  <si>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</si>
  <si>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</si>
  <si>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</si>
  <si>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</si>
  <si>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</si>
  <si>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</si>
  <si>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</si>
  <si>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</si>
  <si>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</si>
  <si>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</si>
  <si>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</si>
  <si>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</si>
  <si>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</si>
  <si>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</si>
  <si>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</si>
  <si>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</si>
  <si>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</si>
  <si>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</si>
  <si>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</si>
  <si>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</si>
  <si>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</si>
  <si>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</si>
  <si>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</si>
  <si>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</si>
  <si>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</si>
  <si>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</si>
  <si>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</si>
  <si>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</si>
  <si>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</si>
  <si>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</si>
  <si>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</si>
  <si>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</si>
  <si>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</si>
  <si>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</si>
  <si>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</si>
  <si>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</si>
  <si>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</si>
  <si>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</si>
  <si>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</si>
  <si>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</si>
  <si>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</si>
  <si>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</si>
  <si>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</si>
  <si>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</si>
  <si>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</si>
  <si>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</si>
  <si>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</si>
  <si>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</si>
  <si>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</si>
  <si>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</si>
  <si>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</si>
  <si>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</si>
  <si>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</si>
  <si>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</si>
  <si>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</si>
  <si>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</si>
  <si>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</si>
  <si>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</si>
  <si>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</si>
  <si>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</si>
  <si>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</si>
  <si>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</si>
  <si>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</si>
  <si>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</si>
  <si>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</si>
  <si>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</si>
  <si>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</si>
  <si>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</si>
  <si>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</si>
  <si>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</si>
  <si>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</si>
  <si>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</si>
  <si>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</si>
  <si>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</si>
  <si>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</si>
  <si>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</si>
  <si>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</si>
  <si>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</si>
  <si>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</si>
  <si>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</si>
  <si>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</si>
  <si>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</si>
  <si>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</si>
  <si>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</si>
  <si>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</si>
  <si>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</si>
  <si>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</si>
  <si>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</si>
  <si>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</si>
  <si>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</si>
  <si>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</si>
  <si>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</si>
  <si>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</si>
  <si>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</si>
  <si>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</si>
  <si>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</si>
  <si>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</si>
  <si>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</si>
  <si>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</si>
  <si>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</si>
  <si>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</si>
  <si>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</si>
  <si>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</si>
  <si>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</si>
  <si>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</si>
  <si>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</si>
  <si>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</si>
  <si>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</si>
  <si>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</si>
  <si>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</si>
  <si>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</si>
  <si>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</si>
  <si>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</si>
  <si>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</si>
  <si>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</si>
  <si>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</si>
  <si>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</si>
  <si>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</si>
  <si>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</si>
  <si>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</si>
  <si>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</si>
  <si>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</si>
  <si>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</si>
  <si>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</si>
  <si>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</si>
  <si>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</si>
  <si>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</si>
  <si>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</si>
  <si>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</si>
  <si>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</si>
  <si>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</si>
  <si>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</si>
  <si>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</si>
  <si>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</si>
  <si>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</si>
  <si>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</si>
  <si>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</si>
  <si>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</si>
  <si>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</si>
  <si>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</si>
  <si>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</si>
  <si>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</si>
  <si>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</si>
  <si>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</si>
  <si>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</si>
  <si>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</si>
  <si>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</si>
  <si>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</si>
  <si>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</si>
  <si>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</si>
  <si>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</si>
  <si>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</si>
  <si>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</si>
  <si>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</si>
  <si>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</si>
  <si>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</si>
  <si>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</si>
  <si>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</si>
  <si>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</si>
  <si>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</si>
  <si>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</si>
  <si>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</si>
  <si>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</si>
  <si>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</si>
  <si>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</si>
  <si>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</si>
  <si>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</si>
  <si>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</si>
  <si>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</si>
  <si>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</si>
  <si>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</si>
  <si>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</si>
  <si>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</si>
  <si>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</si>
  <si>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</si>
  <si>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</si>
  <si>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</si>
  <si>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</si>
  <si>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</si>
  <si>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</si>
  <si>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</si>
  <si>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</si>
  <si>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</si>
  <si>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</si>
  <si>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</si>
  <si>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</si>
  <si>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</si>
  <si>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</si>
  <si>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</si>
  <si>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</si>
  <si>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</si>
  <si>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</si>
  <si>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</si>
  <si>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</si>
  <si>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</si>
  <si>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</si>
  <si>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</si>
  <si>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</si>
  <si>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</si>
  <si>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</si>
  <si>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</si>
  <si>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</si>
  <si>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</si>
  <si>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</si>
  <si>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</si>
  <si>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</si>
  <si>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</si>
  <si>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</si>
  <si>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</si>
  <si>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</si>
  <si>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</si>
  <si>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</si>
  <si>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</si>
  <si>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</si>
  <si>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</si>
  <si>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</si>
  <si>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</si>
  <si>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</si>
  <si>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</si>
  <si>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</si>
  <si>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</si>
  <si>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</si>
  <si>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</si>
  <si>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</si>
  <si>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</si>
  <si>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</si>
  <si>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</si>
  <si>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</si>
  <si>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</si>
  <si>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</si>
  <si>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</si>
  <si>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</si>
  <si>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</si>
  <si>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</si>
  <si>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</si>
  <si>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</si>
  <si>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</si>
  <si>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</si>
  <si>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</si>
  <si>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</si>
  <si>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</si>
  <si>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</si>
  <si>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</si>
  <si>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</si>
  <si>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</si>
  <si>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</si>
  <si>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</si>
  <si>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</si>
  <si>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</si>
  <si>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</si>
  <si>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</si>
  <si>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</si>
  <si>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</si>
  <si>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</si>
  <si>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</si>
  <si>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</si>
  <si>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</si>
  <si>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</si>
  <si>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</si>
  <si>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</si>
  <si>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</si>
  <si>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</si>
  <si>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</si>
  <si>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</si>
  <si>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</si>
  <si>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</si>
  <si>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</si>
  <si>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</si>
  <si>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</si>
  <si>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</si>
  <si>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</si>
  <si>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</si>
  <si>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</si>
  <si>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</si>
  <si>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</si>
  <si>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</si>
  <si>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</si>
  <si>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</si>
  <si>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</si>
  <si>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</si>
  <si>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</si>
  <si>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</si>
  <si>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</si>
  <si>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</si>
  <si>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</si>
  <si>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</si>
  <si>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</si>
  <si>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</si>
  <si>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</si>
  <si>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</si>
  <si>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</si>
  <si>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</si>
  <si>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</si>
  <si>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</si>
  <si>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</si>
  <si>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</si>
  <si>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</si>
  <si>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</si>
  <si>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</si>
  <si>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</si>
  <si>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</si>
  <si>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</si>
  <si>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</si>
  <si>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</si>
  <si>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</si>
  <si>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</si>
  <si>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</si>
  <si>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</si>
  <si>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</si>
  <si>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</si>
  <si>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</si>
  <si>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</si>
  <si>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</si>
  <si>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</si>
  <si>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</si>
  <si>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</si>
  <si>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</si>
  <si>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</si>
  <si>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</si>
  <si>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</si>
  <si>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</si>
  <si>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</si>
  <si>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</si>
  <si>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</si>
  <si>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</si>
  <si>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</si>
  <si>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</si>
  <si>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</si>
  <si>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</si>
  <si>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</si>
  <si>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</si>
  <si>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</si>
  <si>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</si>
  <si>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</si>
  <si>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</si>
  <si>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</si>
  <si>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</si>
  <si>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</si>
  <si>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</si>
  <si>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</si>
  <si>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</si>
  <si>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</si>
  <si>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</si>
  <si>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</si>
  <si>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</si>
  <si>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</si>
  <si>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</si>
  <si>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</si>
  <si>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</si>
  <si>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</si>
  <si>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</si>
  <si>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</si>
  <si>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</si>
  <si>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</si>
  <si>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</si>
  <si>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</si>
  <si>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</si>
  <si>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</si>
  <si>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</si>
  <si>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</si>
  <si>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</si>
  <si>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</si>
  <si>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</si>
  <si>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</si>
  <si>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</si>
  <si>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</si>
  <si>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</si>
  <si>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</si>
  <si>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</si>
  <si>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</si>
  <si>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</si>
  <si>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</si>
  <si>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</si>
  <si>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</si>
  <si>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</si>
  <si>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</si>
  <si>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</si>
  <si>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</si>
  <si>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</si>
  <si>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</si>
  <si>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</si>
  <si>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</si>
  <si>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</si>
  <si>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</si>
  <si>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</si>
  <si>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</si>
  <si>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</si>
  <si>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</si>
  <si>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</si>
  <si>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</si>
  <si>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</si>
  <si>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</si>
  <si>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</si>
  <si>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</si>
  <si>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</si>
  <si>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</si>
  <si>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</si>
  <si>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</si>
  <si>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</si>
  <si>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</si>
  <si>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</si>
  <si>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</si>
  <si>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</si>
  <si>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</si>
  <si>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</si>
  <si>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</si>
  <si>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</si>
  <si>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</si>
  <si>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</si>
  <si>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</si>
  <si>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</si>
  <si>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</si>
  <si>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</si>
  <si>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</si>
  <si>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</si>
  <si>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</si>
  <si>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</si>
  <si>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</si>
  <si>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</si>
  <si>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</si>
  <si>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</si>
  <si>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</si>
  <si>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</si>
  <si>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</si>
  <si>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</si>
  <si>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</si>
  <si>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</si>
  <si>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</si>
  <si>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</si>
  <si>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</si>
  <si>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</si>
  <si>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</si>
  <si>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</si>
  <si>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</si>
  <si>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</si>
  <si>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</si>
  <si>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</si>
  <si>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</si>
  <si>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</si>
  <si>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</si>
  <si>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</si>
  <si>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</si>
  <si>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</si>
  <si>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</si>
  <si>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</si>
  <si>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</si>
  <si>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</si>
  <si>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</si>
  <si>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</si>
  <si>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</si>
  <si>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</si>
  <si>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</si>
  <si>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</si>
  <si>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</si>
  <si>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</si>
  <si>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</si>
  <si>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</si>
  <si>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</si>
  <si>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</si>
  <si>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</si>
  <si>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</si>
  <si>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</si>
  <si>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</si>
  <si>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</si>
  <si>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</si>
  <si>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</si>
  <si>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</si>
  <si>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</si>
  <si>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</si>
  <si>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</si>
  <si>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</si>
  <si>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</si>
  <si>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</si>
  <si>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</si>
  <si>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</si>
  <si>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</si>
  <si>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</si>
  <si>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</si>
  <si>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</si>
  <si>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</si>
  <si>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</si>
  <si>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</si>
  <si>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</si>
  <si>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</si>
  <si>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</si>
  <si>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</si>
  <si>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</si>
  <si>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</si>
  <si>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</si>
  <si>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</si>
  <si>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</si>
  <si>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</si>
  <si>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</si>
  <si>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</si>
  <si>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</si>
  <si>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</si>
  <si>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</si>
  <si>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</si>
  <si>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</si>
  <si>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</si>
  <si>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</si>
  <si>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</si>
  <si>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</si>
  <si>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</si>
  <si>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</si>
  <si>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</si>
  <si>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</si>
  <si>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</si>
  <si>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</si>
  <si>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</si>
  <si>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</si>
  <si>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</si>
  <si>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</si>
  <si>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</si>
  <si>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</si>
  <si>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</si>
  <si>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</si>
  <si>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</si>
  <si>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</si>
  <si>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</si>
  <si>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</si>
  <si>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</si>
  <si>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</si>
  <si>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</si>
  <si>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</si>
  <si>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</si>
  <si>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</si>
  <si>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</si>
  <si>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</si>
  <si>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</si>
  <si>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</si>
  <si>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</si>
  <si>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</si>
  <si>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</si>
  <si>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</si>
  <si>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</si>
  <si>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</si>
  <si>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</si>
  <si>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</si>
  <si>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</si>
  <si>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</si>
  <si>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</si>
  <si>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</si>
  <si>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</si>
  <si>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</si>
  <si>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</si>
  <si>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</si>
  <si>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</si>
  <si>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</si>
  <si>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</si>
  <si>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</si>
  <si>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</si>
  <si>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</si>
  <si>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</si>
  <si>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</si>
  <si>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</si>
  <si>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</si>
  <si>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</si>
  <si>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</si>
  <si>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</si>
  <si>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</si>
  <si>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</si>
  <si>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</si>
  <si>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</si>
  <si>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</si>
  <si>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</si>
  <si>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</si>
  <si>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</si>
  <si>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</si>
  <si>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</si>
  <si>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</si>
  <si>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</si>
  <si>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</si>
  <si>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</si>
  <si>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</si>
  <si>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</si>
  <si>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</si>
  <si>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</si>
  <si>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</si>
  <si>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</si>
  <si>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</si>
  <si>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</si>
  <si>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</si>
  <si>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</si>
  <si>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</si>
  <si>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</si>
  <si>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</si>
  <si>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</si>
  <si>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</si>
  <si>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</si>
  <si>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</si>
  <si>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</si>
  <si>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</si>
  <si>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</si>
  <si>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</si>
  <si>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</si>
  <si>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</si>
  <si>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</si>
  <si>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</si>
  <si>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</si>
  <si>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</si>
  <si>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</si>
  <si>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</si>
  <si>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</si>
  <si>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</si>
  <si>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</si>
  <si>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</si>
  <si>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</si>
  <si>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</si>
  <si>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</si>
  <si>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</si>
  <si>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</si>
  <si>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</si>
  <si>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</si>
  <si>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</si>
  <si>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</si>
  <si>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</si>
  <si>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</si>
  <si>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</si>
  <si>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</si>
  <si>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</si>
  <si>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</si>
  <si>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</si>
  <si>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</si>
  <si>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</si>
  <si>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</si>
  <si>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</si>
  <si>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</si>
  <si>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</si>
  <si>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</si>
  <si>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</si>
  <si>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</si>
  <si>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</si>
  <si>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</si>
  <si>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</si>
  <si>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</si>
  <si>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</si>
  <si>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</si>
  <si>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</si>
  <si>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</si>
  <si>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</si>
  <si>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</si>
  <si>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</si>
  <si>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</si>
  <si>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</si>
  <si>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</si>
  <si>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</si>
  <si>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</si>
  <si>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</si>
  <si>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</si>
  <si>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</si>
  <si>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</si>
  <si>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</si>
  <si>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</si>
  <si>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</si>
  <si>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</si>
  <si>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</si>
  <si>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</si>
  <si>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</si>
  <si>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</si>
  <si>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</si>
  <si>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</si>
  <si>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</si>
  <si>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</si>
  <si>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</si>
  <si>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</si>
  <si>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</si>
  <si>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</si>
  <si>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</si>
  <si>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</si>
  <si>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</si>
  <si>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</si>
  <si>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</si>
  <si>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</si>
  <si>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</si>
  <si>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</si>
  <si>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</si>
  <si>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</si>
  <si>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</si>
  <si>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</si>
  <si>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</si>
  <si>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</si>
  <si>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</si>
  <si>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</si>
  <si>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</si>
  <si>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</si>
  <si>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</si>
  <si>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</si>
  <si>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</si>
  <si>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</si>
  <si>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</si>
  <si>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</si>
  <si>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</si>
  <si>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</si>
  <si>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</si>
  <si>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</si>
  <si>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</si>
  <si>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</si>
  <si>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</si>
  <si>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</si>
  <si>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</si>
  <si>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</si>
  <si>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</si>
  <si>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</si>
  <si>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</si>
  <si>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</si>
  <si>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</si>
  <si>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</si>
  <si>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</si>
  <si>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</si>
  <si>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</si>
  <si>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</si>
  <si>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</si>
  <si>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</si>
  <si>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</si>
  <si>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</si>
  <si>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</si>
  <si>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</si>
  <si>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</si>
  <si>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</si>
  <si>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</si>
  <si>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</si>
  <si>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</si>
  <si>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</si>
  <si>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</si>
  <si>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</si>
  <si>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</si>
  <si>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</si>
  <si>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</si>
  <si>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</si>
  <si>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</si>
  <si>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</si>
  <si>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</si>
  <si>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</si>
  <si>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</si>
  <si>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</si>
  <si>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</si>
  <si>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</si>
  <si>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</si>
  <si>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</si>
  <si>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</si>
  <si>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</si>
  <si>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</si>
  <si>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</si>
  <si>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</si>
  <si>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</si>
  <si>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</si>
  <si>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</si>
  <si>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</si>
  <si>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</si>
  <si>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</si>
  <si>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</si>
  <si>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</si>
  <si>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</si>
  <si>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</si>
  <si>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</si>
  <si>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</si>
  <si>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</si>
  <si>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</si>
  <si>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</si>
  <si>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</si>
  <si>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</si>
  <si>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</si>
  <si>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</si>
  <si>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</si>
  <si>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</si>
  <si>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</si>
  <si>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</si>
  <si>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</si>
  <si>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</si>
  <si>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</si>
  <si>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</si>
  <si>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</si>
  <si>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</si>
  <si>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</si>
  <si>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</si>
  <si>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</si>
  <si>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</si>
  <si>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</si>
  <si>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</si>
  <si>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</si>
  <si>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</si>
  <si>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</si>
  <si>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</si>
  <si>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</si>
  <si>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</si>
  <si>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</si>
  <si>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</si>
  <si>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</si>
  <si>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</si>
  <si>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</si>
  <si>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</si>
  <si>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</si>
  <si>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</si>
  <si>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</si>
  <si>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</si>
  <si>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</si>
  <si>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</si>
  <si>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</si>
  <si>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</si>
  <si>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</si>
  <si>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</si>
  <si>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</si>
  <si>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</si>
  <si>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</si>
  <si>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</si>
  <si>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</si>
  <si>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</si>
  <si>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</si>
  <si>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</si>
  <si>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</si>
  <si>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</si>
  <si>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</si>
  <si>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</si>
  <si>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</si>
  <si>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</si>
  <si>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</si>
  <si>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</si>
  <si>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</si>
  <si>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</si>
  <si>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</si>
  <si>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</si>
  <si>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</si>
  <si>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</si>
  <si>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</si>
  <si>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</si>
  <si>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</si>
  <si>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</si>
  <si>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</si>
  <si>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</si>
  <si>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</si>
  <si>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</si>
  <si>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</si>
  <si>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</si>
  <si>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</si>
  <si>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</si>
  <si>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</si>
  <si>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</si>
  <si>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</si>
  <si>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</si>
  <si>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</si>
  <si>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</si>
  <si>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</si>
  <si>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</si>
  <si>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</si>
  <si>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</si>
  <si>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</si>
  <si>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</si>
  <si>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</si>
  <si>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</si>
  <si>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</si>
  <si>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</si>
  <si>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</si>
  <si>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</si>
  <si>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</si>
  <si>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</si>
  <si>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</si>
  <si>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</si>
  <si>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</si>
  <si>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</si>
  <si>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</si>
  <si>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</si>
  <si>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</si>
  <si>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</si>
  <si>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</si>
  <si>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</si>
  <si>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</si>
  <si>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</si>
  <si>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</si>
  <si>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</si>
  <si>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</si>
  <si>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</si>
  <si>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</si>
  <si>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</si>
  <si>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</si>
  <si>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</si>
  <si>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</si>
  <si>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</si>
  <si>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</si>
  <si>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</si>
  <si>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</si>
  <si>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</si>
  <si>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</si>
  <si>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</si>
  <si>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</si>
  <si>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</si>
  <si>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</si>
  <si>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</si>
  <si>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</si>
  <si>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</si>
  <si>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</si>
  <si>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</si>
  <si>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</si>
  <si>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</si>
  <si>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</si>
  <si>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</si>
  <si>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</si>
  <si>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</si>
  <si>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</si>
  <si>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</si>
  <si>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</si>
  <si>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</si>
  <si>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</si>
  <si>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</si>
  <si>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</si>
  <si>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</si>
  <si>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</si>
  <si>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</si>
  <si>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</si>
  <si>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</si>
  <si>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</si>
  <si>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</si>
  <si>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</si>
  <si>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</si>
  <si>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</si>
  <si>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</si>
  <si>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</si>
  <si>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</si>
  <si>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</si>
  <si>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</si>
  <si>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</si>
  <si>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</si>
  <si>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</si>
  <si>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</si>
  <si>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</si>
  <si>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</si>
  <si>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</si>
  <si>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</si>
  <si>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</si>
  <si>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</si>
  <si>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</si>
  <si>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</si>
  <si>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</si>
  <si>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</si>
  <si>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</si>
  <si>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</si>
  <si>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</si>
  <si>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</si>
  <si>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</si>
  <si>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</si>
  <si>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</si>
  <si>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</si>
  <si>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</si>
  <si>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</si>
  <si>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</si>
  <si>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</si>
  <si>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</si>
  <si>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</si>
  <si>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</si>
  <si>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</si>
  <si>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</si>
  <si>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</si>
  <si>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</si>
  <si>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</si>
  <si>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</si>
  <si>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</si>
  <si>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</si>
  <si>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</si>
  <si>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</si>
  <si>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</si>
  <si>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</si>
  <si>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</si>
  <si>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</si>
  <si>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</si>
  <si>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</si>
  <si>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</si>
  <si>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</si>
  <si>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</si>
  <si>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</si>
  <si>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</si>
  <si>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</si>
  <si>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</si>
  <si>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</si>
  <si>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</si>
  <si>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</si>
  <si>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</si>
  <si>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</si>
  <si>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</si>
  <si>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</si>
  <si>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</si>
  <si>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</si>
  <si>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</si>
  <si>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</si>
  <si>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</si>
  <si>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</si>
  <si>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</si>
  <si>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</si>
  <si>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</si>
  <si>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</si>
  <si>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</si>
  <si>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</si>
  <si>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</si>
  <si>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</si>
  <si>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</si>
  <si>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</si>
  <si>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</si>
  <si>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</si>
  <si>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</si>
  <si>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</si>
  <si>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</si>
  <si>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</si>
  <si>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</si>
  <si>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</si>
  <si>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</si>
  <si>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</si>
  <si>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</si>
  <si>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</si>
  <si>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</si>
  <si>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</si>
  <si>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</si>
  <si>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</si>
  <si>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</si>
  <si>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</si>
  <si>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</si>
  <si>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</si>
  <si>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</si>
  <si>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</si>
  <si>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</si>
  <si>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</si>
  <si>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</si>
  <si>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</si>
  <si>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</si>
  <si>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</si>
  <si>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</si>
  <si>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</si>
  <si>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</si>
  <si>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</si>
  <si>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</si>
  <si>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</si>
  <si>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</si>
  <si>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</si>
  <si>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</si>
  <si>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</si>
  <si>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</si>
  <si>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</si>
  <si>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</si>
  <si>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</si>
  <si>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</si>
  <si>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</si>
  <si>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</si>
  <si>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</si>
  <si>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</si>
  <si>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</si>
  <si>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</si>
  <si>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</si>
  <si>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</si>
  <si>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</si>
  <si>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</si>
  <si>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</si>
  <si>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</si>
  <si>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</si>
  <si>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</si>
  <si>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</si>
  <si>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</si>
  <si>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</si>
  <si>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</si>
  <si>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</si>
  <si>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</si>
  <si>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</si>
  <si>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</si>
  <si>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</si>
  <si>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</si>
  <si>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</si>
  <si>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</si>
  <si>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</si>
  <si>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</si>
  <si>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</si>
  <si>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</si>
  <si>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</si>
  <si>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</si>
  <si>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</si>
  <si>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</si>
  <si>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</si>
  <si>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</si>
  <si>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</si>
  <si>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</si>
  <si>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</si>
  <si>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</si>
  <si>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</si>
  <si>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</si>
  <si>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</si>
  <si>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</si>
  <si>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</si>
  <si>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</si>
  <si>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</si>
  <si>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</si>
  <si>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</si>
  <si>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</si>
  <si>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</si>
  <si>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</si>
  <si>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</si>
  <si>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</si>
  <si>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</si>
  <si>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</si>
  <si>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</si>
  <si>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</si>
  <si>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</si>
  <si>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</si>
  <si>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</si>
  <si>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</si>
  <si>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</si>
  <si>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</si>
  <si>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</si>
  <si>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</si>
  <si>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</si>
  <si>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</si>
  <si>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</si>
  <si>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</si>
  <si>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</si>
  <si>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</si>
  <si>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</si>
  <si>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</si>
  <si>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</si>
  <si>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</si>
  <si>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</si>
  <si>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</si>
  <si>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</si>
  <si>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</si>
  <si>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</si>
  <si>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</si>
  <si>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</si>
  <si>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</si>
  <si>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</si>
  <si>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</si>
  <si>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</si>
  <si>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</si>
  <si>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</si>
  <si>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</si>
  <si>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</si>
  <si>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</si>
  <si>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</si>
  <si>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</si>
  <si>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</si>
  <si>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</si>
  <si>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</si>
  <si>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</si>
  <si>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</si>
  <si>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</si>
  <si>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</si>
  <si>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</si>
  <si>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</si>
  <si>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</si>
  <si>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</si>
  <si>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</si>
  <si>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</si>
  <si>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</si>
  <si>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</si>
  <si>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</si>
  <si>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</si>
  <si>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</si>
  <si>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</si>
  <si>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</si>
  <si>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</si>
  <si>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</si>
  <si>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</si>
  <si>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</si>
  <si>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</si>
  <si>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</si>
  <si>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</si>
  <si>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</si>
  <si>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</si>
  <si>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</si>
  <si>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</si>
  <si>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</si>
  <si>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</si>
  <si>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</si>
  <si>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</si>
  <si>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</si>
  <si>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</si>
  <si>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</si>
  <si>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</si>
  <si>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</si>
  <si>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</si>
  <si>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</si>
  <si>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</si>
  <si>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</si>
  <si>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</si>
  <si>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</si>
  <si>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</si>
  <si>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</si>
  <si>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</si>
  <si>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</si>
  <si>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</si>
  <si>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</si>
  <si>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</si>
  <si>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</si>
  <si>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</si>
  <si>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</si>
  <si>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</si>
  <si>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</si>
  <si>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</si>
  <si>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</si>
  <si>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</si>
  <si>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</si>
  <si>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</si>
  <si>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</si>
  <si>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</si>
  <si>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</si>
  <si>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</si>
  <si>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</si>
  <si>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</si>
  <si>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</si>
  <si>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</si>
  <si>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</si>
  <si>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</si>
  <si>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</si>
  <si>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</si>
  <si>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</si>
  <si>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</si>
  <si>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</si>
  <si>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</si>
  <si>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</si>
  <si>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</si>
  <si>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</si>
  <si>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</si>
  <si>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</si>
  <si>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</si>
  <si>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</si>
  <si>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</si>
  <si>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</si>
  <si>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</si>
  <si>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</si>
  <si>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</si>
  <si>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</si>
  <si>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</si>
  <si>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</si>
  <si>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</si>
  <si>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</si>
  <si>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</si>
  <si>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</si>
  <si>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</si>
  <si>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</si>
  <si>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</si>
  <si>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</si>
  <si>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</si>
  <si>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</si>
  <si>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</si>
  <si>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</si>
  <si>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</si>
  <si>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</si>
  <si>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</si>
  <si>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</si>
  <si>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</si>
  <si>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</si>
  <si>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</si>
  <si>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</si>
  <si>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</si>
  <si>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</si>
  <si>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</si>
  <si>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</si>
  <si>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</si>
  <si>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</si>
  <si>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</si>
  <si>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</si>
  <si>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</si>
  <si>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</si>
  <si>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</si>
  <si>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</si>
  <si>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</si>
  <si>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</si>
  <si>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</si>
  <si>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</si>
  <si>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</si>
  <si>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</si>
  <si>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</si>
  <si>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</si>
  <si>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</si>
  <si>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</si>
  <si>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</si>
  <si>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</si>
  <si>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</si>
  <si>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</si>
  <si>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</si>
  <si>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</si>
  <si>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</si>
  <si>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</si>
  <si>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</si>
  <si>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</si>
  <si>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</si>
  <si>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</si>
  <si>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</si>
  <si>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</si>
  <si>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</si>
  <si>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</si>
  <si>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</si>
  <si>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</si>
  <si>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</si>
  <si>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</si>
  <si>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</si>
  <si>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</si>
  <si>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</si>
  <si>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</si>
  <si>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</si>
  <si>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</si>
  <si>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</si>
  <si>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</si>
  <si>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</si>
  <si>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</si>
  <si>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</si>
  <si>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</si>
  <si>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</si>
  <si>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</si>
  <si>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</si>
  <si>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</si>
  <si>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</si>
  <si>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</si>
  <si>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</si>
  <si>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</si>
  <si>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</si>
  <si>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</si>
  <si>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</si>
  <si>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</si>
  <si>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</si>
  <si>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</si>
  <si>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</si>
  <si>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</si>
  <si>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</si>
  <si>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</si>
  <si>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</si>
  <si>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</si>
  <si>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</si>
  <si>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</si>
  <si>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</si>
  <si>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</si>
  <si>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</si>
  <si>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</si>
  <si>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</si>
  <si>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</si>
  <si>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</si>
  <si>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</si>
  <si>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</si>
  <si>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</si>
  <si>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</si>
  <si>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</si>
  <si>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</si>
  <si>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</si>
  <si>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</si>
  <si>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</si>
  <si>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</si>
  <si>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</si>
  <si>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</si>
  <si>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</si>
  <si>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</si>
  <si>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</si>
  <si>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</si>
  <si>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</si>
  <si>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</si>
  <si>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</si>
  <si>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</si>
  <si>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</si>
  <si>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</si>
  <si>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</si>
  <si>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</si>
  <si>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</si>
  <si>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</si>
  <si>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</si>
  <si>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</si>
  <si>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</si>
  <si>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</si>
  <si>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</si>
  <si>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</si>
  <si>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</si>
  <si>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</si>
  <si>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</si>
  <si>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</si>
  <si>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</si>
  <si>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</si>
  <si>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</si>
  <si>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</si>
  <si>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</si>
  <si>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</si>
  <si>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</si>
  <si>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</si>
  <si>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</si>
  <si>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</si>
  <si>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</si>
  <si>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</si>
  <si>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</si>
  <si>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</si>
  <si>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</si>
  <si>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</si>
  <si>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</si>
  <si>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</si>
  <si>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</si>
  <si>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</si>
  <si>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</si>
  <si>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</si>
  <si>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</si>
  <si>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</si>
  <si>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</si>
  <si>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</si>
  <si>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</si>
  <si>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</si>
  <si>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</si>
  <si>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</si>
  <si>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</si>
  <si>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</si>
  <si>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</si>
  <si>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</si>
  <si>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</si>
  <si>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</si>
  <si>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</si>
  <si>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</si>
  <si>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</si>
  <si>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</si>
  <si>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</si>
  <si>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</si>
  <si>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</si>
  <si>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</si>
  <si>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</si>
  <si>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</si>
  <si>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</si>
  <si>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</si>
  <si>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</si>
  <si>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</si>
  <si>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</si>
  <si>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</si>
  <si>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</si>
  <si>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</si>
  <si>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</si>
  <si>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</si>
  <si>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</si>
  <si>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</si>
  <si>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</si>
  <si>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</si>
  <si>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</si>
  <si>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</si>
  <si>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</si>
  <si>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</si>
  <si>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</si>
  <si>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</si>
  <si>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</si>
  <si>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</si>
  <si>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</si>
  <si>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</si>
  <si>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</si>
  <si>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</si>
  <si>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</si>
  <si>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</si>
  <si>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</si>
  <si>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</si>
  <si>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</si>
  <si>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</si>
  <si>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</si>
  <si>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</si>
  <si>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</si>
  <si>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</si>
  <si>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</si>
  <si>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</si>
  <si>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</si>
  <si>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</si>
  <si>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</si>
  <si>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</si>
  <si>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</si>
  <si>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</si>
  <si>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</si>
  <si>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</si>
  <si>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</si>
  <si>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</si>
  <si>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</si>
  <si>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</si>
  <si>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</si>
  <si>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</si>
  <si>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</si>
  <si>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</si>
  <si>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</si>
  <si>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</si>
  <si>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</si>
  <si>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</si>
  <si>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</si>
  <si>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</si>
  <si>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</si>
  <si>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</si>
  <si>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</si>
  <si>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</si>
  <si>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</si>
  <si>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</si>
  <si>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</si>
  <si>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</si>
  <si>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</si>
  <si>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</si>
  <si>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</si>
  <si>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</si>
  <si>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</si>
  <si>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</si>
  <si>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</si>
  <si>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</si>
  <si>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</si>
  <si>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</si>
  <si>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</si>
  <si>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</si>
  <si>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</si>
  <si>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</si>
  <si>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</si>
  <si>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</si>
  <si>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</si>
  <si>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</si>
  <si>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</si>
  <si>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</si>
  <si>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</si>
  <si>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</si>
  <si>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</si>
  <si>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</si>
  <si>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</si>
  <si>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</si>
  <si>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</si>
  <si>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</si>
  <si>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</si>
  <si>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</si>
  <si>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</si>
  <si>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</si>
  <si>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</si>
  <si>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</si>
  <si>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</si>
  <si>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</si>
  <si>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</si>
  <si>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</si>
  <si>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</si>
  <si>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</si>
  <si>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</si>
  <si>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</si>
  <si>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</si>
  <si>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</si>
  <si>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</si>
  <si>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</si>
  <si>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</si>
  <si>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</si>
  <si>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</si>
  <si>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</si>
  <si>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</si>
  <si>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</si>
  <si>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</si>
  <si>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</si>
  <si>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</si>
  <si>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</si>
  <si>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</si>
  <si>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</si>
  <si>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</si>
  <si>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</si>
  <si>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</si>
  <si>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</si>
  <si>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</si>
  <si>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</si>
  <si>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</si>
  <si>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</si>
  <si>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</si>
  <si>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</si>
  <si>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</si>
  <si>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</si>
  <si>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</si>
  <si>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</si>
  <si>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</si>
  <si>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</si>
  <si>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</si>
  <si>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</si>
  <si>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</si>
  <si>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</si>
  <si>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</si>
  <si>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</si>
  <si>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</si>
  <si>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</si>
  <si>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</si>
  <si>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</si>
  <si>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</si>
  <si>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</si>
  <si>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</si>
  <si>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</si>
  <si>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</si>
  <si>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</si>
  <si>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</si>
  <si>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</si>
  <si>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</si>
  <si>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</si>
  <si>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</si>
  <si>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</si>
  <si>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</si>
  <si>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</si>
  <si>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</si>
  <si>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</si>
  <si>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</si>
  <si>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</si>
  <si>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</si>
  <si>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</si>
  <si>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</si>
  <si>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</si>
  <si>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</si>
  <si>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</si>
  <si>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</si>
  <si>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</si>
  <si>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</si>
  <si>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</si>
  <si>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</si>
  <si>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</si>
  <si>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</si>
  <si>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</si>
  <si>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</si>
  <si>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</si>
  <si>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</si>
  <si>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</si>
  <si>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</si>
  <si>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</si>
  <si>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</si>
  <si>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</si>
  <si>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</si>
  <si>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</si>
  <si>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</si>
  <si>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</si>
  <si>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</si>
  <si>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</si>
  <si>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</si>
  <si>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</si>
  <si>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</si>
  <si>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</si>
  <si>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</si>
  <si>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</si>
  <si>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</si>
  <si>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</si>
  <si>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</si>
  <si>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</si>
  <si>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</si>
  <si>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</si>
  <si>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</si>
  <si>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</si>
  <si>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</si>
  <si>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</si>
  <si>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</si>
  <si>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</si>
  <si>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</si>
  <si>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</si>
  <si>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</si>
  <si>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</si>
  <si>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</si>
  <si>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</si>
  <si>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</si>
  <si>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</si>
  <si>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</si>
  <si>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</si>
  <si>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</si>
  <si>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</si>
  <si>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</si>
  <si>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</si>
  <si>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</si>
  <si>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</si>
  <si>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</si>
  <si>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</si>
  <si>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</si>
  <si>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</si>
  <si>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</si>
  <si>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</si>
  <si>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</si>
  <si>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</si>
  <si>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</si>
  <si>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</si>
  <si>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</si>
  <si>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</si>
  <si>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</si>
  <si>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</si>
  <si>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</si>
  <si>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</si>
  <si>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</si>
  <si>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</si>
  <si>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</si>
  <si>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</si>
  <si>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</si>
  <si>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</si>
  <si>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</si>
  <si>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</si>
  <si>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</si>
  <si>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</si>
  <si>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</si>
  <si>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</si>
  <si>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</si>
  <si>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</si>
  <si>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</si>
  <si>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</si>
  <si>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</si>
  <si>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</si>
  <si>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</si>
  <si>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</si>
  <si>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</si>
  <si>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</si>
  <si>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</si>
  <si>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</si>
  <si>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</si>
  <si>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</si>
  <si>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</si>
  <si>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</si>
  <si>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</si>
  <si>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</si>
  <si>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</si>
  <si>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</si>
  <si>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</si>
  <si>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</si>
  <si>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</si>
  <si>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</si>
  <si>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</si>
  <si>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</si>
  <si>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</si>
  <si>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</si>
  <si>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</si>
  <si>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</si>
  <si>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</si>
  <si>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</si>
  <si>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</si>
  <si>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</si>
  <si>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</si>
  <si>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</si>
  <si>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</si>
  <si>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</si>
  <si>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</si>
  <si>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</si>
  <si>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</si>
  <si>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</si>
  <si>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</si>
  <si>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</si>
  <si>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</si>
  <si>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</si>
  <si>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</si>
  <si>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</si>
  <si>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</si>
  <si>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</si>
  <si>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</si>
  <si>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</si>
  <si>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</si>
  <si>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</si>
  <si>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</si>
  <si>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</si>
  <si>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</si>
  <si>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</si>
  <si>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</si>
  <si>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</si>
  <si>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</si>
  <si>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</si>
  <si>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</si>
  <si>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</si>
  <si>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</si>
  <si>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</si>
  <si>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</si>
  <si>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</si>
  <si>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</si>
  <si>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</si>
  <si>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</si>
  <si>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</si>
  <si>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</si>
  <si>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</si>
  <si>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</si>
  <si>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</si>
  <si>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</si>
  <si>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</si>
  <si>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</si>
  <si>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</si>
  <si>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</si>
  <si>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</si>
  <si>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</si>
  <si>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</si>
  <si>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</si>
  <si>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</si>
  <si>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</si>
  <si>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</si>
  <si>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</si>
  <si>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</si>
  <si>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</si>
  <si>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</si>
  <si>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</si>
  <si>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</si>
  <si>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</si>
  <si>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</si>
  <si>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</si>
  <si>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</si>
  <si>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</si>
  <si>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</si>
  <si>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</si>
  <si>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</si>
  <si>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</si>
  <si>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</si>
  <si>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</si>
  <si>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</si>
  <si>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</si>
  <si>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</si>
  <si>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</si>
  <si>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</si>
  <si>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</si>
  <si>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</si>
  <si>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</si>
  <si>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</si>
  <si>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</si>
  <si>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</si>
  <si>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</si>
  <si>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</si>
  <si>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</si>
  <si>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</si>
  <si>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</si>
  <si>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</si>
  <si>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</si>
  <si>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</si>
  <si>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</si>
  <si>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</si>
  <si>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</si>
  <si>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</si>
  <si>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</si>
  <si>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</si>
  <si>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</si>
  <si>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</si>
  <si>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</si>
  <si>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</si>
  <si>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</si>
  <si>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</si>
  <si>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</si>
  <si>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</si>
  <si>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</si>
  <si>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</si>
  <si>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</si>
  <si>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</si>
  <si>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</si>
  <si>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</si>
  <si>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</si>
  <si>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</si>
  <si>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</si>
  <si>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</si>
  <si>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</si>
  <si>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</si>
  <si>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</si>
  <si>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</si>
  <si>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</si>
  <si>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</si>
  <si>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</si>
  <si>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</si>
  <si>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</si>
  <si>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</si>
  <si>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</si>
  <si>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</si>
  <si>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</si>
  <si>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</si>
  <si>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</si>
  <si>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</si>
  <si>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</si>
  <si>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</si>
  <si>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</si>
  <si>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</si>
  <si>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</si>
  <si>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</si>
  <si>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</si>
  <si>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</si>
  <si>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</si>
  <si>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</si>
  <si>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</si>
  <si>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</si>
  <si>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</si>
  <si>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</si>
  <si>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</si>
  <si>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</si>
  <si>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</si>
  <si>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</si>
  <si>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</si>
  <si>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</si>
  <si>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</si>
  <si>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</si>
  <si>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</si>
  <si>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</si>
  <si>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</si>
  <si>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</si>
  <si>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</si>
  <si>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</si>
  <si>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</si>
  <si>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</si>
  <si>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</si>
  <si>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</si>
  <si>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</si>
  <si>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</si>
  <si>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</si>
  <si>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</si>
  <si>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</si>
  <si>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</si>
  <si>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</si>
  <si>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</si>
  <si>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</si>
  <si>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</si>
  <si>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</si>
  <si>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</si>
  <si>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</si>
  <si>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</si>
  <si>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</si>
  <si>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</si>
  <si>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</si>
  <si>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</si>
  <si>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</si>
  <si>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</si>
  <si>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</si>
  <si>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</si>
  <si>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</si>
  <si>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</si>
  <si>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</si>
  <si>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</si>
  <si>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</si>
  <si>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</si>
  <si>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</si>
  <si>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</si>
  <si>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</si>
  <si>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</si>
  <si>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</si>
  <si>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</si>
  <si>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</si>
  <si>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</si>
  <si>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</si>
  <si>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</si>
  <si>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</si>
  <si>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</si>
  <si>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</si>
  <si>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</si>
  <si>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</si>
  <si>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</si>
  <si>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</si>
  <si>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</si>
  <si>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</si>
  <si>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</si>
  <si>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</si>
  <si>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</si>
  <si>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</si>
  <si>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</si>
  <si>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</si>
  <si>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</si>
  <si>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</si>
  <si>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</si>
  <si>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</si>
  <si>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</si>
  <si>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</si>
  <si>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</si>
  <si>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</si>
  <si>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</si>
  <si>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</si>
  <si>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</si>
  <si>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</si>
  <si>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</si>
  <si>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</si>
  <si>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</si>
  <si>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</si>
  <si>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</si>
  <si>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</si>
  <si>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</si>
  <si>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</si>
  <si>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</si>
  <si>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</si>
  <si>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</si>
  <si>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</si>
  <si>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</si>
  <si>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</si>
  <si>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</si>
  <si>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</si>
  <si>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</si>
  <si>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</si>
  <si>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</si>
  <si>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</si>
  <si>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</si>
  <si>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</si>
  <si>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</si>
  <si>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</si>
  <si>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</si>
  <si>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</si>
  <si>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</si>
  <si>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</si>
  <si>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</si>
  <si>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</si>
  <si>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</si>
  <si>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</si>
  <si>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</si>
  <si>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</si>
  <si>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</si>
  <si>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</si>
  <si>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</si>
  <si>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</si>
  <si>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</si>
  <si>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</si>
  <si>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</si>
  <si>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</si>
  <si>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</si>
  <si>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</si>
  <si>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</si>
  <si>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</si>
  <si>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</si>
  <si>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</si>
  <si>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</si>
  <si>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</si>
  <si>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</si>
  <si>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</si>
  <si>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</si>
  <si>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</si>
  <si>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</si>
  <si>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</si>
  <si>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</si>
  <si>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</si>
  <si>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</si>
  <si>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</si>
  <si>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</si>
  <si>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</si>
  <si>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</si>
  <si>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</si>
  <si>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</si>
  <si>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</si>
  <si>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</si>
  <si>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</si>
  <si>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</si>
  <si>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</si>
  <si>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</si>
  <si>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</si>
  <si>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</si>
  <si>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</si>
  <si>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</si>
  <si>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</si>
  <si>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</si>
  <si>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</si>
  <si>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</si>
  <si>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</si>
  <si>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</si>
  <si>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</si>
  <si>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</si>
  <si>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</si>
  <si>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</si>
  <si>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</si>
  <si>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</si>
  <si>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</si>
  <si>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</si>
  <si>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</si>
  <si>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</si>
  <si>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</si>
  <si>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</si>
  <si>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</si>
  <si>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</si>
  <si>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</si>
  <si>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</si>
  <si>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</si>
  <si>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</si>
  <si>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</si>
  <si>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</si>
  <si>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</si>
  <si>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</si>
  <si>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</si>
  <si>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</si>
  <si>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</si>
  <si>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</si>
  <si>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</si>
  <si>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</si>
  <si>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</si>
  <si>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</si>
  <si>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</si>
  <si>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</si>
  <si>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</si>
  <si>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</si>
  <si>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</si>
  <si>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</si>
  <si>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</si>
  <si>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</si>
  <si>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</si>
  <si>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</si>
  <si>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</si>
  <si>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</si>
  <si>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</si>
  <si>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</si>
  <si>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</si>
  <si>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</si>
  <si>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</si>
  <si>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</si>
  <si>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</si>
  <si>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</si>
  <si>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</si>
  <si>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</si>
  <si>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</si>
  <si>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</si>
  <si>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</si>
  <si>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</si>
  <si>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</si>
  <si>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</si>
  <si>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</si>
  <si>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</si>
  <si>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</si>
  <si>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</si>
  <si>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</si>
  <si>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</si>
  <si>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</si>
  <si>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</si>
  <si>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</si>
  <si>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</si>
  <si>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</si>
  <si>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</si>
  <si>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</si>
  <si>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</si>
  <si>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</si>
  <si>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</si>
  <si>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</si>
  <si>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</si>
  <si>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</si>
  <si>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</si>
  <si>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</si>
  <si>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</si>
  <si>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</si>
  <si>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</si>
  <si>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</si>
  <si>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</si>
  <si>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</si>
  <si>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</si>
  <si>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</si>
  <si>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</si>
  <si>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</si>
  <si>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</si>
  <si>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</si>
  <si>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</si>
  <si>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</si>
  <si>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</si>
  <si>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</si>
  <si>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</si>
  <si>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</si>
  <si>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</si>
  <si>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</si>
  <si>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</si>
  <si>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</si>
  <si>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</si>
  <si>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</si>
  <si>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</si>
  <si>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</si>
  <si>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</si>
  <si>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</si>
  <si>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</si>
  <si>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</si>
  <si>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</si>
  <si>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</si>
  <si>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</si>
  <si>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</si>
  <si>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</si>
  <si>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</si>
  <si>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</si>
  <si>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</si>
  <si>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</si>
  <si>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</si>
  <si>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</si>
  <si>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</si>
  <si>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</si>
  <si>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</si>
  <si>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</si>
  <si>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</si>
  <si>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</si>
  <si>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</si>
  <si>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</si>
  <si>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</si>
  <si>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</si>
  <si>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</si>
  <si>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</si>
  <si>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</si>
  <si>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</si>
  <si>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</si>
  <si>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</si>
  <si>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</si>
  <si>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</si>
  <si>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</si>
  <si>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</si>
  <si>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</si>
  <si>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</si>
  <si>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</si>
  <si>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</si>
  <si>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</si>
  <si>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</si>
  <si>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</si>
  <si>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</si>
  <si>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</si>
  <si>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</si>
  <si>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</si>
  <si>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</si>
  <si>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</si>
  <si>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</si>
  <si>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</si>
  <si>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</si>
  <si>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</si>
  <si>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</si>
  <si>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</si>
  <si>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</si>
  <si>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</si>
  <si>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</si>
  <si>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</si>
  <si>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</si>
  <si>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</si>
  <si>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</si>
  <si>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</si>
  <si>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</si>
  <si>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</si>
  <si>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</si>
  <si>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</si>
  <si>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</si>
  <si>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</si>
  <si>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</si>
  <si>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</si>
  <si>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</si>
  <si>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</si>
  <si>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</si>
  <si>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</si>
  <si>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</si>
  <si>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</si>
  <si>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</si>
  <si>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</si>
  <si>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</si>
  <si>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</si>
  <si>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</si>
  <si>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</si>
  <si>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</si>
  <si>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</si>
  <si>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</si>
  <si>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</si>
  <si>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</si>
  <si>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</si>
  <si>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</si>
  <si>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</si>
  <si>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</si>
  <si>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</si>
  <si>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</si>
  <si>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</si>
  <si>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</si>
  <si>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</si>
  <si>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</si>
  <si>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</si>
  <si>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</si>
  <si>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</si>
  <si>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</si>
  <si>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</si>
  <si>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</si>
  <si>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</si>
  <si>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</si>
  <si>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</si>
  <si>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</si>
  <si>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</si>
  <si>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</si>
  <si>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</si>
  <si>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</si>
  <si>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</si>
  <si>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</si>
  <si>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</si>
  <si>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</si>
  <si>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</si>
  <si>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</si>
  <si>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</si>
  <si>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</si>
  <si>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</si>
  <si>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</si>
  <si>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</si>
  <si>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</si>
  <si>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</si>
  <si>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</si>
  <si>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</si>
  <si>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</si>
  <si>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</si>
  <si>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</si>
  <si>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</si>
  <si>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</si>
  <si>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</si>
  <si>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</si>
  <si>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</si>
  <si>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</si>
  <si>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</si>
  <si>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</si>
  <si>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</si>
  <si>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</si>
  <si>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</si>
  <si>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</si>
  <si>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</si>
  <si>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</si>
  <si>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</si>
  <si>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</si>
  <si>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</si>
  <si>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</si>
  <si>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</si>
  <si>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</si>
  <si>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</si>
  <si>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</si>
  <si>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</si>
  <si>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</si>
  <si>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</si>
  <si>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</si>
  <si>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</si>
  <si>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</si>
  <si>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</si>
  <si>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</si>
  <si>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</si>
  <si>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</si>
  <si>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</si>
  <si>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</si>
  <si>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</si>
  <si>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</si>
  <si>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</si>
  <si>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</si>
  <si>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</si>
  <si>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</si>
  <si>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</si>
  <si>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</si>
  <si>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</si>
  <si>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</si>
  <si>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</si>
  <si>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</si>
  <si>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</si>
  <si>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</si>
  <si>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</si>
  <si>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</si>
  <si>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</si>
  <si>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</si>
  <si>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</si>
  <si>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</si>
  <si>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</si>
  <si>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</si>
  <si>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</si>
  <si>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</si>
  <si>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</si>
  <si>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</si>
  <si>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</si>
  <si>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</si>
  <si>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</si>
  <si>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</si>
  <si>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</si>
  <si>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</si>
  <si>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</si>
  <si>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</si>
  <si>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</si>
  <si>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</si>
  <si>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</si>
  <si>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</si>
  <si>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</si>
  <si>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</si>
  <si>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</si>
  <si>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</si>
  <si>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</si>
  <si>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</si>
  <si>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</si>
  <si>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</si>
  <si>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</si>
  <si>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</si>
  <si>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</si>
  <si>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</si>
  <si>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</si>
  <si>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</si>
  <si>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</si>
  <si>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</si>
  <si>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</si>
  <si>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</si>
  <si>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</si>
  <si>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</si>
  <si>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</si>
  <si>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</si>
  <si>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</si>
  <si>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</si>
  <si>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</si>
  <si>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</si>
  <si>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</si>
  <si>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</si>
  <si>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</si>
  <si>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</si>
  <si>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</si>
  <si>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</si>
  <si>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</si>
  <si>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</si>
  <si>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</si>
  <si>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</si>
  <si>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</si>
  <si>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</si>
  <si>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</si>
  <si>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</si>
  <si>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</si>
  <si>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</si>
  <si>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</si>
  <si>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</si>
  <si>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</si>
  <si>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</si>
  <si>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</si>
  <si>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</si>
  <si>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</si>
  <si>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</si>
  <si>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</si>
  <si>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</si>
  <si>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</si>
  <si>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</si>
  <si>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</si>
  <si>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</si>
  <si>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</si>
  <si>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</si>
  <si>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</si>
  <si>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</si>
  <si>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</si>
  <si>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</si>
  <si>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</si>
  <si>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</si>
  <si>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</si>
  <si>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</si>
  <si>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</si>
  <si>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</si>
  <si>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</si>
  <si>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</si>
  <si>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</si>
  <si>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</si>
  <si>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</si>
  <si>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</si>
  <si>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</si>
  <si>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</si>
  <si>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</si>
  <si>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</si>
  <si>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</si>
  <si>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</si>
  <si>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</si>
  <si>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</si>
  <si>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</si>
  <si>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</si>
  <si>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</si>
  <si>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</si>
  <si>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</si>
  <si>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</si>
  <si>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</si>
  <si>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</si>
  <si>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</si>
  <si>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</si>
  <si>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</si>
  <si>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</si>
  <si>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</si>
  <si>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</si>
  <si>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</si>
  <si>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</si>
  <si>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</si>
  <si>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</si>
  <si>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</si>
  <si>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</si>
  <si>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</si>
  <si>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</si>
  <si>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</si>
  <si>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</si>
  <si>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</si>
  <si>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</si>
  <si>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</si>
  <si>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</si>
  <si>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</si>
  <si>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</si>
  <si>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</si>
  <si>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</si>
  <si>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</si>
  <si>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</si>
  <si>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</si>
  <si>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</si>
  <si>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</si>
  <si>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</si>
  <si>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</si>
  <si>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</si>
  <si>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</si>
  <si>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</si>
  <si>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</si>
  <si>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</si>
  <si>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</si>
  <si>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</si>
  <si>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</si>
  <si>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</si>
  <si>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</si>
  <si>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</si>
  <si>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</si>
  <si>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</si>
  <si>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</si>
  <si>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</si>
  <si>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</si>
  <si>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</si>
  <si>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</si>
  <si>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</si>
  <si>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</si>
  <si>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</si>
  <si>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</si>
  <si>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</si>
  <si>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</si>
  <si>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</si>
  <si>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</si>
  <si>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</si>
  <si>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</si>
  <si>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</si>
  <si>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</si>
  <si>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</si>
  <si>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</si>
  <si>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</si>
  <si>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</si>
  <si>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</si>
  <si>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</si>
  <si>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</si>
  <si>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</si>
  <si>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</si>
  <si>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</si>
  <si>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</si>
  <si>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</si>
  <si>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</si>
  <si>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</si>
  <si>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</si>
  <si>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</si>
  <si>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</si>
  <si>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</si>
  <si>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</si>
  <si>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</si>
  <si>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</si>
  <si>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</si>
  <si>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</si>
  <si>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</si>
  <si>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</si>
  <si>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</si>
  <si>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</si>
  <si>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</si>
  <si>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</si>
  <si>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</si>
  <si>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</si>
  <si>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</si>
  <si>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</si>
  <si>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</si>
  <si>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</si>
  <si>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</si>
  <si>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</si>
  <si>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</si>
  <si>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</si>
  <si>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</si>
  <si>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</si>
  <si>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</si>
  <si>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</si>
  <si>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</si>
  <si>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</si>
  <si>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</si>
  <si>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</si>
  <si>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</si>
  <si>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</si>
  <si>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</si>
  <si>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</si>
  <si>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</si>
  <si>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</si>
  <si>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</si>
  <si>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</si>
  <si>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</si>
  <si>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</si>
  <si>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</si>
  <si>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</si>
  <si>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</si>
  <si>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</si>
  <si>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</si>
  <si>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</si>
  <si>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</si>
  <si>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</si>
  <si>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</si>
  <si>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</si>
  <si>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</si>
  <si>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</si>
  <si>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</si>
  <si>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</si>
  <si>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</si>
  <si>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</si>
  <si>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</si>
  <si>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</si>
  <si>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</si>
  <si>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</si>
  <si>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</si>
  <si>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</si>
  <si>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</si>
  <si>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</si>
  <si>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</si>
  <si>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</si>
  <si>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</si>
  <si>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</si>
  <si>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</si>
  <si>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</si>
  <si>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</si>
  <si>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</si>
  <si>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</si>
  <si>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</si>
  <si>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</si>
  <si>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</si>
  <si>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</si>
  <si>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</si>
  <si>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</si>
  <si>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</si>
  <si>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</si>
  <si>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</si>
  <si>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</si>
  <si>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</si>
  <si>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</si>
  <si>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</si>
  <si>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</si>
  <si>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</si>
  <si>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</si>
  <si>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</si>
  <si>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</si>
  <si>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</si>
  <si>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</si>
  <si>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</si>
  <si>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</si>
  <si>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</si>
  <si>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</si>
  <si>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</si>
  <si>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</si>
  <si>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</si>
  <si>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</si>
  <si>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</si>
  <si>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</si>
  <si>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</si>
  <si>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</si>
  <si>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</si>
  <si>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</si>
  <si>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</si>
  <si>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</si>
  <si>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</si>
  <si>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</si>
  <si>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</si>
  <si>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</si>
  <si>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</si>
  <si>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</si>
  <si>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</si>
  <si>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</si>
  <si>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</si>
  <si>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</si>
  <si>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</si>
  <si>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</si>
  <si>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</si>
  <si>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</si>
  <si>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</si>
  <si>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</si>
  <si>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</si>
  <si>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</si>
  <si>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</si>
  <si>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</si>
  <si>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</si>
  <si>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</si>
  <si>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</si>
  <si>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</si>
  <si>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</si>
  <si>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</si>
  <si>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</si>
  <si>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</si>
  <si>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</si>
  <si>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</si>
  <si>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</si>
  <si>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</si>
  <si>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</si>
  <si>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</si>
  <si>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</si>
  <si>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</si>
  <si>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</si>
  <si>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</si>
  <si>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</si>
  <si>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</si>
  <si>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</si>
  <si>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</si>
  <si>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</si>
  <si>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</si>
  <si>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</si>
  <si>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</si>
  <si>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</si>
  <si>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</si>
  <si>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</si>
  <si>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</si>
  <si>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</si>
  <si>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</si>
  <si>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</si>
  <si>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</si>
  <si>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</si>
  <si>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</si>
  <si>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</si>
  <si>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</si>
  <si>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</si>
  <si>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</si>
  <si>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</si>
  <si>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</si>
  <si>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</si>
  <si>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</si>
  <si>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</si>
  <si>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</si>
  <si>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</si>
  <si>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</si>
  <si>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</si>
  <si>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</si>
  <si>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</si>
  <si>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</si>
  <si>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</si>
  <si>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</si>
  <si>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</si>
  <si>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</si>
  <si>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</si>
  <si>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</si>
  <si>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</si>
  <si>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</si>
  <si>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</si>
  <si>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</si>
  <si>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</si>
  <si>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</si>
  <si>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</si>
  <si>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</si>
  <si>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</si>
  <si>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2022PA-038</t>
  </si>
  <si>
    <t>326 West 9th Street</t>
  </si>
  <si>
    <t>shudson@nwgha.com</t>
  </si>
  <si>
    <t>Sandra Hudson</t>
  </si>
  <si>
    <t>Executive Director</t>
  </si>
  <si>
    <t>hphillips@nwgha.com</t>
  </si>
  <si>
    <t>Development Coordinator</t>
  </si>
  <si>
    <t>Cave Spring Townhomes</t>
  </si>
  <si>
    <t>City Limits</t>
  </si>
  <si>
    <t>Hannah Phillips</t>
  </si>
  <si>
    <t>RAD</t>
  </si>
  <si>
    <t>Churchill Stateside</t>
  </si>
  <si>
    <t>US Bank</t>
  </si>
  <si>
    <t>HUD</t>
  </si>
  <si>
    <t>Electric Heat Pump</t>
  </si>
  <si>
    <t>Row House/TH</t>
  </si>
  <si>
    <t>40% of Units at 60% of AMI</t>
  </si>
  <si>
    <t>N/a</t>
  </si>
  <si>
    <t>Amortizing</t>
  </si>
  <si>
    <t>Agree</t>
  </si>
  <si>
    <t>N/Ap</t>
  </si>
  <si>
    <t>Bowen National Research</t>
  </si>
  <si>
    <t>Geotechnical &amp; Environmental Consultants, Inc.</t>
  </si>
  <si>
    <t>Georgia Power</t>
  </si>
  <si>
    <t>City of Cave Spring</t>
  </si>
  <si>
    <t>Building</t>
  </si>
  <si>
    <t>Gazebo</t>
  </si>
  <si>
    <t>On-site laundry</t>
  </si>
  <si>
    <t>Cave Spring NWGHA 2022, LP</t>
  </si>
  <si>
    <t>Yes - W&amp;D hookups installed in each unit</t>
  </si>
  <si>
    <t>Third-party</t>
  </si>
  <si>
    <t>Relocation specialist</t>
  </si>
  <si>
    <t>National Housing Consultant Services</t>
  </si>
  <si>
    <t>Site Census Tract</t>
  </si>
  <si>
    <t>At or Below 60th Percentile</t>
  </si>
  <si>
    <t>Above 60th Percentile</t>
  </si>
  <si>
    <t>2019</t>
  </si>
  <si>
    <t>The proposed tenancy is for families.</t>
  </si>
  <si>
    <t>There is no gas on the property. Georgia Power already supplies power to the existing site.</t>
  </si>
  <si>
    <t>The amenities for Cave Spring Townhomes were selected for family tenancy.</t>
  </si>
  <si>
    <t xml:space="preserve">Applicant will prioritize the sustainability of the affordable housing development. </t>
  </si>
  <si>
    <t xml:space="preserve">Accessibility and Fair Housing for disabled tenants continues to be an important role and focus of NWGHA. The development will be in full compliance. </t>
  </si>
  <si>
    <t xml:space="preserve">Northwest Georgia Housing Authority is the Certifying General Partner and Developer of this project. </t>
  </si>
  <si>
    <t>A legal opinion for eligibility as a scattered site is included in the folder.</t>
  </si>
  <si>
    <t>Tenants will be relocated within the development and/or to other public housing developments owned and managed by NWGHA. Relocation Specialist Helena Cunningham, founder and CEO of National Housing Consultant Services, a full-service housing development and consulting firm, specializing in acquiring and developing affordable housing as well as providing relocation services, will serve as the third-party specialist. Since opening in 2010, the company has assisted with th development of over 3,000 housing units, adding up to more than $300,000,000 in total costs.Ms. Cunningham possesses a wealth of experience in her field and has effectively steered the development and administration of several housing programs. She accomplished this while serving as the Executive Vice President and Managing Director for the National Housing Partnership Foundation (NHPF). During her time there, she directed the rehabilitation and new development of more than 3,000 affordable multifamily housing units in the Gulf Coast region. Ms. Cunningham's prior professional experience also includes serving in various roles at the Louisiana Housing Finance Agency (LHFA). She began her career with the LHFA as its General Counsel from November 1997 until she filled the position of Vice President in December 1999. She subsequently served as President/CEO from April 2001 until April 2006. Ms. Cunningham holds the professional designation of a Certified Public Accountant and a Juris Doctorate Degree. Aside from her educational achievements, she has more than 20 years' worth of diverse experience in the financing, development, and construction of affordable housing.</t>
  </si>
  <si>
    <t>NWGHA is committed to facilitating AFFH.</t>
  </si>
  <si>
    <t xml:space="preserve">The development team strives to produce high quality affordable housing that will stand test of time. It is important for the quality of construction and materials to stand up to more than 30 years of life expectancy. </t>
  </si>
  <si>
    <t xml:space="preserve">The desirables have been measured from Site entrance on Fincher Street/Stewart Circle. All desirables are less than 1 mile from the site entrance, to include: Dollar General, KC's Supermarket, Local Joes, Cave Spring Medical Center, J &amp; J Pharmacy, Reach for the Stars Daycare, Cave Spring Elementary School, a town square, Cave Spring Community Center, Rolater Park, Cave Spring Library, Cave Spring Fire Department, United Community Bank, First Baptist Church, and United States Postal Service. The subject property is not located in a USDA Food Desert. </t>
  </si>
  <si>
    <t>Tract Income Level is identified as Middle. Site is located in tract 20.0 which is 18.42% below poverty level. Health insurance coverage rate indicator scored above 60th percentile according to the 2019 dataset.</t>
  </si>
  <si>
    <t>There have never been 9% credits awarded in the local government boundary of Cave Spring.</t>
  </si>
  <si>
    <t>Cave Spring NWGHA 2022, LP will execute a 75-year ground lease at receipt of tax credit award. Documents are in Site Control folder.</t>
  </si>
  <si>
    <t>Project is not eligible.</t>
  </si>
  <si>
    <t>Project not eligible.</t>
  </si>
  <si>
    <t>Not eligible - new construction</t>
  </si>
  <si>
    <t>Site is not located in Atlanta metro pool.</t>
  </si>
  <si>
    <t>Ground lease/Option</t>
  </si>
  <si>
    <t>Site is accessible by paved roads. There are city streets connected to all entrances and sidewalks.</t>
  </si>
  <si>
    <t>Zeffert and Associates</t>
  </si>
  <si>
    <t>4  months</t>
  </si>
  <si>
    <t>Spring Haven Apts</t>
  </si>
  <si>
    <t>Hummingbird Pointe Apts</t>
  </si>
  <si>
    <t>Evergreen Village Apts</t>
  </si>
  <si>
    <t>Kirkwood Trails Apts</t>
  </si>
  <si>
    <t>1999-049</t>
  </si>
  <si>
    <t>2018-026</t>
  </si>
  <si>
    <t>2001-06</t>
  </si>
  <si>
    <t>1989-090</t>
  </si>
  <si>
    <t>Payroll Taxes and Insurance</t>
  </si>
  <si>
    <t>Deferred Dev Fee-NWGHA</t>
  </si>
  <si>
    <t>Northwest Georgia Housing Authority received Qualified qualification determination on April 25, 2022. There have been no changes to the project team since pre-application. All development team members are experienced in multifamily LIHTC housing. A RAD CHAP award has been issued for twenty (20) public housing units existing on the site. The remaining thirty-two (32) units currently have HUD PBRA with a HAP contract that expires in year 2041. HUD will continue to provide the PBRA to these thirty-two (32) units after new construction.</t>
  </si>
  <si>
    <t>Applicant certifies that it will include in the property a minimum of 2 required services.</t>
  </si>
  <si>
    <t>NWGHA does not pay real estate taxes on properties they own. The tax exemption opinion is included in the application tabs. The insurance estimate is included in Project Feasibility Tab.
Rents and Utility allowances for the RAD units are per the RAD CHAP and are for a commitment period of 20 years. As a result the CHAP rents were used, even when over the maximum tax credit limits. The
tenant paid portion will not be more than the tax credit limits.</t>
  </si>
  <si>
    <t>The property has RAD PBRA greater than 10 years on all LIHTC units. The excerpts above from the market study reflect extremely stong demand for these units for LIHTC.</t>
  </si>
  <si>
    <t>Appraisal not needed. Land will be ground-leased for a 75-year term.</t>
  </si>
  <si>
    <t>An executed Option Agreement for a 75-year ground lease is included in the Site Control folder.</t>
  </si>
  <si>
    <t>Zoning for the two sites are appropriate for multifamily housing.</t>
  </si>
  <si>
    <t>City of Cave Spring Water and Sewer already services the two sites.</t>
  </si>
  <si>
    <t xml:space="preserve">All QAP requirements have been included in the submitted plan. </t>
  </si>
  <si>
    <t>Applicant has extensive experience with resident engagement. Applicant commits to accept DCA-led resident engagement if DCA chooses to do so.</t>
  </si>
  <si>
    <t>Northwest Georgia Housing Authority received its CORES-certified designation on May 24, 2022. The approval letter is in the Enriched Property Services folder.</t>
  </si>
  <si>
    <t>Applicant has a tenant selection preference as identified in the Integrated Supportive Housing folder. Applicant is seeking points in Prior Performance and Applicant has a controlling interest in the General Partnership. Past performance projects with Section 811 PBRA commitments are 2018-045, 2019-504, and 2020-082.</t>
  </si>
  <si>
    <t>&lt;&lt; Select &gt;&gt;</t>
  </si>
  <si>
    <t>Churchill Stateside has committed to the perm mortgage.
US Bank will be supplying the tax credits for the property.  .89 federal pricing and .59 state pricing. Deferred Developer Fee commitment has been provided by NWGHA. They agree to commit up to half of the fee if needed to fill a gap of funding as allowed by the QAP.</t>
  </si>
  <si>
    <t>NWGHA is a tax exempt corporation. The property is currently tax exempt. Construction and demo numbers are from the GC we have used on a similar project.  City fees are reduced and a letter from the city is incldued with the app.</t>
  </si>
  <si>
    <t xml:space="preserve">The project team is fully experienced and received a qualification determination during the pre-application process. The project meets all QAP standards and is appropriately sourced. The Applicant has submitted an proposal which conforms to the 2022 QAP.   All costs for Development and Construction have been carefully underwritten by experienced estimators.  Federal ($0.89)and State ($0.59) Equity Pricing are competitive and worked out with experinced Investors and are appropriate for their yields.  Operating Costs have been proposed by the experienced Management Company, NWGHA, which has operated comparable properties at these expenses.  </t>
  </si>
  <si>
    <t>NWGHA/HUD RAD</t>
  </si>
  <si>
    <t>Water, Sewer and trash will be paid by Owner.
The property will have a RAD CHAP Agreement.</t>
  </si>
  <si>
    <t xml:space="preserve">"Debt service coverage ratio is at or above 1.20 through Year 15.  Deferred developer fee is shown repaid by year 15 as equal payments out of available cash flow.
Asset Management Fees:  $5,000/year for federal tax credit investor </t>
  </si>
  <si>
    <t>GEC</t>
  </si>
  <si>
    <t>Phase 1 and 2 have been included. We plan to remediate during demolition for any hazardous materials.</t>
  </si>
  <si>
    <t>The site plan meets the architectural standards contained in the application manual for quality and longevity.</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</si>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</sst>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
      <b/>
      <sz val="9"/>
      <color rgb="FF000000"/>
      <name val="Tahoma"/>
      <family val="2"/>
    </font>
    <font>
      <sz val="9"/>
      <color rgb="FF000000"/>
      <name val="Tahoma"/>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75"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5" borderId="76"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3" fillId="10" borderId="75" xfId="0" applyFont="1"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1640625" defaultRowHeight="13"/>
  <cols>
    <col min="1" max="1" width="171.5" style="27" customWidth="1"/>
    <col min="2" max="16384" width="9.1640625" style="27"/>
  </cols>
  <sheetData>
    <row r="1" spans="1:6" ht="15" customHeight="1">
      <c r="A1" s="848" t="s">
        <v>916</v>
      </c>
    </row>
    <row r="2" spans="1:6" ht="15" customHeight="1">
      <c r="A2" s="849" t="str">
        <f>'Part I-Project Identification'!F29</f>
        <v>Cave Spring Townhomes</v>
      </c>
    </row>
    <row r="3" spans="1:6" ht="15" customHeight="1">
      <c r="A3" s="849" t="str">
        <f>CONCATENATE('Part I-Project Identification'!F30,", ", 'Part I-Project Identification'!J30," County")</f>
        <v>Cave Spring, Floyd County</v>
      </c>
    </row>
    <row r="4" spans="1:6" ht="12" customHeight="1">
      <c r="A4" s="1426"/>
    </row>
    <row r="5" spans="1:6" ht="72" customHeight="1">
      <c r="A5" s="3296" t="s">
        <v>6073</v>
      </c>
      <c r="B5" s="3297" t="s">
        <v>3898</v>
      </c>
      <c r="C5" s="3297"/>
      <c r="D5" s="3297"/>
      <c r="E5" s="3297"/>
      <c r="F5" s="3297"/>
    </row>
    <row r="6" spans="1:6" ht="6.5" customHeight="1">
      <c r="A6" s="3296"/>
      <c r="B6" s="3297"/>
      <c r="C6" s="3297"/>
      <c r="D6" s="3297"/>
      <c r="E6" s="3297"/>
      <c r="F6" s="3297"/>
    </row>
    <row r="7" spans="1:6" ht="72" customHeight="1">
      <c r="A7" s="3296"/>
      <c r="B7" s="3297"/>
      <c r="C7" s="3297"/>
      <c r="D7" s="3297"/>
      <c r="E7" s="3297"/>
      <c r="F7" s="3297"/>
    </row>
    <row r="8" spans="1:6" ht="6.5" customHeight="1">
      <c r="A8" s="3296"/>
    </row>
    <row r="9" spans="1:6" ht="72" customHeight="1">
      <c r="A9" s="3296"/>
    </row>
    <row r="10" spans="1:6" ht="6.5" customHeight="1">
      <c r="A10" s="3296"/>
    </row>
    <row r="11" spans="1:6" ht="72" customHeight="1">
      <c r="A11" s="3296"/>
    </row>
    <row r="12" spans="1:6" ht="6.5" customHeight="1">
      <c r="A12" s="3296"/>
    </row>
    <row r="13" spans="1:6" ht="72" customHeight="1">
      <c r="A13" s="3296"/>
    </row>
    <row r="14" spans="1:6" ht="6.5" customHeight="1">
      <c r="A14" s="3296"/>
    </row>
    <row r="15" spans="1:6" ht="72" customHeight="1">
      <c r="A15" s="3296"/>
    </row>
    <row r="16" spans="1:6" ht="6.5" customHeight="1">
      <c r="A16" s="3296"/>
    </row>
    <row r="17" spans="1:1" ht="72" customHeight="1">
      <c r="A17" s="3296"/>
    </row>
    <row r="18" spans="1:1" ht="6.5" customHeight="1">
      <c r="A18" s="3296"/>
    </row>
    <row r="19" spans="1:1" ht="72" customHeight="1">
      <c r="A19" s="3296"/>
    </row>
    <row r="20" spans="1:1" ht="6.5" customHeight="1">
      <c r="A20" s="3296"/>
    </row>
    <row r="21" spans="1:1" ht="72" customHeight="1">
      <c r="A21" s="3296"/>
    </row>
    <row r="22" spans="1:1" ht="6.5"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 zoomScale="140" zoomScaleNormal="140" workbookViewId="0">
      <selection activeCell="P7" sqref="P7"/>
    </sheetView>
  </sheetViews>
  <sheetFormatPr baseColWidth="10" defaultColWidth="9.1640625" defaultRowHeight="13"/>
  <cols>
    <col min="1" max="1" width="2.83203125" style="8" customWidth="1"/>
    <col min="2" max="2" width="10" style="8" customWidth="1"/>
    <col min="3" max="3" width="7.5" style="8" customWidth="1"/>
    <col min="4" max="4" width="6.5" style="8" customWidth="1"/>
    <col min="5" max="5" width="6.83203125" style="8" customWidth="1"/>
    <col min="6" max="6" width="8.1640625" style="8" customWidth="1"/>
    <col min="7" max="8" width="9.83203125" style="8" customWidth="1"/>
    <col min="9" max="9" width="10.6640625" style="8" customWidth="1"/>
    <col min="10" max="10" width="11.83203125" style="8" customWidth="1"/>
    <col min="11" max="11" width="10.1640625" style="8" customWidth="1"/>
    <col min="12" max="12" width="9.83203125" style="8" customWidth="1"/>
    <col min="13" max="14" width="11" style="8" customWidth="1"/>
    <col min="15" max="15" width="13.83203125" style="8" customWidth="1"/>
    <col min="16" max="16" width="15.5" style="8" customWidth="1"/>
    <col min="17" max="17" width="12.5" style="83" customWidth="1"/>
    <col min="18" max="18" width="9.83203125" style="83" customWidth="1"/>
    <col min="19" max="21" width="7.83203125" style="83" customWidth="1"/>
    <col min="22" max="22" width="59.1640625" style="83" customWidth="1"/>
    <col min="23" max="23" width="47.83203125" style="83" customWidth="1"/>
    <col min="24" max="137" width="9.1640625" style="469" customWidth="1"/>
    <col min="138" max="138" width="12.5" style="469" customWidth="1"/>
    <col min="139" max="139" width="8.1640625" style="469" customWidth="1"/>
    <col min="140" max="143" width="7.1640625" style="469" customWidth="1"/>
    <col min="144" max="144" width="8.1640625" style="469" customWidth="1"/>
    <col min="145" max="148" width="7.1640625" style="469" customWidth="1"/>
    <col min="149" max="158" width="9.1640625" style="469" customWidth="1"/>
    <col min="159" max="159" width="8.1640625" style="469" customWidth="1"/>
    <col min="160" max="163" width="7.1640625" style="469" customWidth="1"/>
    <col min="164" max="168" width="9.1640625" style="469" customWidth="1"/>
    <col min="169" max="169" width="8.1640625" style="469" customWidth="1"/>
    <col min="170" max="173" width="7.1640625" style="469" customWidth="1"/>
    <col min="174" max="253" width="9.1640625" style="469" customWidth="1"/>
    <col min="254" max="258" width="11.1640625" style="469" customWidth="1"/>
    <col min="259" max="273" width="9.1640625" style="469" customWidth="1"/>
    <col min="274" max="274" width="10.1640625" style="469" customWidth="1"/>
    <col min="275" max="278" width="10" style="469" customWidth="1"/>
    <col min="279" max="282" width="9.1640625" style="469" customWidth="1"/>
    <col min="283" max="283" width="9.1640625" style="2299" customWidth="1"/>
    <col min="284" max="287" width="9.1640625" style="469" customWidth="1"/>
    <col min="288" max="288" width="9.1640625" style="2299" customWidth="1"/>
    <col min="289" max="292" width="11.5" style="469" customWidth="1"/>
    <col min="293" max="293" width="11.5" style="2299" customWidth="1"/>
    <col min="294" max="297" width="11.5" style="469" customWidth="1"/>
    <col min="298" max="298" width="11.5" style="2299" customWidth="1"/>
    <col min="299" max="313" width="9.1640625" style="2299" customWidth="1"/>
    <col min="314" max="318" width="11" style="2299" customWidth="1"/>
    <col min="319" max="319" width="9.1640625" style="2299" customWidth="1"/>
    <col min="320" max="325" width="9.1640625" style="469" customWidth="1"/>
    <col min="326" max="326" width="9.1640625" style="473" customWidth="1"/>
    <col min="327" max="341" width="9.1640625" style="469" customWidth="1"/>
    <col min="342" max="343" width="9.1640625" style="473" customWidth="1"/>
    <col min="344" max="350" width="10.1640625" style="469" customWidth="1"/>
    <col min="351" max="353" width="9.1640625" style="469"/>
    <col min="354" max="354" width="10.5" style="469" customWidth="1"/>
    <col min="355" max="358" width="10.1640625" style="469" customWidth="1"/>
    <col min="359" max="378" width="9.1640625" style="148"/>
    <col min="379" max="379" width="9.1640625" style="469"/>
    <col min="380" max="380" width="9.1640625" style="2259"/>
    <col min="381" max="381" width="9.1640625" style="469"/>
    <col min="382" max="493" width="9.1640625" style="148"/>
    <col min="494" max="16384" width="9.1640625" style="83"/>
  </cols>
  <sheetData>
    <row r="1" spans="1:493" s="2259" customFormat="1" hidden="1">
      <c r="B1" s="2259" t="s">
        <v>6398</v>
      </c>
      <c r="C1" s="2259" t="s">
        <v>164</v>
      </c>
      <c r="D1" s="2259" t="s">
        <v>166</v>
      </c>
      <c r="E1" s="2259" t="s">
        <v>6399</v>
      </c>
      <c r="F1" s="2259" t="s">
        <v>6400</v>
      </c>
      <c r="G1" s="2259" t="s">
        <v>6401</v>
      </c>
      <c r="H1" s="2259" t="s">
        <v>6402</v>
      </c>
      <c r="I1" s="2259" t="s">
        <v>6403</v>
      </c>
      <c r="J1" s="2259" t="s">
        <v>6404</v>
      </c>
      <c r="K1" s="2259" t="s">
        <v>3138</v>
      </c>
      <c r="L1" s="2259" t="s">
        <v>6405</v>
      </c>
      <c r="M1" s="2259" t="s">
        <v>6406</v>
      </c>
      <c r="N1" s="2259" t="s">
        <v>6407</v>
      </c>
      <c r="O1" s="2259" t="s">
        <v>6408</v>
      </c>
      <c r="P1" s="2259" t="s">
        <v>363</v>
      </c>
      <c r="Q1" s="2259" t="s">
        <v>6409</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 customHeight="1">
      <c r="A2" s="3862" t="str">
        <f>CONCATENATE("PART FOUR - PROJECTED REVENUES &amp; EXPENSES","  -  ",'Part I-Project Identification'!$O$7," ",'Part I-Project Identification'!$F$29,", ",'Part I-Project Identification'!F30,", ",'Part I-Project Identification'!J30," County")</f>
        <v>PART FOUR - PROJECTED REVENUES &amp; EXPENSES  -  2022-0 Cave Spring Townhomes, Cave Spring, Floyd County</v>
      </c>
      <c r="B2" s="3863"/>
      <c r="C2" s="3863"/>
      <c r="D2" s="3863"/>
      <c r="E2" s="3863"/>
      <c r="F2" s="3863"/>
      <c r="G2" s="3863"/>
      <c r="H2" s="3863"/>
      <c r="I2" s="3863"/>
      <c r="J2" s="3863"/>
      <c r="K2" s="3863"/>
      <c r="L2" s="3863"/>
      <c r="M2" s="3863"/>
      <c r="N2" s="3863"/>
      <c r="O2" s="3863"/>
      <c r="P2" s="3863"/>
      <c r="Q2" s="3864"/>
      <c r="T2" s="1820" t="str">
        <f>A2</f>
        <v>PART FOUR - PROJECTED REVENUES &amp; EXPENSES  -  2022-0 Cave Spring Townhomes, Cave Spring, Floyd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5" customHeight="1">
      <c r="A4" s="4" t="s">
        <v>573</v>
      </c>
      <c r="B4" s="4" t="s">
        <v>2184</v>
      </c>
      <c r="C4" s="1"/>
      <c r="D4" s="1929" t="s">
        <v>6095</v>
      </c>
      <c r="E4" s="1929"/>
      <c r="F4" s="1929"/>
      <c r="G4" s="1929"/>
      <c r="H4" s="1929"/>
      <c r="I4" s="1929"/>
      <c r="J4" s="1929"/>
      <c r="K4" s="122"/>
      <c r="L4" s="122"/>
      <c r="M4" s="122"/>
      <c r="O4" s="192" t="s">
        <v>534</v>
      </c>
      <c r="P4" s="3870" t="str">
        <f>'Part I-Project Identification'!$O$32</f>
        <v>Rome</v>
      </c>
      <c r="Q4" s="3870"/>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1" t="s">
        <v>3047</v>
      </c>
      <c r="MG4" s="3941" t="s">
        <v>3048</v>
      </c>
      <c r="MH4" s="3941" t="s">
        <v>3049</v>
      </c>
      <c r="MI4" s="3941" t="s">
        <v>3050</v>
      </c>
      <c r="MJ4" s="394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2" t="s">
        <v>3206</v>
      </c>
      <c r="R5" s="1053"/>
      <c r="S5" s="443"/>
      <c r="T5" s="443"/>
      <c r="U5" s="443"/>
      <c r="W5" s="444"/>
      <c r="X5" s="3941" t="s">
        <v>3682</v>
      </c>
      <c r="Y5" s="3941" t="s">
        <v>3683</v>
      </c>
      <c r="Z5" s="3941" t="s">
        <v>3684</v>
      </c>
      <c r="AA5" s="3941" t="s">
        <v>3685</v>
      </c>
      <c r="AB5" s="3941" t="s">
        <v>3686</v>
      </c>
      <c r="AC5" s="3941" t="s">
        <v>3687</v>
      </c>
      <c r="AD5" s="3941" t="s">
        <v>3688</v>
      </c>
      <c r="AE5" s="3941" t="s">
        <v>3689</v>
      </c>
      <c r="AF5" s="3941" t="s">
        <v>3690</v>
      </c>
      <c r="AG5" s="3941" t="s">
        <v>3691</v>
      </c>
      <c r="AH5" s="3941" t="s">
        <v>861</v>
      </c>
      <c r="AI5" s="3941" t="s">
        <v>705</v>
      </c>
      <c r="AJ5" s="3941" t="s">
        <v>706</v>
      </c>
      <c r="AK5" s="3941" t="s">
        <v>707</v>
      </c>
      <c r="AL5" s="3941" t="s">
        <v>708</v>
      </c>
      <c r="AM5" s="3941" t="s">
        <v>862</v>
      </c>
      <c r="AN5" s="3941" t="s">
        <v>2132</v>
      </c>
      <c r="AO5" s="3941" t="s">
        <v>2133</v>
      </c>
      <c r="AP5" s="3941" t="s">
        <v>2134</v>
      </c>
      <c r="AQ5" s="3941" t="s">
        <v>2135</v>
      </c>
      <c r="AR5" s="3941" t="s">
        <v>3693</v>
      </c>
      <c r="AS5" s="3941" t="s">
        <v>3694</v>
      </c>
      <c r="AT5" s="3941" t="s">
        <v>3695</v>
      </c>
      <c r="AU5" s="3941" t="s">
        <v>3696</v>
      </c>
      <c r="AV5" s="3941" t="s">
        <v>3692</v>
      </c>
      <c r="AW5" s="3941" t="s">
        <v>863</v>
      </c>
      <c r="AX5" s="3941" t="s">
        <v>2136</v>
      </c>
      <c r="AY5" s="3941" t="s">
        <v>2137</v>
      </c>
      <c r="AZ5" s="3941" t="s">
        <v>2138</v>
      </c>
      <c r="BA5" s="3941" t="s">
        <v>2139</v>
      </c>
      <c r="BB5" s="3941" t="s">
        <v>3697</v>
      </c>
      <c r="BC5" s="3941" t="s">
        <v>3698</v>
      </c>
      <c r="BD5" s="3941" t="s">
        <v>3699</v>
      </c>
      <c r="BE5" s="3941" t="s">
        <v>3700</v>
      </c>
      <c r="BF5" s="3941" t="s">
        <v>3701</v>
      </c>
      <c r="BG5" s="3941" t="s">
        <v>123</v>
      </c>
      <c r="BH5" s="3941" t="s">
        <v>2140</v>
      </c>
      <c r="BI5" s="3941" t="s">
        <v>2141</v>
      </c>
      <c r="BJ5" s="3941" t="s">
        <v>2142</v>
      </c>
      <c r="BK5" s="3941" t="s">
        <v>1081</v>
      </c>
      <c r="BL5" s="3941" t="s">
        <v>3702</v>
      </c>
      <c r="BM5" s="3941" t="s">
        <v>3703</v>
      </c>
      <c r="BN5" s="3941" t="s">
        <v>3704</v>
      </c>
      <c r="BO5" s="3941" t="s">
        <v>3705</v>
      </c>
      <c r="BP5" s="3941" t="s">
        <v>3706</v>
      </c>
      <c r="BQ5" s="3941" t="s">
        <v>517</v>
      </c>
      <c r="BR5" s="3941" t="s">
        <v>518</v>
      </c>
      <c r="BS5" s="3941" t="s">
        <v>535</v>
      </c>
      <c r="BT5" s="3941" t="s">
        <v>536</v>
      </c>
      <c r="BU5" s="3941" t="s">
        <v>537</v>
      </c>
      <c r="BV5" s="3941" t="s">
        <v>3707</v>
      </c>
      <c r="BW5" s="3941" t="s">
        <v>3708</v>
      </c>
      <c r="BX5" s="3941" t="s">
        <v>3709</v>
      </c>
      <c r="BY5" s="3941" t="s">
        <v>3710</v>
      </c>
      <c r="BZ5" s="3941" t="s">
        <v>3711</v>
      </c>
      <c r="CA5" s="3941" t="s">
        <v>538</v>
      </c>
      <c r="CB5" s="3941" t="s">
        <v>539</v>
      </c>
      <c r="CC5" s="3941" t="s">
        <v>540</v>
      </c>
      <c r="CD5" s="3941" t="s">
        <v>541</v>
      </c>
      <c r="CE5" s="3941" t="s">
        <v>542</v>
      </c>
      <c r="CF5" s="3941" t="s">
        <v>543</v>
      </c>
      <c r="CG5" s="3941" t="s">
        <v>544</v>
      </c>
      <c r="CH5" s="3941" t="s">
        <v>872</v>
      </c>
      <c r="CI5" s="3941" t="s">
        <v>873</v>
      </c>
      <c r="CJ5" s="3941" t="s">
        <v>874</v>
      </c>
      <c r="CK5" s="3941" t="s">
        <v>3717</v>
      </c>
      <c r="CL5" s="3941" t="s">
        <v>3718</v>
      </c>
      <c r="CM5" s="3941" t="s">
        <v>3719</v>
      </c>
      <c r="CN5" s="3941" t="s">
        <v>3720</v>
      </c>
      <c r="CO5" s="3941" t="s">
        <v>3721</v>
      </c>
      <c r="CP5" s="3941" t="s">
        <v>3712</v>
      </c>
      <c r="CQ5" s="3941" t="s">
        <v>3713</v>
      </c>
      <c r="CR5" s="3941" t="s">
        <v>3714</v>
      </c>
      <c r="CS5" s="3941" t="s">
        <v>3715</v>
      </c>
      <c r="CT5" s="3941" t="s">
        <v>3716</v>
      </c>
      <c r="CU5" s="3941" t="s">
        <v>3722</v>
      </c>
      <c r="CV5" s="3941" t="s">
        <v>3723</v>
      </c>
      <c r="CW5" s="3941" t="s">
        <v>3724</v>
      </c>
      <c r="CX5" s="3941" t="s">
        <v>3725</v>
      </c>
      <c r="CY5" s="3941" t="s">
        <v>3726</v>
      </c>
      <c r="CZ5" s="3941" t="s">
        <v>466</v>
      </c>
      <c r="DA5" s="3941" t="s">
        <v>467</v>
      </c>
      <c r="DB5" s="3941" t="s">
        <v>468</v>
      </c>
      <c r="DC5" s="3941" t="s">
        <v>469</v>
      </c>
      <c r="DD5" s="3941" t="s">
        <v>470</v>
      </c>
      <c r="DE5" s="3941" t="s">
        <v>3727</v>
      </c>
      <c r="DF5" s="3941" t="s">
        <v>3728</v>
      </c>
      <c r="DG5" s="3941" t="s">
        <v>3729</v>
      </c>
      <c r="DH5" s="3941" t="s">
        <v>3730</v>
      </c>
      <c r="DI5" s="3941" t="s">
        <v>3731</v>
      </c>
      <c r="DJ5" s="3941" t="s">
        <v>822</v>
      </c>
      <c r="DK5" s="3941" t="s">
        <v>823</v>
      </c>
      <c r="DL5" s="3941" t="s">
        <v>824</v>
      </c>
      <c r="DM5" s="3941" t="s">
        <v>825</v>
      </c>
      <c r="DN5" s="3941" t="s">
        <v>826</v>
      </c>
      <c r="DO5" s="3941" t="s">
        <v>827</v>
      </c>
      <c r="DP5" s="3941" t="s">
        <v>828</v>
      </c>
      <c r="DQ5" s="3941" t="s">
        <v>829</v>
      </c>
      <c r="DR5" s="3941" t="s">
        <v>830</v>
      </c>
      <c r="DS5" s="3941" t="s">
        <v>831</v>
      </c>
      <c r="DT5" s="3941" t="s">
        <v>3732</v>
      </c>
      <c r="DU5" s="3941" t="s">
        <v>3733</v>
      </c>
      <c r="DV5" s="3941" t="s">
        <v>3734</v>
      </c>
      <c r="DW5" s="3941" t="s">
        <v>3735</v>
      </c>
      <c r="DX5" s="3941" t="s">
        <v>3736</v>
      </c>
      <c r="DY5" s="3941" t="s">
        <v>3737</v>
      </c>
      <c r="DZ5" s="3941" t="s">
        <v>3738</v>
      </c>
      <c r="EA5" s="3941" t="s">
        <v>3739</v>
      </c>
      <c r="EB5" s="3941" t="s">
        <v>3740</v>
      </c>
      <c r="EC5" s="3941" t="s">
        <v>3741</v>
      </c>
      <c r="ED5" s="3941" t="s">
        <v>2236</v>
      </c>
      <c r="EE5" s="3941" t="s">
        <v>2237</v>
      </c>
      <c r="EF5" s="3941" t="s">
        <v>2238</v>
      </c>
      <c r="EG5" s="3941" t="s">
        <v>2239</v>
      </c>
      <c r="EH5" s="3941" t="s">
        <v>2240</v>
      </c>
      <c r="EI5" s="3941" t="s">
        <v>3742</v>
      </c>
      <c r="EJ5" s="3941" t="s">
        <v>3743</v>
      </c>
      <c r="EK5" s="3941" t="s">
        <v>3744</v>
      </c>
      <c r="EL5" s="3941" t="s">
        <v>3745</v>
      </c>
      <c r="EM5" s="3941" t="s">
        <v>3746</v>
      </c>
      <c r="EN5" s="3941" t="s">
        <v>3747</v>
      </c>
      <c r="EO5" s="3941" t="s">
        <v>3748</v>
      </c>
      <c r="EP5" s="3941" t="s">
        <v>3749</v>
      </c>
      <c r="EQ5" s="3941" t="s">
        <v>3750</v>
      </c>
      <c r="ER5" s="3941" t="s">
        <v>3751</v>
      </c>
      <c r="ES5" s="3941" t="s">
        <v>111</v>
      </c>
      <c r="ET5" s="3941" t="s">
        <v>1084</v>
      </c>
      <c r="EU5" s="3941" t="s">
        <v>1085</v>
      </c>
      <c r="EV5" s="3941" t="s">
        <v>1140</v>
      </c>
      <c r="EW5" s="3941" t="s">
        <v>1141</v>
      </c>
      <c r="EX5" s="3941" t="s">
        <v>126</v>
      </c>
      <c r="EY5" s="3941" t="s">
        <v>1142</v>
      </c>
      <c r="EZ5" s="3941" t="s">
        <v>1143</v>
      </c>
      <c r="FA5" s="3941" t="s">
        <v>1144</v>
      </c>
      <c r="FB5" s="3941" t="s">
        <v>1145</v>
      </c>
      <c r="FC5" s="3941" t="s">
        <v>3752</v>
      </c>
      <c r="FD5" s="3941" t="s">
        <v>3753</v>
      </c>
      <c r="FE5" s="3941" t="s">
        <v>3754</v>
      </c>
      <c r="FF5" s="3941" t="s">
        <v>3755</v>
      </c>
      <c r="FG5" s="3941" t="s">
        <v>3756</v>
      </c>
      <c r="FH5" s="3941" t="s">
        <v>125</v>
      </c>
      <c r="FI5" s="3941" t="s">
        <v>853</v>
      </c>
      <c r="FJ5" s="3941" t="s">
        <v>854</v>
      </c>
      <c r="FK5" s="3941" t="s">
        <v>855</v>
      </c>
      <c r="FL5" s="3941" t="s">
        <v>856</v>
      </c>
      <c r="FM5" s="3941" t="s">
        <v>3757</v>
      </c>
      <c r="FN5" s="3941" t="s">
        <v>3758</v>
      </c>
      <c r="FO5" s="3941" t="s">
        <v>3759</v>
      </c>
      <c r="FP5" s="3941" t="s">
        <v>3760</v>
      </c>
      <c r="FQ5" s="3941" t="s">
        <v>3761</v>
      </c>
      <c r="FR5" s="3941" t="s">
        <v>124</v>
      </c>
      <c r="FS5" s="3941" t="s">
        <v>857</v>
      </c>
      <c r="FT5" s="3941" t="s">
        <v>858</v>
      </c>
      <c r="FU5" s="3941" t="s">
        <v>859</v>
      </c>
      <c r="FV5" s="3941" t="s">
        <v>860</v>
      </c>
      <c r="FW5" s="3941" t="s">
        <v>752</v>
      </c>
      <c r="FX5" s="3941" t="s">
        <v>753</v>
      </c>
      <c r="FY5" s="3941" t="s">
        <v>754</v>
      </c>
      <c r="FZ5" s="3941" t="s">
        <v>755</v>
      </c>
      <c r="GA5" s="3941" t="s">
        <v>756</v>
      </c>
      <c r="GB5" s="3941" t="s">
        <v>897</v>
      </c>
      <c r="GC5" s="3941" t="s">
        <v>898</v>
      </c>
      <c r="GD5" s="3941" t="s">
        <v>899</v>
      </c>
      <c r="GE5" s="3941" t="s">
        <v>900</v>
      </c>
      <c r="GF5" s="3941" t="s">
        <v>2235</v>
      </c>
      <c r="GG5" s="3941" t="s">
        <v>1345</v>
      </c>
      <c r="GH5" s="3941" t="s">
        <v>1346</v>
      </c>
      <c r="GI5" s="3941" t="s">
        <v>1347</v>
      </c>
      <c r="GJ5" s="3941" t="s">
        <v>1348</v>
      </c>
      <c r="GK5" s="3941" t="s">
        <v>1349</v>
      </c>
      <c r="GL5" s="3941" t="s">
        <v>411</v>
      </c>
      <c r="GM5" s="3941" t="s">
        <v>412</v>
      </c>
      <c r="GN5" s="3941" t="s">
        <v>413</v>
      </c>
      <c r="GO5" s="3941" t="s">
        <v>414</v>
      </c>
      <c r="GP5" s="3941" t="s">
        <v>415</v>
      </c>
      <c r="GQ5" s="3941" t="s">
        <v>14</v>
      </c>
      <c r="GR5" s="3941" t="s">
        <v>15</v>
      </c>
      <c r="GS5" s="3941" t="s">
        <v>16</v>
      </c>
      <c r="GT5" s="3941" t="s">
        <v>17</v>
      </c>
      <c r="GU5" s="3941" t="s">
        <v>18</v>
      </c>
      <c r="GV5" s="3941" t="s">
        <v>214</v>
      </c>
      <c r="GW5" s="3941" t="s">
        <v>215</v>
      </c>
      <c r="GX5" s="3941" t="s">
        <v>216</v>
      </c>
      <c r="GY5" s="3941" t="s">
        <v>1681</v>
      </c>
      <c r="GZ5" s="3941" t="s">
        <v>1682</v>
      </c>
      <c r="HA5" s="3941" t="s">
        <v>1683</v>
      </c>
      <c r="HB5" s="3941" t="s">
        <v>550</v>
      </c>
      <c r="HC5" s="3941" t="s">
        <v>551</v>
      </c>
      <c r="HD5" s="3941" t="s">
        <v>552</v>
      </c>
      <c r="HE5" s="3941" t="s">
        <v>553</v>
      </c>
      <c r="HF5" s="3941" t="s">
        <v>19</v>
      </c>
      <c r="HG5" s="3941" t="s">
        <v>20</v>
      </c>
      <c r="HH5" s="3941" t="s">
        <v>21</v>
      </c>
      <c r="HI5" s="3941" t="s">
        <v>22</v>
      </c>
      <c r="HJ5" s="3941" t="s">
        <v>23</v>
      </c>
      <c r="HK5" s="3941" t="s">
        <v>465</v>
      </c>
      <c r="HL5" s="3941" t="s">
        <v>407</v>
      </c>
      <c r="HM5" s="3941" t="s">
        <v>408</v>
      </c>
      <c r="HN5" s="3941" t="s">
        <v>409</v>
      </c>
      <c r="HO5" s="3941" t="s">
        <v>410</v>
      </c>
      <c r="HP5" s="3941" t="s">
        <v>2043</v>
      </c>
      <c r="HQ5" s="3941" t="s">
        <v>2044</v>
      </c>
      <c r="HR5" s="3941" t="s">
        <v>2045</v>
      </c>
      <c r="HS5" s="3941" t="s">
        <v>1386</v>
      </c>
      <c r="HT5" s="3941" t="s">
        <v>1387</v>
      </c>
      <c r="HU5" s="3941" t="s">
        <v>24</v>
      </c>
      <c r="HV5" s="3941" t="s">
        <v>25</v>
      </c>
      <c r="HW5" s="3941" t="s">
        <v>26</v>
      </c>
      <c r="HX5" s="3941" t="s">
        <v>27</v>
      </c>
      <c r="HY5" s="394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1" t="s">
        <v>1519</v>
      </c>
      <c r="LH5" s="3941" t="s">
        <v>2322</v>
      </c>
      <c r="LI5" s="3941" t="s">
        <v>2323</v>
      </c>
      <c r="LJ5" s="3941" t="s">
        <v>364</v>
      </c>
      <c r="LK5" s="3941" t="s">
        <v>365</v>
      </c>
      <c r="LL5" s="3941" t="s">
        <v>366</v>
      </c>
      <c r="LM5" s="3941" t="s">
        <v>367</v>
      </c>
      <c r="LN5" s="3941" t="s">
        <v>368</v>
      </c>
      <c r="LO5" s="3941" t="s">
        <v>369</v>
      </c>
      <c r="LP5" s="3941" t="s">
        <v>370</v>
      </c>
      <c r="LQ5" s="3941" t="s">
        <v>195</v>
      </c>
      <c r="LR5" s="3941" t="s">
        <v>196</v>
      </c>
      <c r="LS5" s="3941" t="s">
        <v>197</v>
      </c>
      <c r="LT5" s="3941" t="s">
        <v>198</v>
      </c>
      <c r="LU5" s="3941" t="s">
        <v>199</v>
      </c>
      <c r="LV5" s="3941" t="s">
        <v>200</v>
      </c>
      <c r="LW5" s="3941" t="s">
        <v>201</v>
      </c>
      <c r="LX5" s="3941" t="s">
        <v>202</v>
      </c>
      <c r="LY5" s="3941" t="s">
        <v>203</v>
      </c>
      <c r="LZ5" s="3941" t="s">
        <v>204</v>
      </c>
      <c r="MA5" s="3941" t="s">
        <v>205</v>
      </c>
      <c r="MB5" s="3941" t="s">
        <v>206</v>
      </c>
      <c r="MC5" s="3941" t="s">
        <v>207</v>
      </c>
      <c r="MD5" s="3941" t="s">
        <v>208</v>
      </c>
      <c r="ME5" s="3941" t="s">
        <v>209</v>
      </c>
      <c r="MF5" s="3941"/>
      <c r="MG5" s="3941"/>
      <c r="MH5" s="3941"/>
      <c r="MI5" s="3941"/>
      <c r="MJ5" s="394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5" customHeight="1" thickBot="1">
      <c r="A6" s="3962" t="str">
        <f>IF(A49&gt;0,"Finish Row!","")</f>
        <v/>
      </c>
      <c r="B6" s="177" t="s">
        <v>6096</v>
      </c>
      <c r="D6" s="1929"/>
      <c r="E6" s="1929"/>
      <c r="F6" s="1929"/>
      <c r="G6" s="1530" t="s">
        <v>194</v>
      </c>
      <c r="H6" s="3865" t="s">
        <v>6098</v>
      </c>
      <c r="I6" s="3866"/>
      <c r="J6" s="3866"/>
      <c r="K6" s="1054" t="s">
        <v>3138</v>
      </c>
      <c r="L6" s="3979" t="str">
        <f>'Part I-Project Identification'!$A$6</f>
        <v>May 12 2022 Core Application</v>
      </c>
      <c r="M6" s="3979"/>
      <c r="N6" s="3979"/>
      <c r="O6" s="2257" t="s">
        <v>6078</v>
      </c>
      <c r="P6" s="1915">
        <v>70700</v>
      </c>
      <c r="Q6" s="3942"/>
      <c r="R6" s="1053"/>
      <c r="S6" s="94"/>
      <c r="U6" s="94"/>
      <c r="X6" s="3941"/>
      <c r="Y6" s="3941"/>
      <c r="Z6" s="3941"/>
      <c r="AA6" s="3941"/>
      <c r="AB6" s="3941"/>
      <c r="AC6" s="3941"/>
      <c r="AD6" s="3941"/>
      <c r="AE6" s="3941"/>
      <c r="AF6" s="3941"/>
      <c r="AG6" s="3941"/>
      <c r="AH6" s="3941"/>
      <c r="AI6" s="3941"/>
      <c r="AJ6" s="3941"/>
      <c r="AK6" s="3941"/>
      <c r="AL6" s="3941"/>
      <c r="AM6" s="3941"/>
      <c r="AN6" s="3941"/>
      <c r="AO6" s="3941"/>
      <c r="AP6" s="3941"/>
      <c r="AQ6" s="3941"/>
      <c r="AR6" s="3941"/>
      <c r="AS6" s="3941"/>
      <c r="AT6" s="3941"/>
      <c r="AU6" s="3941"/>
      <c r="AV6" s="3941"/>
      <c r="AW6" s="3941"/>
      <c r="AX6" s="3941"/>
      <c r="AY6" s="3941"/>
      <c r="AZ6" s="3941"/>
      <c r="BA6" s="3941"/>
      <c r="BB6" s="3941"/>
      <c r="BC6" s="3941"/>
      <c r="BD6" s="3941"/>
      <c r="BE6" s="3941"/>
      <c r="BF6" s="3941"/>
      <c r="BG6" s="3941"/>
      <c r="BH6" s="3941"/>
      <c r="BI6" s="3941"/>
      <c r="BJ6" s="3941"/>
      <c r="BK6" s="3941"/>
      <c r="BL6" s="3941"/>
      <c r="BM6" s="3941"/>
      <c r="BN6" s="3941"/>
      <c r="BO6" s="3941"/>
      <c r="BP6" s="3941"/>
      <c r="BQ6" s="3941"/>
      <c r="BR6" s="3941"/>
      <c r="BS6" s="3941"/>
      <c r="BT6" s="3941"/>
      <c r="BU6" s="3941"/>
      <c r="BV6" s="3941"/>
      <c r="BW6" s="3941"/>
      <c r="BX6" s="3941"/>
      <c r="BY6" s="3941"/>
      <c r="BZ6" s="3941"/>
      <c r="CA6" s="3941"/>
      <c r="CB6" s="3941"/>
      <c r="CC6" s="3941"/>
      <c r="CD6" s="3941"/>
      <c r="CE6" s="3941"/>
      <c r="CF6" s="3941"/>
      <c r="CG6" s="3941"/>
      <c r="CH6" s="3941"/>
      <c r="CI6" s="3941"/>
      <c r="CJ6" s="3941"/>
      <c r="CK6" s="3941"/>
      <c r="CL6" s="3941"/>
      <c r="CM6" s="3941"/>
      <c r="CN6" s="3941"/>
      <c r="CO6" s="3941"/>
      <c r="CP6" s="3941"/>
      <c r="CQ6" s="3941"/>
      <c r="CR6" s="3941"/>
      <c r="CS6" s="3941"/>
      <c r="CT6" s="3941"/>
      <c r="CU6" s="3941"/>
      <c r="CV6" s="3941"/>
      <c r="CW6" s="3941"/>
      <c r="CX6" s="3941"/>
      <c r="CY6" s="3941"/>
      <c r="CZ6" s="3941"/>
      <c r="DA6" s="3941"/>
      <c r="DB6" s="3941"/>
      <c r="DC6" s="3941"/>
      <c r="DD6" s="3941"/>
      <c r="DE6" s="3941"/>
      <c r="DF6" s="3941"/>
      <c r="DG6" s="3941"/>
      <c r="DH6" s="3941"/>
      <c r="DI6" s="3941"/>
      <c r="DJ6" s="3941"/>
      <c r="DK6" s="3941"/>
      <c r="DL6" s="3941"/>
      <c r="DM6" s="3941"/>
      <c r="DN6" s="3941"/>
      <c r="DO6" s="3941"/>
      <c r="DP6" s="3941"/>
      <c r="DQ6" s="3941"/>
      <c r="DR6" s="3941"/>
      <c r="DS6" s="3941"/>
      <c r="DT6" s="3941"/>
      <c r="DU6" s="3941"/>
      <c r="DV6" s="3941"/>
      <c r="DW6" s="3941"/>
      <c r="DX6" s="3941"/>
      <c r="DY6" s="3941"/>
      <c r="DZ6" s="3941"/>
      <c r="EA6" s="3941"/>
      <c r="EB6" s="3941"/>
      <c r="EC6" s="3941"/>
      <c r="ED6" s="3941"/>
      <c r="EE6" s="3941"/>
      <c r="EF6" s="3941"/>
      <c r="EG6" s="3941"/>
      <c r="EH6" s="3941"/>
      <c r="EI6" s="3941"/>
      <c r="EJ6" s="3941"/>
      <c r="EK6" s="3941"/>
      <c r="EL6" s="3941"/>
      <c r="EM6" s="3941"/>
      <c r="EN6" s="3941"/>
      <c r="EO6" s="3941"/>
      <c r="EP6" s="3941"/>
      <c r="EQ6" s="3941"/>
      <c r="ER6" s="3941"/>
      <c r="ES6" s="3941"/>
      <c r="ET6" s="3941"/>
      <c r="EU6" s="3941"/>
      <c r="EV6" s="3941"/>
      <c r="EW6" s="3941"/>
      <c r="EX6" s="3941"/>
      <c r="EY6" s="3941"/>
      <c r="EZ6" s="3941"/>
      <c r="FA6" s="3941"/>
      <c r="FB6" s="3941"/>
      <c r="FC6" s="3941"/>
      <c r="FD6" s="3941"/>
      <c r="FE6" s="3941"/>
      <c r="FF6" s="3941"/>
      <c r="FG6" s="3941"/>
      <c r="FH6" s="3941"/>
      <c r="FI6" s="3941"/>
      <c r="FJ6" s="3941"/>
      <c r="FK6" s="3941"/>
      <c r="FL6" s="3941"/>
      <c r="FM6" s="3941"/>
      <c r="FN6" s="3941"/>
      <c r="FO6" s="3941"/>
      <c r="FP6" s="3941"/>
      <c r="FQ6" s="3941"/>
      <c r="FR6" s="3941"/>
      <c r="FS6" s="3941"/>
      <c r="FT6" s="3941"/>
      <c r="FU6" s="3941"/>
      <c r="FV6" s="3941"/>
      <c r="FW6" s="3941"/>
      <c r="FX6" s="3941"/>
      <c r="FY6" s="3941"/>
      <c r="FZ6" s="3941"/>
      <c r="GA6" s="3941"/>
      <c r="GB6" s="3941"/>
      <c r="GC6" s="3941"/>
      <c r="GD6" s="3941"/>
      <c r="GE6" s="3941"/>
      <c r="GF6" s="3941"/>
      <c r="GG6" s="3941"/>
      <c r="GH6" s="3941"/>
      <c r="GI6" s="3941"/>
      <c r="GJ6" s="3941"/>
      <c r="GK6" s="3941"/>
      <c r="GL6" s="3941"/>
      <c r="GM6" s="3941"/>
      <c r="GN6" s="3941"/>
      <c r="GO6" s="3941"/>
      <c r="GP6" s="3941"/>
      <c r="GQ6" s="3941"/>
      <c r="GR6" s="3941"/>
      <c r="GS6" s="3941"/>
      <c r="GT6" s="3941"/>
      <c r="GU6" s="3941"/>
      <c r="GV6" s="3941"/>
      <c r="GW6" s="3941"/>
      <c r="GX6" s="3941"/>
      <c r="GY6" s="3941"/>
      <c r="GZ6" s="3941"/>
      <c r="HA6" s="3941"/>
      <c r="HB6" s="3941"/>
      <c r="HC6" s="3941"/>
      <c r="HD6" s="3941"/>
      <c r="HE6" s="3941"/>
      <c r="HF6" s="3941"/>
      <c r="HG6" s="3941"/>
      <c r="HH6" s="3941"/>
      <c r="HI6" s="3941"/>
      <c r="HJ6" s="3941"/>
      <c r="HK6" s="3941"/>
      <c r="HL6" s="3941"/>
      <c r="HM6" s="3941"/>
      <c r="HN6" s="3941"/>
      <c r="HO6" s="3941"/>
      <c r="HP6" s="3941"/>
      <c r="HQ6" s="3941"/>
      <c r="HR6" s="3941"/>
      <c r="HS6" s="3941"/>
      <c r="HT6" s="3941"/>
      <c r="HU6" s="3941"/>
      <c r="HV6" s="3941"/>
      <c r="HW6" s="3941"/>
      <c r="HX6" s="3941"/>
      <c r="HY6" s="394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1"/>
      <c r="LH6" s="3941"/>
      <c r="LI6" s="3941"/>
      <c r="LJ6" s="3941"/>
      <c r="LK6" s="3941"/>
      <c r="LL6" s="3941"/>
      <c r="LM6" s="3941"/>
      <c r="LN6" s="3941"/>
      <c r="LO6" s="3941"/>
      <c r="LP6" s="3941"/>
      <c r="LQ6" s="3941"/>
      <c r="LR6" s="3941"/>
      <c r="LS6" s="3941"/>
      <c r="LT6" s="3941"/>
      <c r="LU6" s="3941"/>
      <c r="LV6" s="3941"/>
      <c r="LW6" s="3941"/>
      <c r="LX6" s="3941"/>
      <c r="LY6" s="3941"/>
      <c r="LZ6" s="3941"/>
      <c r="MA6" s="3941"/>
      <c r="MB6" s="3941"/>
      <c r="MC6" s="3941"/>
      <c r="MD6" s="3941"/>
      <c r="ME6" s="3941"/>
      <c r="MF6" s="3941"/>
      <c r="MG6" s="3941"/>
      <c r="MH6" s="3941"/>
      <c r="MI6" s="3941"/>
      <c r="MJ6" s="3941"/>
      <c r="MK6" s="3961" t="s">
        <v>3042</v>
      </c>
      <c r="ML6" s="3961" t="s">
        <v>3043</v>
      </c>
      <c r="MM6" s="3961" t="s">
        <v>3044</v>
      </c>
      <c r="MN6" s="3961" t="s">
        <v>3045</v>
      </c>
      <c r="MO6" s="3961" t="s">
        <v>3046</v>
      </c>
      <c r="MP6" s="3941" t="s">
        <v>6285</v>
      </c>
      <c r="MQ6" s="3941" t="s">
        <v>6286</v>
      </c>
      <c r="MR6" s="3941" t="s">
        <v>6287</v>
      </c>
      <c r="MS6" s="3941" t="s">
        <v>6288</v>
      </c>
      <c r="MT6" s="3941" t="s">
        <v>6289</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5" customHeight="1">
      <c r="A7" s="3962"/>
      <c r="B7" s="29" t="s">
        <v>6097</v>
      </c>
      <c r="E7" s="4"/>
      <c r="G7" s="1575" t="s">
        <v>2651</v>
      </c>
      <c r="I7" s="3967" t="s">
        <v>4073</v>
      </c>
      <c r="J7" s="1054" t="s">
        <v>742</v>
      </c>
      <c r="K7" s="1054" t="s">
        <v>3185</v>
      </c>
      <c r="L7" s="3979"/>
      <c r="M7" s="3979"/>
      <c r="N7" s="3979"/>
      <c r="O7" s="2258" t="s">
        <v>6077</v>
      </c>
      <c r="P7" s="1971">
        <v>44562</v>
      </c>
      <c r="Q7" s="3942"/>
      <c r="R7" s="3958" t="s">
        <v>2458</v>
      </c>
      <c r="S7" s="3958"/>
      <c r="X7" s="3941"/>
      <c r="Y7" s="3941"/>
      <c r="Z7" s="3941"/>
      <c r="AA7" s="3941"/>
      <c r="AB7" s="3941"/>
      <c r="AC7" s="3941"/>
      <c r="AD7" s="3941"/>
      <c r="AE7" s="3941"/>
      <c r="AF7" s="3941"/>
      <c r="AG7" s="3941"/>
      <c r="AH7" s="3941"/>
      <c r="AI7" s="3941"/>
      <c r="AJ7" s="3941"/>
      <c r="AK7" s="3941"/>
      <c r="AL7" s="3941"/>
      <c r="AM7" s="3941"/>
      <c r="AN7" s="3941"/>
      <c r="AO7" s="3941"/>
      <c r="AP7" s="3941"/>
      <c r="AQ7" s="3941"/>
      <c r="AR7" s="3941"/>
      <c r="AS7" s="3941"/>
      <c r="AT7" s="3941"/>
      <c r="AU7" s="3941"/>
      <c r="AV7" s="3941"/>
      <c r="AW7" s="3941"/>
      <c r="AX7" s="3941"/>
      <c r="AY7" s="3941"/>
      <c r="AZ7" s="3941"/>
      <c r="BA7" s="3941"/>
      <c r="BB7" s="3941"/>
      <c r="BC7" s="3941"/>
      <c r="BD7" s="3941"/>
      <c r="BE7" s="3941"/>
      <c r="BF7" s="3941"/>
      <c r="BG7" s="3941"/>
      <c r="BH7" s="3941"/>
      <c r="BI7" s="3941"/>
      <c r="BJ7" s="3941"/>
      <c r="BK7" s="3941"/>
      <c r="BL7" s="3941"/>
      <c r="BM7" s="3941"/>
      <c r="BN7" s="3941"/>
      <c r="BO7" s="3941"/>
      <c r="BP7" s="3941"/>
      <c r="BQ7" s="3941"/>
      <c r="BR7" s="3941"/>
      <c r="BS7" s="3941"/>
      <c r="BT7" s="3941"/>
      <c r="BU7" s="3941"/>
      <c r="BV7" s="3941"/>
      <c r="BW7" s="3941"/>
      <c r="BX7" s="3941"/>
      <c r="BY7" s="3941"/>
      <c r="BZ7" s="3941"/>
      <c r="CA7" s="3941"/>
      <c r="CB7" s="3941"/>
      <c r="CC7" s="3941"/>
      <c r="CD7" s="3941"/>
      <c r="CE7" s="3941"/>
      <c r="CF7" s="3941"/>
      <c r="CG7" s="3941"/>
      <c r="CH7" s="3941"/>
      <c r="CI7" s="3941"/>
      <c r="CJ7" s="3941"/>
      <c r="CK7" s="3941"/>
      <c r="CL7" s="3941"/>
      <c r="CM7" s="3941"/>
      <c r="CN7" s="3941"/>
      <c r="CO7" s="3941"/>
      <c r="CP7" s="3941"/>
      <c r="CQ7" s="3941"/>
      <c r="CR7" s="3941"/>
      <c r="CS7" s="3941"/>
      <c r="CT7" s="3941"/>
      <c r="CU7" s="3941"/>
      <c r="CV7" s="3941"/>
      <c r="CW7" s="3941"/>
      <c r="CX7" s="3941"/>
      <c r="CY7" s="3941"/>
      <c r="CZ7" s="3941"/>
      <c r="DA7" s="3941"/>
      <c r="DB7" s="3941"/>
      <c r="DC7" s="3941"/>
      <c r="DD7" s="3941"/>
      <c r="DE7" s="3941"/>
      <c r="DF7" s="3941"/>
      <c r="DG7" s="3941"/>
      <c r="DH7" s="3941"/>
      <c r="DI7" s="3941"/>
      <c r="DJ7" s="3941"/>
      <c r="DK7" s="3941"/>
      <c r="DL7" s="3941"/>
      <c r="DM7" s="3941"/>
      <c r="DN7" s="3941"/>
      <c r="DO7" s="3941"/>
      <c r="DP7" s="3941"/>
      <c r="DQ7" s="3941"/>
      <c r="DR7" s="3941"/>
      <c r="DS7" s="3941"/>
      <c r="DT7" s="3941"/>
      <c r="DU7" s="3941"/>
      <c r="DV7" s="3941"/>
      <c r="DW7" s="3941"/>
      <c r="DX7" s="3941"/>
      <c r="DY7" s="3941"/>
      <c r="DZ7" s="3941"/>
      <c r="EA7" s="3941"/>
      <c r="EB7" s="3941"/>
      <c r="EC7" s="3941"/>
      <c r="ED7" s="3941"/>
      <c r="EE7" s="3941"/>
      <c r="EF7" s="3941"/>
      <c r="EG7" s="3941"/>
      <c r="EH7" s="3941"/>
      <c r="EI7" s="3941"/>
      <c r="EJ7" s="3941"/>
      <c r="EK7" s="3941"/>
      <c r="EL7" s="3941"/>
      <c r="EM7" s="3941"/>
      <c r="EN7" s="3941"/>
      <c r="EO7" s="3941"/>
      <c r="EP7" s="3941"/>
      <c r="EQ7" s="3941"/>
      <c r="ER7" s="3941"/>
      <c r="ES7" s="3941"/>
      <c r="ET7" s="3941"/>
      <c r="EU7" s="3941"/>
      <c r="EV7" s="3941"/>
      <c r="EW7" s="3941"/>
      <c r="EX7" s="3941"/>
      <c r="EY7" s="3941"/>
      <c r="EZ7" s="3941"/>
      <c r="FA7" s="3941"/>
      <c r="FB7" s="3941"/>
      <c r="FC7" s="3941"/>
      <c r="FD7" s="3941"/>
      <c r="FE7" s="3941"/>
      <c r="FF7" s="3941"/>
      <c r="FG7" s="3941"/>
      <c r="FH7" s="3941"/>
      <c r="FI7" s="3941"/>
      <c r="FJ7" s="3941"/>
      <c r="FK7" s="3941"/>
      <c r="FL7" s="3941"/>
      <c r="FM7" s="3941"/>
      <c r="FN7" s="3941"/>
      <c r="FO7" s="3941"/>
      <c r="FP7" s="3941"/>
      <c r="FQ7" s="3941"/>
      <c r="FR7" s="3941"/>
      <c r="FS7" s="3941"/>
      <c r="FT7" s="3941"/>
      <c r="FU7" s="3941"/>
      <c r="FV7" s="3941"/>
      <c r="FW7" s="3941"/>
      <c r="FX7" s="3941"/>
      <c r="FY7" s="3941"/>
      <c r="FZ7" s="3941"/>
      <c r="GA7" s="3941"/>
      <c r="GB7" s="3941"/>
      <c r="GC7" s="3941"/>
      <c r="GD7" s="3941"/>
      <c r="GE7" s="3941"/>
      <c r="GF7" s="3941"/>
      <c r="GG7" s="3941"/>
      <c r="GH7" s="3941"/>
      <c r="GI7" s="3941"/>
      <c r="GJ7" s="3941"/>
      <c r="GK7" s="3941"/>
      <c r="GL7" s="3941"/>
      <c r="GM7" s="3941"/>
      <c r="GN7" s="3941"/>
      <c r="GO7" s="3941"/>
      <c r="GP7" s="3941"/>
      <c r="GQ7" s="3941"/>
      <c r="GR7" s="3941"/>
      <c r="GS7" s="3941"/>
      <c r="GT7" s="3941"/>
      <c r="GU7" s="3941"/>
      <c r="GV7" s="3941"/>
      <c r="GW7" s="3941"/>
      <c r="GX7" s="3941"/>
      <c r="GY7" s="3941"/>
      <c r="GZ7" s="3941"/>
      <c r="HA7" s="3941"/>
      <c r="HB7" s="3941"/>
      <c r="HC7" s="3941"/>
      <c r="HD7" s="3941"/>
      <c r="HE7" s="3941"/>
      <c r="HF7" s="3941"/>
      <c r="HG7" s="3941"/>
      <c r="HH7" s="3941"/>
      <c r="HI7" s="3941"/>
      <c r="HJ7" s="3941"/>
      <c r="HK7" s="3941"/>
      <c r="HL7" s="3941"/>
      <c r="HM7" s="3941"/>
      <c r="HN7" s="3941"/>
      <c r="HO7" s="3941"/>
      <c r="HP7" s="3941"/>
      <c r="HQ7" s="3941"/>
      <c r="HR7" s="3941"/>
      <c r="HS7" s="3941"/>
      <c r="HT7" s="3941"/>
      <c r="HU7" s="3941"/>
      <c r="HV7" s="3941"/>
      <c r="HW7" s="3941"/>
      <c r="HX7" s="3941"/>
      <c r="HY7" s="394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1"/>
      <c r="LH7" s="3941"/>
      <c r="LI7" s="3941"/>
      <c r="LJ7" s="3941"/>
      <c r="LK7" s="3941"/>
      <c r="LL7" s="3941"/>
      <c r="LM7" s="3941"/>
      <c r="LN7" s="3941"/>
      <c r="LO7" s="3941"/>
      <c r="LP7" s="3941"/>
      <c r="LQ7" s="3941"/>
      <c r="LR7" s="3941"/>
      <c r="LS7" s="3941"/>
      <c r="LT7" s="3941"/>
      <c r="LU7" s="3941"/>
      <c r="LV7" s="3941"/>
      <c r="LW7" s="3941"/>
      <c r="LX7" s="3941"/>
      <c r="LY7" s="3941"/>
      <c r="LZ7" s="3941"/>
      <c r="MA7" s="3941"/>
      <c r="MB7" s="3941"/>
      <c r="MC7" s="3941"/>
      <c r="MD7" s="3941"/>
      <c r="ME7" s="3941"/>
      <c r="MF7" s="3941"/>
      <c r="MG7" s="3941"/>
      <c r="MH7" s="3941"/>
      <c r="MI7" s="3941"/>
      <c r="MJ7" s="3941"/>
      <c r="MK7" s="3961"/>
      <c r="ML7" s="3961"/>
      <c r="MM7" s="3961"/>
      <c r="MN7" s="3961"/>
      <c r="MO7" s="3961"/>
      <c r="MP7" s="3941"/>
      <c r="MQ7" s="3941"/>
      <c r="MR7" s="3941"/>
      <c r="MS7" s="3941"/>
      <c r="MT7" s="394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5" customHeight="1">
      <c r="A8" s="3962"/>
      <c r="B8" s="1055" t="s">
        <v>3764</v>
      </c>
      <c r="C8" s="1"/>
      <c r="E8" s="1"/>
      <c r="F8" s="1"/>
      <c r="I8" s="3967"/>
      <c r="J8" s="1054" t="s">
        <v>743</v>
      </c>
      <c r="K8" s="1054" t="s">
        <v>3186</v>
      </c>
      <c r="L8" s="850"/>
      <c r="M8" s="850"/>
      <c r="N8" s="2256" t="s">
        <v>6482</v>
      </c>
      <c r="O8" s="3969" t="s">
        <v>6922</v>
      </c>
      <c r="P8" s="3970"/>
      <c r="Q8" s="3942"/>
      <c r="R8" s="851"/>
      <c r="S8" s="855" t="s">
        <v>2455</v>
      </c>
      <c r="T8" s="443"/>
      <c r="W8" s="444"/>
      <c r="X8" s="3941"/>
      <c r="Y8" s="3941"/>
      <c r="Z8" s="3941"/>
      <c r="AA8" s="3941"/>
      <c r="AB8" s="3941"/>
      <c r="AC8" s="3941"/>
      <c r="AD8" s="3941"/>
      <c r="AE8" s="3941"/>
      <c r="AF8" s="3941"/>
      <c r="AG8" s="3941"/>
      <c r="AH8" s="3941"/>
      <c r="AI8" s="3941"/>
      <c r="AJ8" s="3941"/>
      <c r="AK8" s="3941"/>
      <c r="AL8" s="3941"/>
      <c r="AM8" s="3941"/>
      <c r="AN8" s="3941"/>
      <c r="AO8" s="3941"/>
      <c r="AP8" s="3941"/>
      <c r="AQ8" s="3941"/>
      <c r="AR8" s="3941"/>
      <c r="AS8" s="3941"/>
      <c r="AT8" s="3941"/>
      <c r="AU8" s="3941"/>
      <c r="AV8" s="3941"/>
      <c r="AW8" s="3941"/>
      <c r="AX8" s="3941"/>
      <c r="AY8" s="3941"/>
      <c r="AZ8" s="3941"/>
      <c r="BA8" s="3941"/>
      <c r="BB8" s="3941"/>
      <c r="BC8" s="3941"/>
      <c r="BD8" s="3941"/>
      <c r="BE8" s="3941"/>
      <c r="BF8" s="3941"/>
      <c r="BG8" s="3941"/>
      <c r="BH8" s="3941"/>
      <c r="BI8" s="3941"/>
      <c r="BJ8" s="3941"/>
      <c r="BK8" s="3941"/>
      <c r="BL8" s="3941"/>
      <c r="BM8" s="3941"/>
      <c r="BN8" s="3941"/>
      <c r="BO8" s="3941"/>
      <c r="BP8" s="3941"/>
      <c r="BQ8" s="3941"/>
      <c r="BR8" s="3941"/>
      <c r="BS8" s="3941"/>
      <c r="BT8" s="3941"/>
      <c r="BU8" s="3941"/>
      <c r="BV8" s="3941"/>
      <c r="BW8" s="3941"/>
      <c r="BX8" s="3941"/>
      <c r="BY8" s="3941"/>
      <c r="BZ8" s="3941"/>
      <c r="CA8" s="3941"/>
      <c r="CB8" s="3941"/>
      <c r="CC8" s="3941"/>
      <c r="CD8" s="3941"/>
      <c r="CE8" s="3941"/>
      <c r="CF8" s="3941"/>
      <c r="CG8" s="3941"/>
      <c r="CH8" s="3941"/>
      <c r="CI8" s="3941"/>
      <c r="CJ8" s="3941"/>
      <c r="CK8" s="3941"/>
      <c r="CL8" s="3941"/>
      <c r="CM8" s="3941"/>
      <c r="CN8" s="3941"/>
      <c r="CO8" s="3941"/>
      <c r="CP8" s="3941"/>
      <c r="CQ8" s="3941"/>
      <c r="CR8" s="3941"/>
      <c r="CS8" s="3941"/>
      <c r="CT8" s="3941"/>
      <c r="CU8" s="3941"/>
      <c r="CV8" s="3941"/>
      <c r="CW8" s="3941"/>
      <c r="CX8" s="3941"/>
      <c r="CY8" s="3941"/>
      <c r="CZ8" s="3941"/>
      <c r="DA8" s="3941"/>
      <c r="DB8" s="3941"/>
      <c r="DC8" s="3941"/>
      <c r="DD8" s="3941"/>
      <c r="DE8" s="3941"/>
      <c r="DF8" s="3941"/>
      <c r="DG8" s="3941"/>
      <c r="DH8" s="3941"/>
      <c r="DI8" s="3941"/>
      <c r="DJ8" s="3941"/>
      <c r="DK8" s="3941"/>
      <c r="DL8" s="3941"/>
      <c r="DM8" s="3941"/>
      <c r="DN8" s="3941"/>
      <c r="DO8" s="3941"/>
      <c r="DP8" s="3941"/>
      <c r="DQ8" s="3941"/>
      <c r="DR8" s="3941"/>
      <c r="DS8" s="3941"/>
      <c r="DT8" s="3941"/>
      <c r="DU8" s="3941"/>
      <c r="DV8" s="3941"/>
      <c r="DW8" s="3941"/>
      <c r="DX8" s="3941"/>
      <c r="DY8" s="3941"/>
      <c r="DZ8" s="3941"/>
      <c r="EA8" s="3941"/>
      <c r="EB8" s="3941"/>
      <c r="EC8" s="3941"/>
      <c r="ED8" s="3941"/>
      <c r="EE8" s="3941"/>
      <c r="EF8" s="3941"/>
      <c r="EG8" s="3941"/>
      <c r="EH8" s="3941"/>
      <c r="EI8" s="3941"/>
      <c r="EJ8" s="3941"/>
      <c r="EK8" s="3941"/>
      <c r="EL8" s="3941"/>
      <c r="EM8" s="3941"/>
      <c r="EN8" s="3941"/>
      <c r="EO8" s="3941"/>
      <c r="EP8" s="3941"/>
      <c r="EQ8" s="3941"/>
      <c r="ER8" s="3941"/>
      <c r="ES8" s="3941"/>
      <c r="ET8" s="3941"/>
      <c r="EU8" s="3941"/>
      <c r="EV8" s="3941"/>
      <c r="EW8" s="3941"/>
      <c r="EX8" s="3941"/>
      <c r="EY8" s="3941"/>
      <c r="EZ8" s="3941"/>
      <c r="FA8" s="3941"/>
      <c r="FB8" s="3941"/>
      <c r="FC8" s="3941"/>
      <c r="FD8" s="3941"/>
      <c r="FE8" s="3941"/>
      <c r="FF8" s="3941"/>
      <c r="FG8" s="3941"/>
      <c r="FH8" s="3941"/>
      <c r="FI8" s="3941"/>
      <c r="FJ8" s="3941"/>
      <c r="FK8" s="3941"/>
      <c r="FL8" s="3941"/>
      <c r="FM8" s="3941"/>
      <c r="FN8" s="3941"/>
      <c r="FO8" s="3941"/>
      <c r="FP8" s="3941"/>
      <c r="FQ8" s="3941"/>
      <c r="FR8" s="3941"/>
      <c r="FS8" s="3941"/>
      <c r="FT8" s="3941"/>
      <c r="FU8" s="3941"/>
      <c r="FV8" s="3941"/>
      <c r="FW8" s="3941"/>
      <c r="FX8" s="3941"/>
      <c r="FY8" s="3941"/>
      <c r="FZ8" s="3941"/>
      <c r="GA8" s="3941"/>
      <c r="GB8" s="3941"/>
      <c r="GC8" s="3941"/>
      <c r="GD8" s="3941"/>
      <c r="GE8" s="3941"/>
      <c r="GF8" s="3941"/>
      <c r="GG8" s="3941"/>
      <c r="GH8" s="3941"/>
      <c r="GI8" s="3941"/>
      <c r="GJ8" s="3941"/>
      <c r="GK8" s="3941"/>
      <c r="GL8" s="3941"/>
      <c r="GM8" s="3941"/>
      <c r="GN8" s="3941"/>
      <c r="GO8" s="3941"/>
      <c r="GP8" s="3941"/>
      <c r="GQ8" s="3941"/>
      <c r="GR8" s="3941"/>
      <c r="GS8" s="3941"/>
      <c r="GT8" s="3941"/>
      <c r="GU8" s="3941"/>
      <c r="GV8" s="3941"/>
      <c r="GW8" s="3941"/>
      <c r="GX8" s="3941"/>
      <c r="GY8" s="3941"/>
      <c r="GZ8" s="3941"/>
      <c r="HA8" s="3941"/>
      <c r="HB8" s="3941"/>
      <c r="HC8" s="3941"/>
      <c r="HD8" s="3941"/>
      <c r="HE8" s="3941"/>
      <c r="HF8" s="3941"/>
      <c r="HG8" s="3941"/>
      <c r="HH8" s="3941"/>
      <c r="HI8" s="3941"/>
      <c r="HJ8" s="3941"/>
      <c r="HK8" s="3941"/>
      <c r="HL8" s="3941"/>
      <c r="HM8" s="3941"/>
      <c r="HN8" s="3941"/>
      <c r="HO8" s="3941"/>
      <c r="HP8" s="3941"/>
      <c r="HQ8" s="3941"/>
      <c r="HR8" s="3941"/>
      <c r="HS8" s="3941"/>
      <c r="HT8" s="3941"/>
      <c r="HU8" s="3941"/>
      <c r="HV8" s="3941"/>
      <c r="HW8" s="3941"/>
      <c r="HX8" s="3941"/>
      <c r="HY8" s="394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941"/>
      <c r="LH8" s="3941"/>
      <c r="LI8" s="3941"/>
      <c r="LJ8" s="3941"/>
      <c r="LK8" s="3941"/>
      <c r="LL8" s="3941"/>
      <c r="LM8" s="3941"/>
      <c r="LN8" s="3941"/>
      <c r="LO8" s="3941"/>
      <c r="LP8" s="3941"/>
      <c r="LQ8" s="3941"/>
      <c r="LR8" s="3941"/>
      <c r="LS8" s="3941"/>
      <c r="LT8" s="3941"/>
      <c r="LU8" s="3941"/>
      <c r="LV8" s="3941"/>
      <c r="LW8" s="3941"/>
      <c r="LX8" s="3941"/>
      <c r="LY8" s="3941"/>
      <c r="LZ8" s="3941"/>
      <c r="MA8" s="3941"/>
      <c r="MB8" s="3941"/>
      <c r="MC8" s="3941"/>
      <c r="MD8" s="3941"/>
      <c r="ME8" s="3941"/>
      <c r="MF8" s="3941"/>
      <c r="MG8" s="3941"/>
      <c r="MH8" s="3941"/>
      <c r="MI8" s="3941"/>
      <c r="MJ8" s="3941"/>
      <c r="MK8" s="3961"/>
      <c r="ML8" s="3961"/>
      <c r="MM8" s="3961"/>
      <c r="MN8" s="3961"/>
      <c r="MO8" s="3961"/>
      <c r="MP8" s="3941"/>
      <c r="MQ8" s="3941"/>
      <c r="MR8" s="3941"/>
      <c r="MS8" s="3941"/>
      <c r="MT8" s="394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2"/>
      <c r="B9" s="1414" t="s">
        <v>3765</v>
      </c>
      <c r="C9" s="1054" t="s">
        <v>165</v>
      </c>
      <c r="D9" s="1054" t="s">
        <v>510</v>
      </c>
      <c r="E9" s="1054" t="s">
        <v>1383</v>
      </c>
      <c r="F9" s="1054" t="s">
        <v>1383</v>
      </c>
      <c r="G9" s="3967" t="s">
        <v>6093</v>
      </c>
      <c r="H9" s="1928" t="s">
        <v>3303</v>
      </c>
      <c r="I9" s="3967"/>
      <c r="J9" s="3963" t="s">
        <v>6087</v>
      </c>
      <c r="K9" s="1054" t="s">
        <v>2218</v>
      </c>
      <c r="L9" s="3959" t="s">
        <v>139</v>
      </c>
      <c r="M9" s="3960"/>
      <c r="N9" s="1054" t="s">
        <v>2185</v>
      </c>
      <c r="O9" s="1054" t="s">
        <v>6485</v>
      </c>
      <c r="P9" s="3965" t="s">
        <v>6249</v>
      </c>
      <c r="Q9" s="3942"/>
      <c r="R9" s="1054" t="s">
        <v>2454</v>
      </c>
      <c r="S9" s="1054" t="s">
        <v>2456</v>
      </c>
      <c r="T9" s="445"/>
      <c r="W9" s="446"/>
      <c r="X9" s="3941"/>
      <c r="Y9" s="3941"/>
      <c r="Z9" s="3941"/>
      <c r="AA9" s="3941"/>
      <c r="AB9" s="3941"/>
      <c r="AC9" s="3941"/>
      <c r="AD9" s="3941"/>
      <c r="AE9" s="3941"/>
      <c r="AF9" s="3941"/>
      <c r="AG9" s="3941"/>
      <c r="AH9" s="3941"/>
      <c r="AI9" s="3941"/>
      <c r="AJ9" s="3941"/>
      <c r="AK9" s="3941"/>
      <c r="AL9" s="3941"/>
      <c r="AM9" s="3941"/>
      <c r="AN9" s="3941"/>
      <c r="AO9" s="3941"/>
      <c r="AP9" s="3941"/>
      <c r="AQ9" s="3941"/>
      <c r="AR9" s="3941"/>
      <c r="AS9" s="3941"/>
      <c r="AT9" s="3941"/>
      <c r="AU9" s="3941"/>
      <c r="AV9" s="3941"/>
      <c r="AW9" s="3941"/>
      <c r="AX9" s="3941"/>
      <c r="AY9" s="3941"/>
      <c r="AZ9" s="3941"/>
      <c r="BA9" s="3941"/>
      <c r="BB9" s="3941"/>
      <c r="BC9" s="3941"/>
      <c r="BD9" s="3941"/>
      <c r="BE9" s="3941"/>
      <c r="BF9" s="3941"/>
      <c r="BG9" s="3941"/>
      <c r="BH9" s="3941"/>
      <c r="BI9" s="3941"/>
      <c r="BJ9" s="3941"/>
      <c r="BK9" s="3941"/>
      <c r="BL9" s="3941"/>
      <c r="BM9" s="3941"/>
      <c r="BN9" s="3941"/>
      <c r="BO9" s="3941"/>
      <c r="BP9" s="3941"/>
      <c r="BQ9" s="3941"/>
      <c r="BR9" s="3941"/>
      <c r="BS9" s="3941"/>
      <c r="BT9" s="3941"/>
      <c r="BU9" s="3941"/>
      <c r="BV9" s="3941"/>
      <c r="BW9" s="3941"/>
      <c r="BX9" s="3941"/>
      <c r="BY9" s="3941"/>
      <c r="BZ9" s="3941"/>
      <c r="CA9" s="3941"/>
      <c r="CB9" s="3941"/>
      <c r="CC9" s="3941"/>
      <c r="CD9" s="3941"/>
      <c r="CE9" s="3941"/>
      <c r="CF9" s="3941"/>
      <c r="CG9" s="3941"/>
      <c r="CH9" s="3941"/>
      <c r="CI9" s="3941"/>
      <c r="CJ9" s="3941"/>
      <c r="CK9" s="3941"/>
      <c r="CL9" s="3941"/>
      <c r="CM9" s="3941"/>
      <c r="CN9" s="3941"/>
      <c r="CO9" s="3941"/>
      <c r="CP9" s="3941"/>
      <c r="CQ9" s="3941"/>
      <c r="CR9" s="3941"/>
      <c r="CS9" s="3941"/>
      <c r="CT9" s="3941"/>
      <c r="CU9" s="3941"/>
      <c r="CV9" s="3941"/>
      <c r="CW9" s="3941"/>
      <c r="CX9" s="3941"/>
      <c r="CY9" s="3941"/>
      <c r="CZ9" s="3941"/>
      <c r="DA9" s="3941"/>
      <c r="DB9" s="3941"/>
      <c r="DC9" s="3941"/>
      <c r="DD9" s="3941"/>
      <c r="DE9" s="3941"/>
      <c r="DF9" s="3941"/>
      <c r="DG9" s="3941"/>
      <c r="DH9" s="3941"/>
      <c r="DI9" s="3941"/>
      <c r="DJ9" s="3941"/>
      <c r="DK9" s="3941"/>
      <c r="DL9" s="3941"/>
      <c r="DM9" s="3941"/>
      <c r="DN9" s="3941"/>
      <c r="DO9" s="3941"/>
      <c r="DP9" s="3941"/>
      <c r="DQ9" s="3941"/>
      <c r="DR9" s="3941"/>
      <c r="DS9" s="3941"/>
      <c r="DT9" s="3941"/>
      <c r="DU9" s="3941"/>
      <c r="DV9" s="3941"/>
      <c r="DW9" s="3941"/>
      <c r="DX9" s="3941"/>
      <c r="DY9" s="3941"/>
      <c r="DZ9" s="3941"/>
      <c r="EA9" s="3941"/>
      <c r="EB9" s="3941"/>
      <c r="EC9" s="3941"/>
      <c r="ED9" s="3941"/>
      <c r="EE9" s="3941"/>
      <c r="EF9" s="3941"/>
      <c r="EG9" s="3941"/>
      <c r="EH9" s="3941"/>
      <c r="EI9" s="3941"/>
      <c r="EJ9" s="3941"/>
      <c r="EK9" s="3941"/>
      <c r="EL9" s="3941"/>
      <c r="EM9" s="3941"/>
      <c r="EN9" s="3941"/>
      <c r="EO9" s="3941"/>
      <c r="EP9" s="3941"/>
      <c r="EQ9" s="3941"/>
      <c r="ER9" s="3941"/>
      <c r="ES9" s="3941"/>
      <c r="ET9" s="3941"/>
      <c r="EU9" s="3941"/>
      <c r="EV9" s="3941"/>
      <c r="EW9" s="3941"/>
      <c r="EX9" s="3941"/>
      <c r="EY9" s="3941"/>
      <c r="EZ9" s="3941"/>
      <c r="FA9" s="3941"/>
      <c r="FB9" s="3941"/>
      <c r="FC9" s="3941"/>
      <c r="FD9" s="3941"/>
      <c r="FE9" s="3941"/>
      <c r="FF9" s="3941"/>
      <c r="FG9" s="3941"/>
      <c r="FH9" s="3941"/>
      <c r="FI9" s="3941"/>
      <c r="FJ9" s="3941"/>
      <c r="FK9" s="3941"/>
      <c r="FL9" s="3941"/>
      <c r="FM9" s="3941"/>
      <c r="FN9" s="3941"/>
      <c r="FO9" s="3941"/>
      <c r="FP9" s="3941"/>
      <c r="FQ9" s="3941"/>
      <c r="FR9" s="3941"/>
      <c r="FS9" s="3941"/>
      <c r="FT9" s="3941"/>
      <c r="FU9" s="3941"/>
      <c r="FV9" s="3941"/>
      <c r="FW9" s="3941"/>
      <c r="FX9" s="3941"/>
      <c r="FY9" s="3941"/>
      <c r="FZ9" s="3941"/>
      <c r="GA9" s="3941"/>
      <c r="GB9" s="3941"/>
      <c r="GC9" s="3941"/>
      <c r="GD9" s="3941"/>
      <c r="GE9" s="3941"/>
      <c r="GF9" s="3941"/>
      <c r="GG9" s="3941"/>
      <c r="GH9" s="3941"/>
      <c r="GI9" s="3941"/>
      <c r="GJ9" s="3941"/>
      <c r="GK9" s="3941"/>
      <c r="GL9" s="3941"/>
      <c r="GM9" s="3941"/>
      <c r="GN9" s="3941"/>
      <c r="GO9" s="3941"/>
      <c r="GP9" s="3941"/>
      <c r="GQ9" s="3941"/>
      <c r="GR9" s="3941"/>
      <c r="GS9" s="3941"/>
      <c r="GT9" s="3941"/>
      <c r="GU9" s="3941"/>
      <c r="GV9" s="3941"/>
      <c r="GW9" s="3941"/>
      <c r="GX9" s="3941"/>
      <c r="GY9" s="3941"/>
      <c r="GZ9" s="3941"/>
      <c r="HA9" s="3941"/>
      <c r="HB9" s="3941"/>
      <c r="HC9" s="3941"/>
      <c r="HD9" s="3941"/>
      <c r="HE9" s="3941"/>
      <c r="HF9" s="3941"/>
      <c r="HG9" s="3941"/>
      <c r="HH9" s="3941"/>
      <c r="HI9" s="3941"/>
      <c r="HJ9" s="3941"/>
      <c r="HK9" s="3941"/>
      <c r="HL9" s="3941"/>
      <c r="HM9" s="3941"/>
      <c r="HN9" s="3941"/>
      <c r="HO9" s="3941"/>
      <c r="HP9" s="3941"/>
      <c r="HQ9" s="3941"/>
      <c r="HR9" s="3941"/>
      <c r="HS9" s="3941"/>
      <c r="HT9" s="3941"/>
      <c r="HU9" s="3941"/>
      <c r="HV9" s="3941"/>
      <c r="HW9" s="3941"/>
      <c r="HX9" s="3941"/>
      <c r="HY9" s="3941"/>
      <c r="HZ9" s="3941" t="s">
        <v>1372</v>
      </c>
      <c r="IA9" s="2517" t="s">
        <v>2246</v>
      </c>
      <c r="IB9" s="2517" t="s">
        <v>2247</v>
      </c>
      <c r="IC9" s="2517" t="s">
        <v>2248</v>
      </c>
      <c r="ID9" s="2517" t="s">
        <v>2249</v>
      </c>
      <c r="IE9" s="3941" t="s">
        <v>2300</v>
      </c>
      <c r="IF9" s="3941" t="s">
        <v>2300</v>
      </c>
      <c r="IG9" s="3941" t="s">
        <v>2300</v>
      </c>
      <c r="IH9" s="3941" t="s">
        <v>2300</v>
      </c>
      <c r="II9" s="3941" t="s">
        <v>2300</v>
      </c>
      <c r="IJ9" s="3941" t="s">
        <v>3002</v>
      </c>
      <c r="IK9" s="3941" t="s">
        <v>3002</v>
      </c>
      <c r="IL9" s="3941" t="s">
        <v>3002</v>
      </c>
      <c r="IM9" s="3941" t="s">
        <v>3002</v>
      </c>
      <c r="IN9" s="3941" t="s">
        <v>3002</v>
      </c>
      <c r="IO9" s="2517" t="s">
        <v>526</v>
      </c>
      <c r="IP9" s="2517" t="s">
        <v>2246</v>
      </c>
      <c r="IQ9" s="2517" t="s">
        <v>2247</v>
      </c>
      <c r="IR9" s="2517" t="s">
        <v>2248</v>
      </c>
      <c r="IS9" s="2517" t="s">
        <v>2249</v>
      </c>
      <c r="IT9" s="2517" t="s">
        <v>526</v>
      </c>
      <c r="IU9" s="2517" t="s">
        <v>2246</v>
      </c>
      <c r="IV9" s="2517" t="s">
        <v>2247</v>
      </c>
      <c r="IW9" s="2517" t="s">
        <v>2248</v>
      </c>
      <c r="IX9" s="2517" t="s">
        <v>2249</v>
      </c>
      <c r="IY9" s="3941" t="s">
        <v>6290</v>
      </c>
      <c r="IZ9" s="3941" t="s">
        <v>6290</v>
      </c>
      <c r="JA9" s="3941" t="s">
        <v>6290</v>
      </c>
      <c r="JB9" s="3941" t="s">
        <v>6290</v>
      </c>
      <c r="JC9" s="3941" t="s">
        <v>6290</v>
      </c>
      <c r="JD9" s="3941" t="s">
        <v>6291</v>
      </c>
      <c r="JE9" s="3941" t="s">
        <v>6291</v>
      </c>
      <c r="JF9" s="3941" t="s">
        <v>6291</v>
      </c>
      <c r="JG9" s="3941" t="s">
        <v>6291</v>
      </c>
      <c r="JH9" s="3941" t="s">
        <v>6291</v>
      </c>
      <c r="JI9" s="3941" t="s">
        <v>6293</v>
      </c>
      <c r="JJ9" s="3941" t="s">
        <v>6293</v>
      </c>
      <c r="JK9" s="3941" t="s">
        <v>6293</v>
      </c>
      <c r="JL9" s="3941" t="s">
        <v>6293</v>
      </c>
      <c r="JM9" s="3941" t="s">
        <v>6293</v>
      </c>
      <c r="JN9" s="3941" t="s">
        <v>6294</v>
      </c>
      <c r="JO9" s="3941" t="s">
        <v>6294</v>
      </c>
      <c r="JP9" s="3941" t="s">
        <v>6294</v>
      </c>
      <c r="JQ9" s="3941" t="s">
        <v>6294</v>
      </c>
      <c r="JR9" s="3941" t="s">
        <v>6294</v>
      </c>
      <c r="JS9" s="3941" t="s">
        <v>6295</v>
      </c>
      <c r="JT9" s="3941" t="s">
        <v>6295</v>
      </c>
      <c r="JU9" s="3941" t="s">
        <v>6295</v>
      </c>
      <c r="JV9" s="3941" t="s">
        <v>6295</v>
      </c>
      <c r="JW9" s="3941" t="s">
        <v>6295</v>
      </c>
      <c r="JX9" s="3941" t="s">
        <v>6486</v>
      </c>
      <c r="JY9" s="3941" t="s">
        <v>6486</v>
      </c>
      <c r="JZ9" s="3941" t="s">
        <v>6486</v>
      </c>
      <c r="KA9" s="3941" t="s">
        <v>6486</v>
      </c>
      <c r="KB9" s="3941" t="s">
        <v>6486</v>
      </c>
      <c r="KC9" s="3941" t="s">
        <v>6656</v>
      </c>
      <c r="KD9" s="3941" t="s">
        <v>6656</v>
      </c>
      <c r="KE9" s="3941" t="s">
        <v>6656</v>
      </c>
      <c r="KF9" s="3941" t="s">
        <v>6656</v>
      </c>
      <c r="KG9" s="3941" t="s">
        <v>6656</v>
      </c>
      <c r="KH9" s="3941" t="s">
        <v>6657</v>
      </c>
      <c r="KI9" s="3941" t="s">
        <v>6657</v>
      </c>
      <c r="KJ9" s="3941" t="s">
        <v>6657</v>
      </c>
      <c r="KK9" s="3941" t="s">
        <v>6657</v>
      </c>
      <c r="KL9" s="3941" t="s">
        <v>6657</v>
      </c>
      <c r="KM9" s="3941" t="s">
        <v>6297</v>
      </c>
      <c r="KN9" s="3941" t="s">
        <v>6297</v>
      </c>
      <c r="KO9" s="3941" t="s">
        <v>6297</v>
      </c>
      <c r="KP9" s="3941" t="s">
        <v>6297</v>
      </c>
      <c r="KQ9" s="3941" t="s">
        <v>6297</v>
      </c>
      <c r="KR9" s="3941" t="s">
        <v>6487</v>
      </c>
      <c r="KS9" s="3941" t="s">
        <v>6487</v>
      </c>
      <c r="KT9" s="3941" t="s">
        <v>6487</v>
      </c>
      <c r="KU9" s="3941" t="s">
        <v>6487</v>
      </c>
      <c r="KV9" s="3941" t="s">
        <v>6487</v>
      </c>
      <c r="KW9" s="3941" t="s">
        <v>6658</v>
      </c>
      <c r="KX9" s="3941" t="s">
        <v>6658</v>
      </c>
      <c r="KY9" s="3941" t="s">
        <v>6658</v>
      </c>
      <c r="KZ9" s="3941" t="s">
        <v>6658</v>
      </c>
      <c r="LA9" s="3941" t="s">
        <v>6658</v>
      </c>
      <c r="LB9" s="3941" t="s">
        <v>6659</v>
      </c>
      <c r="LC9" s="3941" t="s">
        <v>6659</v>
      </c>
      <c r="LD9" s="3941" t="s">
        <v>6659</v>
      </c>
      <c r="LE9" s="3941" t="s">
        <v>6659</v>
      </c>
      <c r="LF9" s="3941" t="s">
        <v>6659</v>
      </c>
      <c r="LG9" s="3941"/>
      <c r="LH9" s="3941"/>
      <c r="LI9" s="3941"/>
      <c r="LJ9" s="3941"/>
      <c r="LK9" s="3941"/>
      <c r="LL9" s="3941"/>
      <c r="LM9" s="3941"/>
      <c r="LN9" s="3941"/>
      <c r="LO9" s="3941"/>
      <c r="LP9" s="3941"/>
      <c r="LQ9" s="3941"/>
      <c r="LR9" s="3941"/>
      <c r="LS9" s="3941"/>
      <c r="LT9" s="3941"/>
      <c r="LU9" s="3941"/>
      <c r="LV9" s="3941"/>
      <c r="LW9" s="3941"/>
      <c r="LX9" s="3941"/>
      <c r="LY9" s="3941"/>
      <c r="LZ9" s="3941"/>
      <c r="MA9" s="3941"/>
      <c r="MB9" s="3941"/>
      <c r="MC9" s="3941"/>
      <c r="MD9" s="3941"/>
      <c r="ME9" s="3941"/>
      <c r="MF9" s="3941"/>
      <c r="MG9" s="3941"/>
      <c r="MH9" s="3941"/>
      <c r="MI9" s="3941"/>
      <c r="MJ9" s="3941"/>
      <c r="MK9" s="3961"/>
      <c r="ML9" s="3961"/>
      <c r="MM9" s="3961"/>
      <c r="MN9" s="3961"/>
      <c r="MO9" s="3961"/>
      <c r="MP9" s="3941"/>
      <c r="MQ9" s="3941"/>
      <c r="MR9" s="3941"/>
      <c r="MS9" s="3941"/>
      <c r="MT9" s="394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2"/>
      <c r="B10" s="1599" t="s">
        <v>3934</v>
      </c>
      <c r="C10" s="1054" t="s">
        <v>164</v>
      </c>
      <c r="D10" s="1054" t="s">
        <v>166</v>
      </c>
      <c r="E10" s="1054" t="s">
        <v>1384</v>
      </c>
      <c r="F10" s="1054" t="s">
        <v>1204</v>
      </c>
      <c r="G10" s="3968"/>
      <c r="H10" s="1054" t="s">
        <v>6094</v>
      </c>
      <c r="I10" s="3968"/>
      <c r="J10" s="3964"/>
      <c r="K10" s="470" t="s">
        <v>334</v>
      </c>
      <c r="L10" s="1054" t="s">
        <v>1433</v>
      </c>
      <c r="M10" s="1054" t="s">
        <v>504</v>
      </c>
      <c r="N10" s="1054" t="s">
        <v>1383</v>
      </c>
      <c r="O10" s="1054" t="s">
        <v>6499</v>
      </c>
      <c r="P10" s="3966"/>
      <c r="Q10" s="3943"/>
      <c r="R10" s="1054" t="s">
        <v>1385</v>
      </c>
      <c r="S10" s="1054" t="s">
        <v>2457</v>
      </c>
      <c r="T10" s="31" t="s">
        <v>1711</v>
      </c>
      <c r="W10" s="31"/>
      <c r="X10" s="3941"/>
      <c r="Y10" s="3941"/>
      <c r="Z10" s="3941"/>
      <c r="AA10" s="3941"/>
      <c r="AB10" s="3941"/>
      <c r="AC10" s="3941"/>
      <c r="AD10" s="3941"/>
      <c r="AE10" s="3941"/>
      <c r="AF10" s="3941"/>
      <c r="AG10" s="3941"/>
      <c r="AH10" s="3941"/>
      <c r="AI10" s="3941"/>
      <c r="AJ10" s="3941"/>
      <c r="AK10" s="3941"/>
      <c r="AL10" s="3941"/>
      <c r="AM10" s="3941"/>
      <c r="AN10" s="3941"/>
      <c r="AO10" s="3941"/>
      <c r="AP10" s="3941"/>
      <c r="AQ10" s="3941"/>
      <c r="AR10" s="3941"/>
      <c r="AS10" s="3941"/>
      <c r="AT10" s="3941"/>
      <c r="AU10" s="3941"/>
      <c r="AV10" s="3941"/>
      <c r="AW10" s="3941"/>
      <c r="AX10" s="3941"/>
      <c r="AY10" s="3941"/>
      <c r="AZ10" s="3941"/>
      <c r="BA10" s="3941"/>
      <c r="BB10" s="3941"/>
      <c r="BC10" s="3941"/>
      <c r="BD10" s="3941"/>
      <c r="BE10" s="3941"/>
      <c r="BF10" s="3941"/>
      <c r="BG10" s="3941"/>
      <c r="BH10" s="3941"/>
      <c r="BI10" s="3941"/>
      <c r="BJ10" s="3941"/>
      <c r="BK10" s="3941"/>
      <c r="BL10" s="3941"/>
      <c r="BM10" s="3941"/>
      <c r="BN10" s="3941"/>
      <c r="BO10" s="3941"/>
      <c r="BP10" s="3941"/>
      <c r="BQ10" s="3941"/>
      <c r="BR10" s="3941"/>
      <c r="BS10" s="3941"/>
      <c r="BT10" s="3941"/>
      <c r="BU10" s="3941"/>
      <c r="BV10" s="3941"/>
      <c r="BW10" s="3941"/>
      <c r="BX10" s="3941"/>
      <c r="BY10" s="3941"/>
      <c r="BZ10" s="3941"/>
      <c r="CA10" s="3941"/>
      <c r="CB10" s="3941"/>
      <c r="CC10" s="3941"/>
      <c r="CD10" s="3941"/>
      <c r="CE10" s="3941"/>
      <c r="CF10" s="3941"/>
      <c r="CG10" s="3941"/>
      <c r="CH10" s="3941"/>
      <c r="CI10" s="3941"/>
      <c r="CJ10" s="3941"/>
      <c r="CK10" s="3941"/>
      <c r="CL10" s="3941"/>
      <c r="CM10" s="3941"/>
      <c r="CN10" s="3941"/>
      <c r="CO10" s="3941"/>
      <c r="CP10" s="3941"/>
      <c r="CQ10" s="3941"/>
      <c r="CR10" s="3941"/>
      <c r="CS10" s="3941"/>
      <c r="CT10" s="3941"/>
      <c r="CU10" s="3941"/>
      <c r="CV10" s="3941"/>
      <c r="CW10" s="3941"/>
      <c r="CX10" s="3941"/>
      <c r="CY10" s="3941"/>
      <c r="CZ10" s="3941"/>
      <c r="DA10" s="3941"/>
      <c r="DB10" s="3941"/>
      <c r="DC10" s="3941"/>
      <c r="DD10" s="3941"/>
      <c r="DE10" s="3941"/>
      <c r="DF10" s="3941"/>
      <c r="DG10" s="3941"/>
      <c r="DH10" s="3941"/>
      <c r="DI10" s="3941"/>
      <c r="DJ10" s="3941"/>
      <c r="DK10" s="3941"/>
      <c r="DL10" s="3941"/>
      <c r="DM10" s="3941"/>
      <c r="DN10" s="3941"/>
      <c r="DO10" s="3941"/>
      <c r="DP10" s="3941"/>
      <c r="DQ10" s="3941"/>
      <c r="DR10" s="3941"/>
      <c r="DS10" s="3941"/>
      <c r="DT10" s="3941"/>
      <c r="DU10" s="3941"/>
      <c r="DV10" s="3941"/>
      <c r="DW10" s="3941"/>
      <c r="DX10" s="3941"/>
      <c r="DY10" s="3941"/>
      <c r="DZ10" s="3941"/>
      <c r="EA10" s="3941"/>
      <c r="EB10" s="3941"/>
      <c r="EC10" s="3941"/>
      <c r="ED10" s="3941"/>
      <c r="EE10" s="3941"/>
      <c r="EF10" s="3941"/>
      <c r="EG10" s="3941"/>
      <c r="EH10" s="3941"/>
      <c r="EI10" s="3941"/>
      <c r="EJ10" s="3941"/>
      <c r="EK10" s="3941"/>
      <c r="EL10" s="3941"/>
      <c r="EM10" s="3941"/>
      <c r="EN10" s="3941"/>
      <c r="EO10" s="3941"/>
      <c r="EP10" s="3941"/>
      <c r="EQ10" s="3941"/>
      <c r="ER10" s="3941"/>
      <c r="ES10" s="3941"/>
      <c r="ET10" s="3941"/>
      <c r="EU10" s="3941"/>
      <c r="EV10" s="3941"/>
      <c r="EW10" s="3941"/>
      <c r="EX10" s="3941"/>
      <c r="EY10" s="3941"/>
      <c r="EZ10" s="3941"/>
      <c r="FA10" s="3941"/>
      <c r="FB10" s="3941"/>
      <c r="FC10" s="3941"/>
      <c r="FD10" s="3941"/>
      <c r="FE10" s="3941"/>
      <c r="FF10" s="3941"/>
      <c r="FG10" s="3941"/>
      <c r="FH10" s="3941"/>
      <c r="FI10" s="3941"/>
      <c r="FJ10" s="3941"/>
      <c r="FK10" s="3941"/>
      <c r="FL10" s="3941"/>
      <c r="FM10" s="3941"/>
      <c r="FN10" s="3941"/>
      <c r="FO10" s="3941"/>
      <c r="FP10" s="3941"/>
      <c r="FQ10" s="3941"/>
      <c r="FR10" s="3941"/>
      <c r="FS10" s="3941"/>
      <c r="FT10" s="3941"/>
      <c r="FU10" s="3941"/>
      <c r="FV10" s="3941"/>
      <c r="FW10" s="3941"/>
      <c r="FX10" s="3941"/>
      <c r="FY10" s="3941"/>
      <c r="FZ10" s="3941"/>
      <c r="GA10" s="3941"/>
      <c r="GB10" s="3941"/>
      <c r="GC10" s="3941"/>
      <c r="GD10" s="3941"/>
      <c r="GE10" s="3941"/>
      <c r="GF10" s="3941"/>
      <c r="GG10" s="3941"/>
      <c r="GH10" s="3941"/>
      <c r="GI10" s="3941"/>
      <c r="GJ10" s="3941"/>
      <c r="GK10" s="3941"/>
      <c r="GL10" s="3941"/>
      <c r="GM10" s="3941"/>
      <c r="GN10" s="3941"/>
      <c r="GO10" s="3941"/>
      <c r="GP10" s="3941"/>
      <c r="GQ10" s="3941"/>
      <c r="GR10" s="3941"/>
      <c r="GS10" s="3941"/>
      <c r="GT10" s="3941"/>
      <c r="GU10" s="3941"/>
      <c r="GV10" s="3941"/>
      <c r="GW10" s="3941"/>
      <c r="GX10" s="3941"/>
      <c r="GY10" s="3941"/>
      <c r="GZ10" s="3941"/>
      <c r="HA10" s="3941"/>
      <c r="HB10" s="3941"/>
      <c r="HC10" s="3941"/>
      <c r="HD10" s="3941"/>
      <c r="HE10" s="3941"/>
      <c r="HF10" s="3941"/>
      <c r="HG10" s="3941"/>
      <c r="HH10" s="3941"/>
      <c r="HI10" s="3941"/>
      <c r="HJ10" s="3941"/>
      <c r="HK10" s="3941"/>
      <c r="HL10" s="3941"/>
      <c r="HM10" s="3941"/>
      <c r="HN10" s="3941"/>
      <c r="HO10" s="3941"/>
      <c r="HP10" s="3941"/>
      <c r="HQ10" s="3941"/>
      <c r="HR10" s="3941"/>
      <c r="HS10" s="3941"/>
      <c r="HT10" s="3941"/>
      <c r="HU10" s="3941"/>
      <c r="HV10" s="3941"/>
      <c r="HW10" s="3941"/>
      <c r="HX10" s="3941"/>
      <c r="HY10" s="3941"/>
      <c r="HZ10" s="3941"/>
      <c r="IA10" s="2517" t="s">
        <v>2299</v>
      </c>
      <c r="IB10" s="2517" t="s">
        <v>2299</v>
      </c>
      <c r="IC10" s="2517" t="s">
        <v>2299</v>
      </c>
      <c r="ID10" s="2517" t="s">
        <v>2299</v>
      </c>
      <c r="IE10" s="3941"/>
      <c r="IF10" s="3941"/>
      <c r="IG10" s="3941"/>
      <c r="IH10" s="3941"/>
      <c r="II10" s="3941"/>
      <c r="IJ10" s="3941"/>
      <c r="IK10" s="3941"/>
      <c r="IL10" s="3941"/>
      <c r="IM10" s="3941"/>
      <c r="IN10" s="3941"/>
      <c r="IO10" s="2517" t="s">
        <v>2301</v>
      </c>
      <c r="IP10" s="2517" t="s">
        <v>2301</v>
      </c>
      <c r="IQ10" s="2517" t="s">
        <v>2301</v>
      </c>
      <c r="IR10" s="2517" t="s">
        <v>2301</v>
      </c>
      <c r="IS10" s="2517" t="s">
        <v>2301</v>
      </c>
      <c r="IT10" s="2517" t="s">
        <v>3003</v>
      </c>
      <c r="IU10" s="2517" t="s">
        <v>3003</v>
      </c>
      <c r="IV10" s="2517" t="s">
        <v>3003</v>
      </c>
      <c r="IW10" s="2517" t="s">
        <v>3003</v>
      </c>
      <c r="IX10" s="2517" t="s">
        <v>3003</v>
      </c>
      <c r="IY10" s="3941"/>
      <c r="IZ10" s="3941"/>
      <c r="JA10" s="3941"/>
      <c r="JB10" s="3941"/>
      <c r="JC10" s="3941"/>
      <c r="JD10" s="3941"/>
      <c r="JE10" s="3941"/>
      <c r="JF10" s="3941"/>
      <c r="JG10" s="3941"/>
      <c r="JH10" s="3941"/>
      <c r="JI10" s="3941"/>
      <c r="JJ10" s="3941"/>
      <c r="JK10" s="3941"/>
      <c r="JL10" s="3941"/>
      <c r="JM10" s="3941"/>
      <c r="JN10" s="3941"/>
      <c r="JO10" s="3941"/>
      <c r="JP10" s="3941"/>
      <c r="JQ10" s="3941"/>
      <c r="JR10" s="3941"/>
      <c r="JS10" s="3941"/>
      <c r="JT10" s="3941"/>
      <c r="JU10" s="3941"/>
      <c r="JV10" s="3941"/>
      <c r="JW10" s="3941"/>
      <c r="JX10" s="3941"/>
      <c r="JY10" s="3941"/>
      <c r="JZ10" s="3941"/>
      <c r="KA10" s="3941"/>
      <c r="KB10" s="3941"/>
      <c r="KC10" s="3941"/>
      <c r="KD10" s="3941"/>
      <c r="KE10" s="3941"/>
      <c r="KF10" s="3941"/>
      <c r="KG10" s="3941"/>
      <c r="KH10" s="3941"/>
      <c r="KI10" s="3941"/>
      <c r="KJ10" s="3941"/>
      <c r="KK10" s="3941"/>
      <c r="KL10" s="3941"/>
      <c r="KM10" s="3941"/>
      <c r="KN10" s="3941"/>
      <c r="KO10" s="3941"/>
      <c r="KP10" s="3941"/>
      <c r="KQ10" s="3941"/>
      <c r="KR10" s="3941"/>
      <c r="KS10" s="3941"/>
      <c r="KT10" s="3941"/>
      <c r="KU10" s="3941"/>
      <c r="KV10" s="3941"/>
      <c r="KW10" s="3941"/>
      <c r="KX10" s="3941"/>
      <c r="KY10" s="3941"/>
      <c r="KZ10" s="3941"/>
      <c r="LA10" s="3941"/>
      <c r="LB10" s="3941"/>
      <c r="LC10" s="3941"/>
      <c r="LD10" s="3941"/>
      <c r="LE10" s="3941"/>
      <c r="LF10" s="3941"/>
      <c r="LG10" s="3941"/>
      <c r="LH10" s="3941"/>
      <c r="LI10" s="3941"/>
      <c r="LJ10" s="3941"/>
      <c r="LK10" s="3941"/>
      <c r="LL10" s="3941"/>
      <c r="LM10" s="3941"/>
      <c r="LN10" s="3941"/>
      <c r="LO10" s="3941"/>
      <c r="LP10" s="3941"/>
      <c r="LQ10" s="3941"/>
      <c r="LR10" s="3941"/>
      <c r="LS10" s="3941"/>
      <c r="LT10" s="3941"/>
      <c r="LU10" s="3941"/>
      <c r="LV10" s="3941"/>
      <c r="LW10" s="3941"/>
      <c r="LX10" s="3941"/>
      <c r="LY10" s="3941"/>
      <c r="LZ10" s="3941"/>
      <c r="MA10" s="3941"/>
      <c r="MB10" s="3941"/>
      <c r="MC10" s="3941"/>
      <c r="MD10" s="3941"/>
      <c r="ME10" s="3941"/>
      <c r="MF10" s="3941"/>
      <c r="MG10" s="3941"/>
      <c r="MH10" s="3941"/>
      <c r="MI10" s="3941"/>
      <c r="MJ10" s="3941"/>
      <c r="MK10" s="3961"/>
      <c r="ML10" s="3961"/>
      <c r="MM10" s="3961"/>
      <c r="MN10" s="3961"/>
      <c r="MO10" s="3961"/>
      <c r="MP10" s="3941"/>
      <c r="MQ10" s="3941"/>
      <c r="MR10" s="3941"/>
      <c r="MS10" s="3941"/>
      <c r="MT10" s="394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4" customHeight="1">
      <c r="A11" s="110" t="str">
        <f t="shared" ref="A11:A48" si="0">IF(AND(E11&gt;0,OR(B11="",C11="",D11="",F11="",G11="", H11="",I11="",N11="",O11="",P11="",Q11="")),1,"")</f>
        <v/>
      </c>
      <c r="B11" s="1385" t="s">
        <v>3675</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7"/>
      <c r="U11" s="3888"/>
      <c r="V11" s="3888"/>
      <c r="W11" s="388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6410</v>
      </c>
    </row>
    <row r="12" spans="1:493" ht="14" customHeight="1">
      <c r="A12" s="110" t="str">
        <f t="shared" si="0"/>
        <v/>
      </c>
      <c r="B12" s="1386" t="s">
        <v>3675</v>
      </c>
      <c r="C12" s="167"/>
      <c r="D12" s="2302"/>
      <c r="E12" s="168"/>
      <c r="F12" s="168"/>
      <c r="G12" s="168"/>
      <c r="H12" s="168"/>
      <c r="I12" s="168"/>
      <c r="J12" s="1824"/>
      <c r="K12" s="826"/>
      <c r="L12" s="601">
        <f t="shared" si="1"/>
        <v>0</v>
      </c>
      <c r="M12" s="601">
        <f t="shared" si="2"/>
        <v>0</v>
      </c>
      <c r="N12" s="890"/>
      <c r="O12" s="2222"/>
      <c r="P12" s="890"/>
      <c r="Q12" s="169"/>
      <c r="R12" s="940"/>
      <c r="S12" s="941"/>
      <c r="T12" s="3867"/>
      <c r="U12" s="3868"/>
      <c r="V12" s="3868"/>
      <c r="W12" s="3869"/>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6411</v>
      </c>
    </row>
    <row r="13" spans="1:493" ht="14"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7"/>
      <c r="U13" s="3868"/>
      <c r="V13" s="3868"/>
      <c r="W13" s="3869"/>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6412</v>
      </c>
    </row>
    <row r="14" spans="1:493" ht="14"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7"/>
      <c r="U14" s="3868"/>
      <c r="V14" s="3868"/>
      <c r="W14" s="3869"/>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6413</v>
      </c>
    </row>
    <row r="15" spans="1:493" ht="14"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7"/>
      <c r="U15" s="3868"/>
      <c r="V15" s="3868"/>
      <c r="W15" s="3869"/>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6414</v>
      </c>
    </row>
    <row r="16" spans="1:493" ht="14"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7"/>
      <c r="U16" s="3868"/>
      <c r="V16" s="3868"/>
      <c r="W16" s="3869"/>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6415</v>
      </c>
    </row>
    <row r="17" spans="1:380" ht="14"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7"/>
      <c r="U17" s="3868"/>
      <c r="V17" s="3868"/>
      <c r="W17" s="3869"/>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6416</v>
      </c>
    </row>
    <row r="18" spans="1:380" ht="14" customHeight="1">
      <c r="A18" s="110" t="str">
        <f t="shared" si="0"/>
        <v/>
      </c>
      <c r="B18" s="1423"/>
      <c r="C18" s="1388"/>
      <c r="D18" s="2304"/>
      <c r="E18" s="1389"/>
      <c r="F18" s="1389"/>
      <c r="G18" s="1389"/>
      <c r="H18" s="1389"/>
      <c r="I18" s="1389"/>
      <c r="J18" s="1405">
        <f>IF(C18="",0,HLOOKUP(C18,'Part IV-Utility Allowances'!$I$11:$M$22,12))</f>
        <v>0</v>
      </c>
      <c r="K18" s="1406"/>
      <c r="L18" s="1407">
        <f t="shared" si="1"/>
        <v>0</v>
      </c>
      <c r="M18" s="1407">
        <f t="shared" si="2"/>
        <v>0</v>
      </c>
      <c r="N18" s="1408"/>
      <c r="O18" s="2224"/>
      <c r="P18" s="1408"/>
      <c r="Q18" s="1409"/>
      <c r="R18" s="940"/>
      <c r="S18" s="941"/>
      <c r="T18" s="3867"/>
      <c r="U18" s="3868"/>
      <c r="V18" s="3868"/>
      <c r="W18" s="3869"/>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t="str">
        <f t="shared" si="214"/>
        <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0</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6417</v>
      </c>
    </row>
    <row r="19" spans="1:380" ht="14" customHeight="1">
      <c r="A19" s="110" t="str">
        <f t="shared" si="0"/>
        <v/>
      </c>
      <c r="B19" s="1424">
        <v>50</v>
      </c>
      <c r="C19" s="167">
        <v>1</v>
      </c>
      <c r="D19" s="2302">
        <v>1</v>
      </c>
      <c r="E19" s="168">
        <v>3</v>
      </c>
      <c r="F19" s="168">
        <v>776</v>
      </c>
      <c r="G19" s="168">
        <v>801</v>
      </c>
      <c r="H19" s="168">
        <v>667</v>
      </c>
      <c r="I19" s="168">
        <v>0</v>
      </c>
      <c r="J19" s="959">
        <v>87</v>
      </c>
      <c r="K19" s="826" t="s">
        <v>6919</v>
      </c>
      <c r="L19" s="601">
        <f t="shared" si="1"/>
        <v>580</v>
      </c>
      <c r="M19" s="601">
        <f t="shared" si="2"/>
        <v>1740</v>
      </c>
      <c r="N19" s="890" t="s">
        <v>2654</v>
      </c>
      <c r="O19" s="2222" t="s">
        <v>6924</v>
      </c>
      <c r="P19" s="890" t="s">
        <v>2121</v>
      </c>
      <c r="Q19" s="169" t="s">
        <v>2654</v>
      </c>
      <c r="R19" s="940"/>
      <c r="S19" s="941"/>
      <c r="T19" s="3867"/>
      <c r="U19" s="3868"/>
      <c r="V19" s="3868"/>
      <c r="W19" s="3869"/>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f t="shared" si="19"/>
        <v>3</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f t="shared" si="59"/>
        <v>3</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f t="shared" si="134"/>
        <v>2328</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f t="shared" si="159"/>
        <v>2328</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3</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f t="shared" si="249"/>
        <v>3</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3</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6418</v>
      </c>
    </row>
    <row r="20" spans="1:380" ht="14" customHeight="1">
      <c r="A20" s="110" t="str">
        <f t="shared" si="0"/>
        <v/>
      </c>
      <c r="B20" s="1424">
        <v>50</v>
      </c>
      <c r="C20" s="167">
        <v>1</v>
      </c>
      <c r="D20" s="2302">
        <v>1</v>
      </c>
      <c r="E20" s="168">
        <v>5</v>
      </c>
      <c r="F20" s="168">
        <v>776</v>
      </c>
      <c r="G20" s="168">
        <v>801</v>
      </c>
      <c r="H20" s="168">
        <v>667</v>
      </c>
      <c r="I20" s="168">
        <v>0</v>
      </c>
      <c r="J20" s="959">
        <v>87</v>
      </c>
      <c r="K20" s="826" t="s">
        <v>6922</v>
      </c>
      <c r="L20" s="601">
        <f t="shared" si="1"/>
        <v>580</v>
      </c>
      <c r="M20" s="601">
        <f t="shared" si="2"/>
        <v>2900</v>
      </c>
      <c r="N20" s="890" t="s">
        <v>2654</v>
      </c>
      <c r="O20" s="2222" t="s">
        <v>6924</v>
      </c>
      <c r="P20" s="890" t="s">
        <v>2121</v>
      </c>
      <c r="Q20" s="169" t="s">
        <v>2654</v>
      </c>
      <c r="R20" s="940"/>
      <c r="S20" s="941"/>
      <c r="T20" s="3867"/>
      <c r="U20" s="3868"/>
      <c r="V20" s="3868"/>
      <c r="W20" s="3869"/>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f t="shared" si="19"/>
        <v>5</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f t="shared" si="59"/>
        <v>5</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f t="shared" si="134"/>
        <v>3880</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f t="shared" si="159"/>
        <v>3880</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5</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f t="shared" si="249"/>
        <v>5</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5</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6419</v>
      </c>
    </row>
    <row r="21" spans="1:380" ht="14" customHeight="1">
      <c r="A21" s="110" t="str">
        <f t="shared" si="0"/>
        <v/>
      </c>
      <c r="B21" s="1424">
        <v>60</v>
      </c>
      <c r="C21" s="167">
        <v>1</v>
      </c>
      <c r="D21" s="2302">
        <v>1</v>
      </c>
      <c r="E21" s="168">
        <v>7</v>
      </c>
      <c r="F21" s="168">
        <v>776</v>
      </c>
      <c r="G21" s="168">
        <v>801</v>
      </c>
      <c r="H21" s="168">
        <v>667</v>
      </c>
      <c r="I21" s="168">
        <v>0</v>
      </c>
      <c r="J21" s="959">
        <v>87</v>
      </c>
      <c r="K21" s="826" t="s">
        <v>6922</v>
      </c>
      <c r="L21" s="601">
        <f t="shared" si="1"/>
        <v>580</v>
      </c>
      <c r="M21" s="601">
        <f t="shared" si="2"/>
        <v>4060</v>
      </c>
      <c r="N21" s="890" t="s">
        <v>2654</v>
      </c>
      <c r="O21" s="2222" t="s">
        <v>6924</v>
      </c>
      <c r="P21" s="890" t="s">
        <v>2121</v>
      </c>
      <c r="Q21" s="169" t="s">
        <v>2654</v>
      </c>
      <c r="R21" s="940"/>
      <c r="S21" s="941"/>
      <c r="T21" s="3867"/>
      <c r="U21" s="3868"/>
      <c r="V21" s="3868"/>
      <c r="W21" s="3869"/>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7</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f t="shared" si="64"/>
        <v>7</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5432</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f t="shared" si="159"/>
        <v>5432</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7</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f t="shared" si="249"/>
        <v>7</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7</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6420</v>
      </c>
    </row>
    <row r="22" spans="1:380" ht="14" customHeight="1">
      <c r="A22" s="110" t="str">
        <f t="shared" si="0"/>
        <v/>
      </c>
      <c r="B22" s="1424"/>
      <c r="C22" s="167"/>
      <c r="D22" s="2302"/>
      <c r="E22" s="168"/>
      <c r="F22" s="168"/>
      <c r="G22" s="168"/>
      <c r="H22" s="168"/>
      <c r="I22" s="168"/>
      <c r="J22" s="959">
        <f>IF(C22="",0,HLOOKUP(C22,'Part IV-Utility Allowances'!$I$11:$M$22,12))</f>
        <v>0</v>
      </c>
      <c r="K22" s="826"/>
      <c r="L22" s="601">
        <f t="shared" si="1"/>
        <v>0</v>
      </c>
      <c r="M22" s="601">
        <f t="shared" si="2"/>
        <v>0</v>
      </c>
      <c r="N22" s="890"/>
      <c r="O22" s="2222"/>
      <c r="P22" s="890"/>
      <c r="Q22" s="169"/>
      <c r="R22" s="940"/>
      <c r="S22" s="941"/>
      <c r="T22" s="3867"/>
      <c r="U22" s="3868"/>
      <c r="V22" s="3868"/>
      <c r="W22" s="3869"/>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t="str">
        <f t="shared" si="215"/>
        <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0</v>
      </c>
      <c r="MN22" s="2299">
        <f t="shared" si="336"/>
        <v>0</v>
      </c>
      <c r="MO22" s="2299">
        <f t="shared" si="337"/>
        <v>0</v>
      </c>
      <c r="MP22" s="2299">
        <f t="shared" si="328"/>
        <v>0</v>
      </c>
      <c r="MQ22" s="2299">
        <f t="shared" si="329"/>
        <v>0</v>
      </c>
      <c r="MR22" s="2299">
        <f t="shared" si="330"/>
        <v>0</v>
      </c>
      <c r="MS22" s="2299">
        <f t="shared" si="331"/>
        <v>0</v>
      </c>
      <c r="MT22" s="2299">
        <f t="shared" si="332"/>
        <v>0</v>
      </c>
      <c r="NP22" s="2259" t="s">
        <v>6421</v>
      </c>
    </row>
    <row r="23" spans="1:380" ht="14" customHeight="1">
      <c r="A23" s="110" t="str">
        <f t="shared" si="0"/>
        <v/>
      </c>
      <c r="B23" s="1424">
        <v>50</v>
      </c>
      <c r="C23" s="167">
        <v>2</v>
      </c>
      <c r="D23" s="2302">
        <v>2</v>
      </c>
      <c r="E23" s="168">
        <v>8</v>
      </c>
      <c r="F23" s="168">
        <v>1093</v>
      </c>
      <c r="G23" s="168">
        <v>963</v>
      </c>
      <c r="H23" s="168">
        <v>829</v>
      </c>
      <c r="I23" s="168">
        <v>0</v>
      </c>
      <c r="J23" s="959">
        <v>106</v>
      </c>
      <c r="K23" s="826" t="s">
        <v>6919</v>
      </c>
      <c r="L23" s="601">
        <f t="shared" si="1"/>
        <v>723</v>
      </c>
      <c r="M23" s="601">
        <f t="shared" si="2"/>
        <v>5784</v>
      </c>
      <c r="N23" s="890" t="s">
        <v>2654</v>
      </c>
      <c r="O23" s="2222" t="s">
        <v>6924</v>
      </c>
      <c r="P23" s="890" t="s">
        <v>2121</v>
      </c>
      <c r="Q23" s="169" t="s">
        <v>2654</v>
      </c>
      <c r="R23" s="940"/>
      <c r="S23" s="941"/>
      <c r="T23" s="3867"/>
      <c r="U23" s="3868"/>
      <c r="V23" s="3868"/>
      <c r="W23" s="3869"/>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f t="shared" si="20"/>
        <v>8</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f t="shared" si="60"/>
        <v>8</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f t="shared" si="135"/>
        <v>8744</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f t="shared" si="160"/>
        <v>8744</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8</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f t="shared" si="250"/>
        <v>8</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8</v>
      </c>
      <c r="MN23" s="2299">
        <f t="shared" si="336"/>
        <v>0</v>
      </c>
      <c r="MO23" s="2299">
        <f t="shared" si="337"/>
        <v>0</v>
      </c>
      <c r="MP23" s="2299">
        <f t="shared" si="328"/>
        <v>0</v>
      </c>
      <c r="MQ23" s="2299">
        <f t="shared" si="329"/>
        <v>0</v>
      </c>
      <c r="MR23" s="2299">
        <f t="shared" si="330"/>
        <v>0</v>
      </c>
      <c r="MS23" s="2299">
        <f t="shared" si="331"/>
        <v>0</v>
      </c>
      <c r="MT23" s="2299">
        <f t="shared" si="332"/>
        <v>0</v>
      </c>
      <c r="NP23" s="2259" t="s">
        <v>6422</v>
      </c>
    </row>
    <row r="24" spans="1:380" ht="14" customHeight="1">
      <c r="A24" s="110" t="str">
        <f t="shared" si="0"/>
        <v/>
      </c>
      <c r="B24" s="1424">
        <v>60</v>
      </c>
      <c r="C24" s="167">
        <v>2</v>
      </c>
      <c r="D24" s="2302">
        <v>2</v>
      </c>
      <c r="E24" s="168">
        <v>20</v>
      </c>
      <c r="F24" s="168">
        <v>1093</v>
      </c>
      <c r="G24" s="168">
        <v>963</v>
      </c>
      <c r="H24" s="168">
        <v>829</v>
      </c>
      <c r="I24" s="168">
        <v>0</v>
      </c>
      <c r="J24" s="959">
        <v>106</v>
      </c>
      <c r="K24" s="826" t="s">
        <v>6922</v>
      </c>
      <c r="L24" s="601">
        <f t="shared" si="1"/>
        <v>723</v>
      </c>
      <c r="M24" s="601">
        <f t="shared" si="2"/>
        <v>14460</v>
      </c>
      <c r="N24" s="890" t="s">
        <v>2654</v>
      </c>
      <c r="O24" s="2222" t="s">
        <v>6924</v>
      </c>
      <c r="P24" s="890" t="s">
        <v>2121</v>
      </c>
      <c r="Q24" s="169" t="s">
        <v>2654</v>
      </c>
      <c r="R24" s="940"/>
      <c r="S24" s="941"/>
      <c r="T24" s="3867"/>
      <c r="U24" s="3868"/>
      <c r="V24" s="3868"/>
      <c r="W24" s="3869"/>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f t="shared" si="15"/>
        <v>20</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f t="shared" si="65"/>
        <v>20</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f t="shared" si="130"/>
        <v>21860</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f t="shared" si="160"/>
        <v>21860</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f t="shared" si="170"/>
        <v>20</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f t="shared" si="250"/>
        <v>20</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20</v>
      </c>
      <c r="MN24" s="2299">
        <f t="shared" si="336"/>
        <v>0</v>
      </c>
      <c r="MO24" s="2299">
        <f t="shared" si="337"/>
        <v>0</v>
      </c>
      <c r="MP24" s="2299">
        <f t="shared" si="328"/>
        <v>0</v>
      </c>
      <c r="MQ24" s="2299">
        <f t="shared" si="329"/>
        <v>0</v>
      </c>
      <c r="MR24" s="2299">
        <f t="shared" si="330"/>
        <v>0</v>
      </c>
      <c r="MS24" s="2299">
        <f t="shared" si="331"/>
        <v>0</v>
      </c>
      <c r="MT24" s="2299">
        <f t="shared" si="332"/>
        <v>0</v>
      </c>
      <c r="NP24" s="2259" t="s">
        <v>6423</v>
      </c>
    </row>
    <row r="25" spans="1:380" ht="14"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7"/>
      <c r="U25" s="3868"/>
      <c r="V25" s="3868"/>
      <c r="W25" s="3869"/>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6424</v>
      </c>
    </row>
    <row r="26" spans="1:380" ht="14" customHeight="1">
      <c r="A26" s="110" t="str">
        <f t="shared" si="0"/>
        <v/>
      </c>
      <c r="B26" s="1424">
        <v>50</v>
      </c>
      <c r="C26" s="167">
        <v>3</v>
      </c>
      <c r="D26" s="2302">
        <v>2</v>
      </c>
      <c r="E26" s="168">
        <v>4</v>
      </c>
      <c r="F26" s="168">
        <v>1349</v>
      </c>
      <c r="G26" s="168">
        <v>1112</v>
      </c>
      <c r="H26" s="168">
        <v>1096</v>
      </c>
      <c r="I26" s="168">
        <v>0</v>
      </c>
      <c r="J26" s="959">
        <v>132</v>
      </c>
      <c r="K26" s="826" t="s">
        <v>6919</v>
      </c>
      <c r="L26" s="601">
        <f t="shared" si="1"/>
        <v>964</v>
      </c>
      <c r="M26" s="601">
        <f t="shared" si="2"/>
        <v>3856</v>
      </c>
      <c r="N26" s="890" t="s">
        <v>2654</v>
      </c>
      <c r="O26" s="2222" t="s">
        <v>6924</v>
      </c>
      <c r="P26" s="890" t="s">
        <v>2121</v>
      </c>
      <c r="Q26" s="169" t="s">
        <v>2654</v>
      </c>
      <c r="R26" s="940"/>
      <c r="S26" s="941"/>
      <c r="T26" s="3867"/>
      <c r="U26" s="3868"/>
      <c r="V26" s="3868"/>
      <c r="W26" s="3869"/>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f t="shared" si="21"/>
        <v>4</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f t="shared" si="61"/>
        <v>4</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f t="shared" si="136"/>
        <v>5396</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f t="shared" si="161"/>
        <v>5396</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f t="shared" si="171"/>
        <v>4</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f t="shared" si="251"/>
        <v>4</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4</v>
      </c>
      <c r="MO26" s="2299">
        <f t="shared" si="337"/>
        <v>0</v>
      </c>
      <c r="MP26" s="2299">
        <f t="shared" si="328"/>
        <v>0</v>
      </c>
      <c r="MQ26" s="2299">
        <f t="shared" si="329"/>
        <v>0</v>
      </c>
      <c r="MR26" s="2299">
        <f t="shared" si="330"/>
        <v>0</v>
      </c>
      <c r="MS26" s="2299">
        <f t="shared" si="331"/>
        <v>0</v>
      </c>
      <c r="MT26" s="2299">
        <f t="shared" si="332"/>
        <v>0</v>
      </c>
      <c r="NP26" s="2259" t="s">
        <v>6425</v>
      </c>
    </row>
    <row r="27" spans="1:380" ht="14" customHeight="1">
      <c r="A27" s="110" t="str">
        <f t="shared" si="0"/>
        <v/>
      </c>
      <c r="B27" s="1424">
        <v>60</v>
      </c>
      <c r="C27" s="167">
        <v>3</v>
      </c>
      <c r="D27" s="2302">
        <v>2</v>
      </c>
      <c r="E27" s="168">
        <v>5</v>
      </c>
      <c r="F27" s="168">
        <v>1349</v>
      </c>
      <c r="G27" s="168">
        <v>1112</v>
      </c>
      <c r="H27" s="168">
        <v>1096</v>
      </c>
      <c r="I27" s="168">
        <v>0</v>
      </c>
      <c r="J27" s="959">
        <v>132</v>
      </c>
      <c r="K27" s="826" t="s">
        <v>6919</v>
      </c>
      <c r="L27" s="601">
        <f t="shared" si="1"/>
        <v>964</v>
      </c>
      <c r="M27" s="601">
        <f t="shared" si="2"/>
        <v>4820</v>
      </c>
      <c r="N27" s="890" t="s">
        <v>2654</v>
      </c>
      <c r="O27" s="2222" t="s">
        <v>6924</v>
      </c>
      <c r="P27" s="890" t="s">
        <v>2121</v>
      </c>
      <c r="Q27" s="169" t="s">
        <v>2654</v>
      </c>
      <c r="R27" s="940"/>
      <c r="S27" s="941"/>
      <c r="T27" s="3867"/>
      <c r="U27" s="3868"/>
      <c r="V27" s="3868"/>
      <c r="W27" s="3869"/>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f t="shared" si="16"/>
        <v>5</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f t="shared" si="66"/>
        <v>5</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f t="shared" si="131"/>
        <v>6745</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f t="shared" si="161"/>
        <v>6745</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f t="shared" si="171"/>
        <v>5</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f t="shared" si="251"/>
        <v>5</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5</v>
      </c>
      <c r="MO27" s="2299">
        <f t="shared" si="337"/>
        <v>0</v>
      </c>
      <c r="MP27" s="2299">
        <f t="shared" si="328"/>
        <v>0</v>
      </c>
      <c r="MQ27" s="2299">
        <f t="shared" si="329"/>
        <v>0</v>
      </c>
      <c r="MR27" s="2299">
        <f t="shared" si="330"/>
        <v>0</v>
      </c>
      <c r="MS27" s="2299">
        <f t="shared" si="331"/>
        <v>0</v>
      </c>
      <c r="MT27" s="2299">
        <f t="shared" si="332"/>
        <v>0</v>
      </c>
      <c r="NP27" s="2259" t="s">
        <v>6426</v>
      </c>
    </row>
    <row r="28" spans="1:380" ht="14"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7"/>
      <c r="U28" s="3868"/>
      <c r="V28" s="3868"/>
      <c r="W28" s="3869"/>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6427</v>
      </c>
    </row>
    <row r="29" spans="1:380" ht="14"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7"/>
      <c r="U29" s="3868"/>
      <c r="V29" s="3868"/>
      <c r="W29" s="3869"/>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6428</v>
      </c>
    </row>
    <row r="30" spans="1:380" ht="14"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7"/>
      <c r="U30" s="3868"/>
      <c r="V30" s="3868"/>
      <c r="W30" s="3869"/>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6429</v>
      </c>
    </row>
    <row r="31" spans="1:380" ht="14"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7"/>
      <c r="U31" s="3868"/>
      <c r="V31" s="3868"/>
      <c r="W31" s="3869"/>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6430</v>
      </c>
    </row>
    <row r="32" spans="1:380" ht="14"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7"/>
      <c r="U32" s="3868"/>
      <c r="V32" s="3868"/>
      <c r="W32" s="3869"/>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6431</v>
      </c>
    </row>
    <row r="33" spans="1:380" ht="14"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7"/>
      <c r="U33" s="3868"/>
      <c r="V33" s="3868"/>
      <c r="W33" s="3869"/>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6432</v>
      </c>
    </row>
    <row r="34" spans="1:380" ht="14"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7"/>
      <c r="U34" s="3868"/>
      <c r="V34" s="3868"/>
      <c r="W34" s="3869"/>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6433</v>
      </c>
    </row>
    <row r="35" spans="1:380" ht="14"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7"/>
      <c r="U35" s="3868"/>
      <c r="V35" s="3868"/>
      <c r="W35" s="3869"/>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6434</v>
      </c>
    </row>
    <row r="36" spans="1:380" ht="14"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7"/>
      <c r="U36" s="3868"/>
      <c r="V36" s="3868"/>
      <c r="W36" s="3869"/>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6435</v>
      </c>
    </row>
    <row r="37" spans="1:380" ht="14"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7"/>
      <c r="U37" s="3868"/>
      <c r="V37" s="3868"/>
      <c r="W37" s="3869"/>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6436</v>
      </c>
    </row>
    <row r="38" spans="1:380" ht="14"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7"/>
      <c r="U38" s="3868"/>
      <c r="V38" s="3868"/>
      <c r="W38" s="3869"/>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6437</v>
      </c>
    </row>
    <row r="39" spans="1:380" ht="14"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7"/>
      <c r="U39" s="3868"/>
      <c r="V39" s="3868"/>
      <c r="W39" s="3869"/>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6438</v>
      </c>
    </row>
    <row r="40" spans="1:380" ht="14"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7"/>
      <c r="U40" s="3868"/>
      <c r="V40" s="3868"/>
      <c r="W40" s="3869"/>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6439</v>
      </c>
    </row>
    <row r="41" spans="1:380" ht="14"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7"/>
      <c r="U41" s="3868"/>
      <c r="V41" s="3868"/>
      <c r="W41" s="3869"/>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6440</v>
      </c>
    </row>
    <row r="42" spans="1:380" ht="14"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7"/>
      <c r="U42" s="3868"/>
      <c r="V42" s="3868"/>
      <c r="W42" s="3869"/>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6441</v>
      </c>
    </row>
    <row r="43" spans="1:380" ht="14"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7"/>
      <c r="U43" s="3868"/>
      <c r="V43" s="3868"/>
      <c r="W43" s="3869"/>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6442</v>
      </c>
    </row>
    <row r="44" spans="1:380" ht="14"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7"/>
      <c r="U44" s="3868"/>
      <c r="V44" s="3868"/>
      <c r="W44" s="3869"/>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6443</v>
      </c>
    </row>
    <row r="45" spans="1:380" ht="14"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7"/>
      <c r="U45" s="3868"/>
      <c r="V45" s="3868"/>
      <c r="W45" s="3869"/>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6444</v>
      </c>
    </row>
    <row r="46" spans="1:380" ht="14"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7"/>
      <c r="U46" s="3868"/>
      <c r="V46" s="3868"/>
      <c r="W46" s="3869"/>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6445</v>
      </c>
    </row>
    <row r="47" spans="1:380" ht="14"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7"/>
      <c r="U47" s="3868"/>
      <c r="V47" s="3868"/>
      <c r="W47" s="3869"/>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6446</v>
      </c>
    </row>
    <row r="48" spans="1:380" ht="14"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6447</v>
      </c>
    </row>
    <row r="49" spans="1:381" s="148" customFormat="1" ht="14" customHeight="1">
      <c r="A49" s="1826">
        <f>COUNT(A11,A12,A13,A14,A15,A16,A17,A18,A19,A20,A21,A22,A23,A24,A25,A26,A27,A28,A29,A30,A31,A32,A33,A34,A35,A36,A37,A38,A39,A40)</f>
        <v>0</v>
      </c>
      <c r="B49" s="3945" t="s">
        <v>3769</v>
      </c>
      <c r="C49" s="3946"/>
      <c r="D49" s="139" t="s">
        <v>955</v>
      </c>
      <c r="E49" s="1418">
        <f>SUM(E11:E48)</f>
        <v>52</v>
      </c>
      <c r="F49" s="1416">
        <f>(E11*F11+E12*F12+E13*F13+E14*F14+E15*F15+E16*F16+E17*F17+E18*F18+E19*F19+E20*F20+E21*F21+E22*F22+E23*F23+E24*F24+E25*F25+E26*F26+E27*F27+E28*F28+E29*F29+E30*F30+E31*F31+E32*F32+E33*F33+E34*F34+E35*F35+E36*F36+E37*F37+E38*F38+E39*F39+E40*F40+E41*F41+E42*F42+E43*F43+E44*F44+E45*F45+E46*F46+E47*F47+E48*F48)</f>
        <v>54385</v>
      </c>
      <c r="H49" s="3879" t="s">
        <v>3766</v>
      </c>
      <c r="I49" s="1419" t="s">
        <v>3767</v>
      </c>
      <c r="J49" s="1420" t="str">
        <f>IF(P67=0,"",IF(SUM(P58:P62)/P67&gt;=0.4,"Pass","Fail"))</f>
        <v>Pass</v>
      </c>
      <c r="K49" s="585"/>
      <c r="L49" s="894" t="s">
        <v>1226</v>
      </c>
      <c r="M49" s="124">
        <f>SUM(M11:M48)</f>
        <v>37620</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7</v>
      </c>
      <c r="AJ49" s="2300">
        <f t="shared" si="339"/>
        <v>20</v>
      </c>
      <c r="AK49" s="2300">
        <f t="shared" si="339"/>
        <v>5</v>
      </c>
      <c r="AL49" s="2300">
        <f t="shared" si="339"/>
        <v>0</v>
      </c>
      <c r="AM49" s="2300">
        <f>SUM(AM11:AM48)</f>
        <v>0</v>
      </c>
      <c r="AN49" s="2300">
        <f>SUM(AN11:AN48)</f>
        <v>8</v>
      </c>
      <c r="AO49" s="2300">
        <f>SUM(AO11:AO48)</f>
        <v>8</v>
      </c>
      <c r="AP49" s="2300">
        <f>SUM(AP11:AP48)</f>
        <v>4</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8</v>
      </c>
      <c r="CC49" s="2300">
        <f t="shared" si="338"/>
        <v>8</v>
      </c>
      <c r="CD49" s="2300">
        <f t="shared" si="338"/>
        <v>4</v>
      </c>
      <c r="CE49" s="2300">
        <f t="shared" si="338"/>
        <v>0</v>
      </c>
      <c r="CF49" s="2300">
        <f t="shared" si="338"/>
        <v>0</v>
      </c>
      <c r="CG49" s="2300">
        <f t="shared" si="338"/>
        <v>7</v>
      </c>
      <c r="CH49" s="2300">
        <f t="shared" si="338"/>
        <v>20</v>
      </c>
      <c r="CI49" s="2300">
        <f t="shared" si="338"/>
        <v>5</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5432</v>
      </c>
      <c r="EU49" s="2300">
        <f t="shared" si="342"/>
        <v>21860</v>
      </c>
      <c r="EV49" s="2300">
        <f t="shared" si="342"/>
        <v>6745</v>
      </c>
      <c r="EW49" s="2300">
        <f t="shared" si="342"/>
        <v>0</v>
      </c>
      <c r="EX49" s="2300">
        <f t="shared" si="338"/>
        <v>0</v>
      </c>
      <c r="EY49" s="2300">
        <f t="shared" si="338"/>
        <v>6208</v>
      </c>
      <c r="EZ49" s="2300">
        <f t="shared" si="338"/>
        <v>8744</v>
      </c>
      <c r="FA49" s="2300">
        <f t="shared" si="338"/>
        <v>5396</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11640</v>
      </c>
      <c r="FY49" s="2300">
        <f t="shared" si="343"/>
        <v>30604</v>
      </c>
      <c r="FZ49" s="2300">
        <f t="shared" si="343"/>
        <v>12141</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15</v>
      </c>
      <c r="GI49" s="2300">
        <f t="shared" si="343"/>
        <v>28</v>
      </c>
      <c r="GJ49" s="2300">
        <f t="shared" si="343"/>
        <v>9</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0</v>
      </c>
      <c r="IB49" s="2300">
        <f t="shared" si="344"/>
        <v>0</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15</v>
      </c>
      <c r="JK49" s="2300">
        <f t="shared" si="344"/>
        <v>28</v>
      </c>
      <c r="JL49" s="2300">
        <f t="shared" si="344"/>
        <v>9</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15</v>
      </c>
      <c r="MM49" s="2300">
        <f t="shared" si="350"/>
        <v>28</v>
      </c>
      <c r="MN49" s="2300">
        <f t="shared" si="350"/>
        <v>9</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6448</v>
      </c>
      <c r="NQ49" s="469"/>
    </row>
    <row r="50" spans="1:381" s="148" customFormat="1" ht="14" customHeight="1">
      <c r="B50" s="3949">
        <f>IF(SUM(E18:E48)=0,"",(B18*E18+B19*E19+B20*E20+B21*E21+B22*E22+B23*E23+B24*E24+B25*E25+B26*E26+B27*E27+B28*E28+B29*E29+B30*E30+B31*E31+B32*E32+B33*E33+B34*E34+B35*E35+B36*E36+B37*E37+B38*E38+B39*E39+B40*E40+B41*E41+B42*E42+B43*E43+B44*E44+B45*E45+B46*E46+B47*E47+B48*E48)/SUM(E18:E48))</f>
        <v>56.153846153846153</v>
      </c>
      <c r="C50" s="3950"/>
      <c r="D50" s="1383" t="s">
        <v>3676</v>
      </c>
      <c r="E50" s="1415">
        <f>SUM(E18:E48)</f>
        <v>52</v>
      </c>
      <c r="F50" s="1417">
        <f>(E18*F18+E19*F19+E20*F20+E21*F21+E22*F22+E23*F23+E24*F24+E25*F25+E26*F26+E27*F27+E28*F28+E29*F29+E30*F30+E31*F31+E32*F32+E33*F33+E34*F34+E35*F35+E36*F36+E37*F37+E38*F38+E39*F39+E40*F40+E41*F41+E42*F42+E43*F43+E44*F44+E45*F45+E46*F46+E47*F47+E48*F48)</f>
        <v>54385</v>
      </c>
      <c r="H50" s="3880"/>
      <c r="I50" s="1421" t="s">
        <v>3768</v>
      </c>
      <c r="J50" s="1422" t="str">
        <f>IF(P67=0,"",IF(SUM(P59:P62)/P67&gt;=0.2,"Pass","Fail"))</f>
        <v>Pass</v>
      </c>
      <c r="K50" s="585"/>
      <c r="L50" s="139" t="s">
        <v>757</v>
      </c>
      <c r="M50" s="124">
        <f>M49*12</f>
        <v>451440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6449</v>
      </c>
      <c r="NQ50" s="469"/>
    </row>
    <row r="51" spans="1:381" ht="12" customHeight="1">
      <c r="A51" s="3976" t="s">
        <v>2409</v>
      </c>
      <c r="B51" s="3977"/>
      <c r="C51" s="3977"/>
      <c r="D51" s="3977"/>
      <c r="E51" s="3977"/>
      <c r="F51" s="3977"/>
      <c r="G51" s="3977"/>
      <c r="H51" s="3977"/>
      <c r="I51" s="3977"/>
      <c r="J51" s="3977"/>
      <c r="K51" s="3977"/>
      <c r="L51" s="3977"/>
      <c r="M51" s="3977"/>
      <c r="N51" s="3977"/>
      <c r="O51" s="3977"/>
      <c r="P51" s="3977"/>
      <c r="Q51" s="3977"/>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7"/>
      <c r="B52" s="3977"/>
      <c r="C52" s="3977"/>
      <c r="D52" s="3977"/>
      <c r="E52" s="3977"/>
      <c r="F52" s="3977"/>
      <c r="G52" s="3977"/>
      <c r="H52" s="3977"/>
      <c r="I52" s="3977"/>
      <c r="J52" s="3977"/>
      <c r="K52" s="3977"/>
      <c r="L52" s="3977"/>
      <c r="M52" s="3977"/>
      <c r="N52" s="3977"/>
      <c r="O52" s="3977"/>
      <c r="P52" s="3977"/>
      <c r="Q52" s="3977"/>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5" customHeight="1">
      <c r="A53" s="13" t="s">
        <v>689</v>
      </c>
      <c r="B53" s="13" t="s">
        <v>499</v>
      </c>
      <c r="K53" s="2539" t="s">
        <v>6649</v>
      </c>
      <c r="O53" s="3951" t="s">
        <v>6925</v>
      </c>
      <c r="P53" s="3952"/>
      <c r="S53" s="3947" t="str">
        <f>B53</f>
        <v>UNIT SUMMARY</v>
      </c>
      <c r="T53" s="3947"/>
      <c r="U53" s="3947"/>
      <c r="V53" s="3947"/>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881" t="s">
        <v>6926</v>
      </c>
      <c r="P54" s="3882"/>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5" customHeight="1">
      <c r="A55" s="13"/>
      <c r="B55" s="13" t="s">
        <v>6496</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1" t="s">
        <v>4078</v>
      </c>
      <c r="B56" s="3861"/>
      <c r="C56" s="94" t="s">
        <v>1070</v>
      </c>
      <c r="D56" s="1"/>
      <c r="E56" s="1"/>
      <c r="F56" s="1"/>
      <c r="G56" s="83"/>
      <c r="H56" s="111" t="s">
        <v>3677</v>
      </c>
      <c r="I56" s="36"/>
      <c r="J56" s="83"/>
      <c r="K56" s="1429">
        <f>X49</f>
        <v>0</v>
      </c>
      <c r="L56" s="1430">
        <f>Y49</f>
        <v>0</v>
      </c>
      <c r="M56" s="1430">
        <f>Z49</f>
        <v>0</v>
      </c>
      <c r="N56" s="1430">
        <f>AA49</f>
        <v>0</v>
      </c>
      <c r="O56" s="1431">
        <f>AB49</f>
        <v>0</v>
      </c>
      <c r="P56" s="950">
        <f t="shared" ref="P56:P67" si="351">SUM(K56:O56)</f>
        <v>0</v>
      </c>
      <c r="Q56" s="3974" t="s">
        <v>3187</v>
      </c>
      <c r="R56" s="1156"/>
      <c r="S56" s="3893"/>
      <c r="T56" s="3894"/>
      <c r="U56" s="3894"/>
      <c r="V56" s="3894"/>
      <c r="W56" s="3895"/>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1"/>
      <c r="B57" s="3861"/>
      <c r="C57" s="94"/>
      <c r="D57" s="1"/>
      <c r="E57" s="1"/>
      <c r="F57" s="1"/>
      <c r="G57" s="83"/>
      <c r="H57" s="111" t="s">
        <v>3678</v>
      </c>
      <c r="I57" s="36"/>
      <c r="J57" s="83"/>
      <c r="K57" s="1432">
        <f>AC49</f>
        <v>0</v>
      </c>
      <c r="L57" s="1433">
        <f>AD49</f>
        <v>0</v>
      </c>
      <c r="M57" s="1433">
        <f>AE49</f>
        <v>0</v>
      </c>
      <c r="N57" s="1433">
        <f>AF49</f>
        <v>0</v>
      </c>
      <c r="O57" s="1434">
        <f>AG49</f>
        <v>0</v>
      </c>
      <c r="P57" s="946">
        <f t="shared" si="351"/>
        <v>0</v>
      </c>
      <c r="Q57" s="3974"/>
      <c r="R57" s="1384"/>
      <c r="S57" s="3867"/>
      <c r="T57" s="3868"/>
      <c r="U57" s="3868"/>
      <c r="V57" s="3868"/>
      <c r="W57" s="3869"/>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1"/>
      <c r="B58" s="3861"/>
      <c r="C58" s="94"/>
      <c r="D58" s="1"/>
      <c r="E58" s="1"/>
      <c r="F58" s="1"/>
      <c r="G58" s="83"/>
      <c r="H58" s="111" t="s">
        <v>1082</v>
      </c>
      <c r="I58" s="36"/>
      <c r="J58" s="83"/>
      <c r="K58" s="1432">
        <f>AH49</f>
        <v>0</v>
      </c>
      <c r="L58" s="1433">
        <f>AI49</f>
        <v>7</v>
      </c>
      <c r="M58" s="1433">
        <f>AJ49</f>
        <v>20</v>
      </c>
      <c r="N58" s="1433">
        <f>AK49</f>
        <v>5</v>
      </c>
      <c r="O58" s="1434">
        <f>AL49</f>
        <v>0</v>
      </c>
      <c r="P58" s="946">
        <f t="shared" si="351"/>
        <v>32</v>
      </c>
      <c r="Q58" s="3974"/>
      <c r="R58" s="1384"/>
      <c r="S58" s="3867"/>
      <c r="T58" s="3868"/>
      <c r="U58" s="3868"/>
      <c r="V58" s="3868"/>
      <c r="W58" s="3869"/>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1"/>
      <c r="B59" s="3861"/>
      <c r="C59" s="94"/>
      <c r="D59" s="1"/>
      <c r="E59" s="1"/>
      <c r="F59" s="1"/>
      <c r="G59" s="83"/>
      <c r="H59" s="104" t="s">
        <v>112</v>
      </c>
      <c r="I59" s="52"/>
      <c r="J59" s="1169"/>
      <c r="K59" s="1453">
        <f>AM49</f>
        <v>0</v>
      </c>
      <c r="L59" s="1454">
        <f>AN49</f>
        <v>8</v>
      </c>
      <c r="M59" s="1454">
        <f>AO49</f>
        <v>8</v>
      </c>
      <c r="N59" s="1454">
        <f>AP49</f>
        <v>4</v>
      </c>
      <c r="O59" s="1455">
        <f>AQ49</f>
        <v>0</v>
      </c>
      <c r="P59" s="606">
        <f t="shared" si="351"/>
        <v>20</v>
      </c>
      <c r="Q59" s="3974"/>
      <c r="R59" s="1384"/>
      <c r="S59" s="3867"/>
      <c r="T59" s="3868"/>
      <c r="U59" s="3868"/>
      <c r="V59" s="3868"/>
      <c r="W59" s="3869"/>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1"/>
      <c r="B60" s="3861"/>
      <c r="C60" s="94"/>
      <c r="D60" s="1"/>
      <c r="E60" s="1"/>
      <c r="F60" s="1"/>
      <c r="G60" s="83"/>
      <c r="H60" s="104" t="s">
        <v>3679</v>
      </c>
      <c r="I60" s="52"/>
      <c r="J60" s="1169"/>
      <c r="K60" s="1432">
        <f>AR49</f>
        <v>0</v>
      </c>
      <c r="L60" s="1433">
        <f>AS49</f>
        <v>0</v>
      </c>
      <c r="M60" s="1433">
        <f>AT49</f>
        <v>0</v>
      </c>
      <c r="N60" s="1433">
        <f>AU49</f>
        <v>0</v>
      </c>
      <c r="O60" s="1434">
        <f>AV49</f>
        <v>0</v>
      </c>
      <c r="P60" s="946">
        <f t="shared" si="351"/>
        <v>0</v>
      </c>
      <c r="Q60" s="3974"/>
      <c r="R60" s="1384"/>
      <c r="S60" s="3867"/>
      <c r="T60" s="3868"/>
      <c r="U60" s="3868"/>
      <c r="V60" s="3868"/>
      <c r="W60" s="3869"/>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1"/>
      <c r="B61" s="3861"/>
      <c r="C61" s="94"/>
      <c r="D61" s="1"/>
      <c r="E61" s="1"/>
      <c r="F61" s="1"/>
      <c r="G61" s="83"/>
      <c r="H61" s="111" t="s">
        <v>3680</v>
      </c>
      <c r="I61" s="36"/>
      <c r="J61" s="83"/>
      <c r="K61" s="1432">
        <f>AW49</f>
        <v>0</v>
      </c>
      <c r="L61" s="1433">
        <f>AX49</f>
        <v>0</v>
      </c>
      <c r="M61" s="1433">
        <f>AY49</f>
        <v>0</v>
      </c>
      <c r="N61" s="1433">
        <f>AZ49</f>
        <v>0</v>
      </c>
      <c r="O61" s="1434">
        <f>BA49</f>
        <v>0</v>
      </c>
      <c r="P61" s="946">
        <f t="shared" si="351"/>
        <v>0</v>
      </c>
      <c r="Q61" s="3974"/>
      <c r="R61" s="1384"/>
      <c r="S61" s="3867"/>
      <c r="T61" s="3868"/>
      <c r="U61" s="3868"/>
      <c r="V61" s="3868"/>
      <c r="W61" s="3869"/>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1"/>
      <c r="B62" s="3861"/>
      <c r="C62" s="4"/>
      <c r="D62" s="1"/>
      <c r="E62" s="1"/>
      <c r="F62" s="1"/>
      <c r="G62" s="83"/>
      <c r="H62" s="111" t="s">
        <v>3681</v>
      </c>
      <c r="I62" s="36"/>
      <c r="J62" s="83"/>
      <c r="K62" s="1435">
        <f>BB49</f>
        <v>0</v>
      </c>
      <c r="L62" s="1436">
        <f>BC49</f>
        <v>0</v>
      </c>
      <c r="M62" s="1436">
        <f>BD49</f>
        <v>0</v>
      </c>
      <c r="N62" s="1436">
        <f>BE49</f>
        <v>0</v>
      </c>
      <c r="O62" s="1437">
        <f>BF49</f>
        <v>0</v>
      </c>
      <c r="P62" s="606">
        <f t="shared" si="351"/>
        <v>0</v>
      </c>
      <c r="Q62" s="3974"/>
      <c r="R62" s="1156"/>
      <c r="S62" s="3867"/>
      <c r="T62" s="3868"/>
      <c r="U62" s="3868"/>
      <c r="V62" s="3868"/>
      <c r="W62" s="3869"/>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1"/>
      <c r="B63" s="3861"/>
      <c r="C63" s="111" t="s">
        <v>3763</v>
      </c>
      <c r="D63" s="1"/>
      <c r="E63" s="1"/>
      <c r="F63" s="1"/>
      <c r="G63" s="83"/>
      <c r="H63" s="90"/>
      <c r="I63" s="55"/>
      <c r="J63" s="83"/>
      <c r="K63" s="1397">
        <f>SUM(K56:K62)</f>
        <v>0</v>
      </c>
      <c r="L63" s="1397">
        <f>SUM(L56:L62)</f>
        <v>15</v>
      </c>
      <c r="M63" s="1397">
        <f>SUM(M56:M62)</f>
        <v>28</v>
      </c>
      <c r="N63" s="1397">
        <f>SUM(N56:N62)</f>
        <v>9</v>
      </c>
      <c r="O63" s="1397">
        <f>SUM(O56:O62)</f>
        <v>0</v>
      </c>
      <c r="P63" s="1397">
        <f t="shared" si="351"/>
        <v>52</v>
      </c>
      <c r="Q63" s="3975"/>
      <c r="S63" s="3867"/>
      <c r="T63" s="3868"/>
      <c r="U63" s="3868"/>
      <c r="V63" s="3868"/>
      <c r="W63" s="3869"/>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1"/>
      <c r="B64" s="3861"/>
      <c r="D64" s="1"/>
      <c r="E64" s="1"/>
      <c r="F64" s="1"/>
      <c r="G64" s="83"/>
      <c r="H64" s="111" t="s">
        <v>290</v>
      </c>
      <c r="I64" s="36"/>
      <c r="J64" s="83"/>
      <c r="K64" s="947">
        <f>BG49</f>
        <v>0</v>
      </c>
      <c r="L64" s="947">
        <f>BH49</f>
        <v>0</v>
      </c>
      <c r="M64" s="947">
        <f>BI49</f>
        <v>0</v>
      </c>
      <c r="N64" s="947">
        <f>BJ49</f>
        <v>0</v>
      </c>
      <c r="O64" s="947">
        <f>BK49</f>
        <v>0</v>
      </c>
      <c r="P64" s="947">
        <f t="shared" si="351"/>
        <v>0</v>
      </c>
      <c r="S64" s="3867"/>
      <c r="T64" s="3868"/>
      <c r="U64" s="3868"/>
      <c r="V64" s="3868"/>
      <c r="W64" s="3869"/>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1"/>
      <c r="B65" s="3861"/>
      <c r="C65" s="1402" t="s">
        <v>1071</v>
      </c>
      <c r="D65" s="1402"/>
      <c r="E65" s="1402"/>
      <c r="F65" s="1402"/>
      <c r="G65" s="1403"/>
      <c r="H65" s="1834"/>
      <c r="I65" s="49"/>
      <c r="J65" s="1403"/>
      <c r="K65" s="1404">
        <f>SUM(K63:K64)</f>
        <v>0</v>
      </c>
      <c r="L65" s="1404">
        <f>SUM(L63:L64)</f>
        <v>15</v>
      </c>
      <c r="M65" s="1404">
        <f>SUM(M63:M64)</f>
        <v>28</v>
      </c>
      <c r="N65" s="1404">
        <f>SUM(N63:N64)</f>
        <v>9</v>
      </c>
      <c r="O65" s="1404">
        <f>SUM(O63:O64)</f>
        <v>0</v>
      </c>
      <c r="P65" s="1404">
        <f t="shared" si="351"/>
        <v>52</v>
      </c>
      <c r="S65" s="3867"/>
      <c r="T65" s="3868"/>
      <c r="U65" s="3868"/>
      <c r="V65" s="3868"/>
      <c r="W65" s="3869"/>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1"/>
      <c r="B66" s="3861"/>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7"/>
      <c r="T66" s="3868"/>
      <c r="U66" s="3868"/>
      <c r="V66" s="3868"/>
      <c r="W66" s="3869"/>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1"/>
      <c r="B67" s="3861"/>
      <c r="C67" s="4" t="s">
        <v>1668</v>
      </c>
      <c r="D67" s="1"/>
      <c r="E67" s="1"/>
      <c r="F67" s="1"/>
      <c r="G67" s="83"/>
      <c r="H67" s="111"/>
      <c r="I67" s="36"/>
      <c r="J67" s="83"/>
      <c r="K67" s="1396">
        <f>SUM(K65:K66)</f>
        <v>0</v>
      </c>
      <c r="L67" s="1396">
        <f>SUM(L65:L66)</f>
        <v>15</v>
      </c>
      <c r="M67" s="1396">
        <f>SUM(M65:M66)</f>
        <v>28</v>
      </c>
      <c r="N67" s="1396">
        <f>SUM(N65:N66)</f>
        <v>9</v>
      </c>
      <c r="O67" s="1396">
        <f>SUM(O65:O66)</f>
        <v>0</v>
      </c>
      <c r="P67" s="1396">
        <f t="shared" si="351"/>
        <v>52</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25" customHeight="1">
      <c r="A68" s="3861"/>
      <c r="B68" s="386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1"/>
      <c r="B69" s="3861"/>
      <c r="C69" s="3944" t="s">
        <v>3772</v>
      </c>
      <c r="D69" s="3944"/>
      <c r="E69" s="3944"/>
      <c r="F69" s="3944"/>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25" customHeight="1">
      <c r="A70" s="3861"/>
      <c r="B70" s="3861"/>
      <c r="C70" s="3944"/>
      <c r="D70" s="3944"/>
      <c r="E70" s="3944"/>
      <c r="F70" s="3944"/>
      <c r="G70" s="8"/>
      <c r="H70" s="1836" t="s">
        <v>3677</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4072</v>
      </c>
      <c r="S70" s="3893"/>
      <c r="T70" s="3894"/>
      <c r="U70" s="3894"/>
      <c r="V70" s="3894"/>
      <c r="W70" s="3895"/>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1"/>
      <c r="B71" s="3861"/>
      <c r="C71" s="1789"/>
      <c r="D71" s="8"/>
      <c r="E71" s="8"/>
      <c r="F71" s="8"/>
      <c r="G71" s="8"/>
      <c r="H71" s="1836" t="s">
        <v>6489</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7"/>
      <c r="T71" s="3868"/>
      <c r="U71" s="3868"/>
      <c r="V71" s="3868"/>
      <c r="W71" s="3869"/>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1"/>
      <c r="B72" s="3861"/>
      <c r="C72" s="1789"/>
      <c r="D72" s="8"/>
      <c r="E72" s="8"/>
      <c r="F72" s="8"/>
      <c r="G72" s="1914"/>
      <c r="H72" s="1837" t="s">
        <v>6490</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7"/>
      <c r="T72" s="3868"/>
      <c r="U72" s="3868"/>
      <c r="V72" s="3868"/>
      <c r="W72" s="3869"/>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1"/>
      <c r="B73" s="3861"/>
      <c r="C73" s="1789"/>
      <c r="D73" s="3978" t="s">
        <v>4071</v>
      </c>
      <c r="E73" s="3978"/>
      <c r="F73" s="3978"/>
      <c r="G73" s="8"/>
      <c r="H73" s="1836" t="s">
        <v>3678</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7"/>
      <c r="T73" s="3868"/>
      <c r="U73" s="3868"/>
      <c r="V73" s="3868"/>
      <c r="W73" s="3869"/>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78"/>
      <c r="E74" s="3978"/>
      <c r="F74" s="3978"/>
      <c r="G74" s="8"/>
      <c r="H74" s="1836" t="s">
        <v>6489</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7"/>
      <c r="T74" s="3868"/>
      <c r="U74" s="3868"/>
      <c r="V74" s="3868"/>
      <c r="W74" s="3869"/>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78"/>
      <c r="E75" s="3978"/>
      <c r="F75" s="3978"/>
      <c r="G75" s="1914"/>
      <c r="H75" s="1837" t="s">
        <v>6490</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7"/>
      <c r="T75" s="3868"/>
      <c r="U75" s="3868"/>
      <c r="V75" s="3868"/>
      <c r="W75" s="3869"/>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ht="14">
      <c r="B76" s="1629"/>
      <c r="C76" s="1787" t="s">
        <v>4070</v>
      </c>
      <c r="D76" s="3978"/>
      <c r="E76" s="3978"/>
      <c r="F76" s="3978"/>
      <c r="G76" s="8"/>
      <c r="H76" s="1836" t="s">
        <v>1082</v>
      </c>
      <c r="I76" s="1790"/>
      <c r="J76" s="1"/>
      <c r="K76" s="1830" t="str">
        <f t="shared" ref="K76:P76" si="356">IF(OR(K58=0,K67=0),"",K58/K67)</f>
        <v/>
      </c>
      <c r="L76" s="1831">
        <f t="shared" si="356"/>
        <v>0.46666666666666667</v>
      </c>
      <c r="M76" s="1831">
        <f t="shared" si="356"/>
        <v>0.7142857142857143</v>
      </c>
      <c r="N76" s="1831">
        <f t="shared" si="356"/>
        <v>0.55555555555555558</v>
      </c>
      <c r="O76" s="1831" t="str">
        <f t="shared" si="356"/>
        <v/>
      </c>
      <c r="P76" s="1832">
        <f t="shared" si="356"/>
        <v>0.61538461538461542</v>
      </c>
      <c r="S76" s="3867"/>
      <c r="T76" s="3868"/>
      <c r="U76" s="3868"/>
      <c r="V76" s="3868"/>
      <c r="W76" s="3869"/>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8"/>
      <c r="E77" s="3978"/>
      <c r="F77" s="3978"/>
      <c r="G77" s="8"/>
      <c r="H77" s="1836" t="s">
        <v>6489</v>
      </c>
      <c r="I77" s="1790"/>
      <c r="J77" s="1"/>
      <c r="K77" s="1921" t="str">
        <f>IF(OR(K58=0,P76="",K67=0),"",P76*K67)</f>
        <v/>
      </c>
      <c r="L77" s="1921">
        <f>IF(OR(L58=0,P76="",L67=0),"",P76*L67)</f>
        <v>9.2307692307692317</v>
      </c>
      <c r="M77" s="1921">
        <f>IF(OR(M58=0,P76="",M67=0),"",P76*M67)</f>
        <v>17.230769230769234</v>
      </c>
      <c r="N77" s="1921">
        <f>IF(OR(N58=0,P76="",N67=0),"",P76*N67)</f>
        <v>5.5384615384615383</v>
      </c>
      <c r="O77" s="1921" t="str">
        <f>IF(OR(O58=0,P76="",O67=0),"",P76*O67)</f>
        <v/>
      </c>
      <c r="P77" s="1922">
        <f>IF(OR(P76="",P67=0),"",P76*P67)</f>
        <v>32</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8"/>
      <c r="E78" s="3978"/>
      <c r="F78" s="3978"/>
      <c r="G78" s="1914"/>
      <c r="H78" s="1837" t="s">
        <v>6490</v>
      </c>
      <c r="I78" s="1792"/>
      <c r="J78" s="1"/>
      <c r="K78" s="1923" t="str">
        <f t="shared" ref="K78:P78" si="357">IF(OR(K77="",K58=0),"", K58-K77)</f>
        <v/>
      </c>
      <c r="L78" s="1923">
        <f t="shared" si="357"/>
        <v>-2.2307692307692317</v>
      </c>
      <c r="M78" s="1923">
        <f t="shared" si="357"/>
        <v>2.7692307692307665</v>
      </c>
      <c r="N78" s="1923">
        <f t="shared" si="357"/>
        <v>-0.53846153846153832</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ht="14">
      <c r="B79" s="1629"/>
      <c r="C79" s="1787" t="s">
        <v>4070</v>
      </c>
      <c r="D79" s="1786"/>
      <c r="E79" s="1786"/>
      <c r="F79" s="8"/>
      <c r="G79" s="8"/>
      <c r="H79" s="1836" t="s">
        <v>112</v>
      </c>
      <c r="I79" s="1790"/>
      <c r="J79" s="1"/>
      <c r="K79" s="1830" t="str">
        <f t="shared" ref="K79:P79" si="358">IF(OR(K59=0,K67=0),"",K59/K67)</f>
        <v/>
      </c>
      <c r="L79" s="1831">
        <f t="shared" si="358"/>
        <v>0.53333333333333333</v>
      </c>
      <c r="M79" s="1831">
        <f t="shared" si="358"/>
        <v>0.2857142857142857</v>
      </c>
      <c r="N79" s="1831">
        <f t="shared" si="358"/>
        <v>0.44444444444444442</v>
      </c>
      <c r="O79" s="1831" t="str">
        <f t="shared" si="358"/>
        <v/>
      </c>
      <c r="P79" s="1832">
        <f t="shared" si="358"/>
        <v>0.38461538461538464</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6489</v>
      </c>
      <c r="I80" s="1790"/>
      <c r="J80" s="1"/>
      <c r="K80" s="1921" t="str">
        <f>IF(OR(K59=0,P79="",K67=0),"",P79*K67)</f>
        <v/>
      </c>
      <c r="L80" s="1921">
        <f>IF(OR(L59=0,P79="",L67=0),"",P79*L67)</f>
        <v>5.7692307692307692</v>
      </c>
      <c r="M80" s="1921">
        <f>IF(OR(M59=0,P79="",M67=0),"",P79*M67)</f>
        <v>10.76923076923077</v>
      </c>
      <c r="N80" s="1921">
        <f>IF(OR(N59=0,P79="",N67=0),"",P79*N67)</f>
        <v>3.4615384615384617</v>
      </c>
      <c r="O80" s="1921" t="str">
        <f>IF(OR(O59=0,P79="",O67=0),"",P79*O67)</f>
        <v/>
      </c>
      <c r="P80" s="1922">
        <f>IF(OR(P79="",P67=0),"",P79*P67)</f>
        <v>20</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6490</v>
      </c>
      <c r="I81" s="1792"/>
      <c r="J81" s="1"/>
      <c r="K81" s="1923" t="str">
        <f t="shared" ref="K81:P81" si="359">IF(OR(K80="",K59=0),"", K59-K80)</f>
        <v/>
      </c>
      <c r="L81" s="1923">
        <f t="shared" si="359"/>
        <v>2.2307692307692308</v>
      </c>
      <c r="M81" s="1923">
        <f t="shared" si="359"/>
        <v>-2.7692307692307701</v>
      </c>
      <c r="N81" s="1923">
        <f t="shared" si="359"/>
        <v>0.53846153846153832</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ht="14">
      <c r="B82" s="1629"/>
      <c r="C82" s="1787" t="s">
        <v>4070</v>
      </c>
      <c r="D82" s="1786"/>
      <c r="E82" s="1786"/>
      <c r="F82" s="8"/>
      <c r="G82" s="8"/>
      <c r="H82" s="1836" t="s">
        <v>3679</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6489</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6490</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ht="14">
      <c r="B85" s="1629"/>
      <c r="C85" s="1787" t="s">
        <v>4070</v>
      </c>
      <c r="D85" s="8"/>
      <c r="E85" s="8"/>
      <c r="F85" s="8"/>
      <c r="G85" s="8"/>
      <c r="H85" s="1836" t="s">
        <v>3680</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6489</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6490</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ht="14">
      <c r="B88" s="1629"/>
      <c r="C88" s="1787" t="s">
        <v>4070</v>
      </c>
      <c r="D88" s="8"/>
      <c r="E88" s="8"/>
      <c r="F88" s="8"/>
      <c r="G88" s="8"/>
      <c r="H88" s="1838" t="s">
        <v>3681</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6489</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6490</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3677</v>
      </c>
      <c r="I93" s="36"/>
      <c r="J93" s="83"/>
      <c r="K93" s="1438">
        <f>CP49</f>
        <v>0</v>
      </c>
      <c r="L93" s="1439">
        <f>CQ49</f>
        <v>0</v>
      </c>
      <c r="M93" s="1439">
        <f>CR49</f>
        <v>0</v>
      </c>
      <c r="N93" s="1439">
        <f>CS49</f>
        <v>0</v>
      </c>
      <c r="O93" s="1440">
        <f>CT49</f>
        <v>0</v>
      </c>
      <c r="P93" s="948">
        <f t="shared" ref="P93:P100" si="366">SUM(K93:O93)</f>
        <v>0</v>
      </c>
      <c r="S93" s="3893"/>
      <c r="T93" s="3894"/>
      <c r="U93" s="3894"/>
      <c r="V93" s="3894"/>
      <c r="W93" s="3895"/>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3678</v>
      </c>
      <c r="I94" s="36"/>
      <c r="J94" s="83"/>
      <c r="K94" s="1441">
        <f>CK49</f>
        <v>0</v>
      </c>
      <c r="L94" s="1442">
        <f>CL49</f>
        <v>0</v>
      </c>
      <c r="M94" s="1442">
        <f>CM49</f>
        <v>0</v>
      </c>
      <c r="N94" s="1442">
        <f>CN49</f>
        <v>0</v>
      </c>
      <c r="O94" s="1443">
        <f>CO49</f>
        <v>0</v>
      </c>
      <c r="P94" s="1395">
        <f t="shared" si="366"/>
        <v>0</v>
      </c>
      <c r="S94" s="3867"/>
      <c r="T94" s="3868"/>
      <c r="U94" s="3868"/>
      <c r="V94" s="3868"/>
      <c r="W94" s="3869"/>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7</v>
      </c>
      <c r="M95" s="1442">
        <f>CH49</f>
        <v>20</v>
      </c>
      <c r="N95" s="1442">
        <f>CI49</f>
        <v>5</v>
      </c>
      <c r="O95" s="1443">
        <f>CJ49</f>
        <v>0</v>
      </c>
      <c r="P95" s="1395">
        <f t="shared" si="366"/>
        <v>32</v>
      </c>
      <c r="S95" s="3867"/>
      <c r="T95" s="3868"/>
      <c r="U95" s="3868"/>
      <c r="V95" s="3868"/>
      <c r="W95" s="3869"/>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8</v>
      </c>
      <c r="M96" s="1463">
        <f>CC49</f>
        <v>8</v>
      </c>
      <c r="N96" s="1463">
        <f>CD49</f>
        <v>4</v>
      </c>
      <c r="O96" s="1464">
        <f>CE49</f>
        <v>0</v>
      </c>
      <c r="P96" s="611">
        <f t="shared" si="366"/>
        <v>20</v>
      </c>
      <c r="S96" s="3867"/>
      <c r="T96" s="3868"/>
      <c r="U96" s="3868"/>
      <c r="V96" s="3868"/>
      <c r="W96" s="3869"/>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3679</v>
      </c>
      <c r="I97" s="52"/>
      <c r="J97" s="1169"/>
      <c r="K97" s="1441">
        <f>BV49</f>
        <v>0</v>
      </c>
      <c r="L97" s="1442">
        <f>BW49</f>
        <v>0</v>
      </c>
      <c r="M97" s="1442">
        <f>BX49</f>
        <v>0</v>
      </c>
      <c r="N97" s="1442">
        <f>BY49</f>
        <v>0</v>
      </c>
      <c r="O97" s="1443">
        <f>BZ49</f>
        <v>0</v>
      </c>
      <c r="P97" s="1395">
        <f t="shared" si="366"/>
        <v>0</v>
      </c>
      <c r="S97" s="3867"/>
      <c r="T97" s="3868"/>
      <c r="U97" s="3868"/>
      <c r="V97" s="3868"/>
      <c r="W97" s="3869"/>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3680</v>
      </c>
      <c r="I98" s="36"/>
      <c r="J98" s="83"/>
      <c r="K98" s="1441">
        <f>BQ49</f>
        <v>0</v>
      </c>
      <c r="L98" s="1442">
        <f>BR49</f>
        <v>0</v>
      </c>
      <c r="M98" s="1442">
        <f>BS49</f>
        <v>0</v>
      </c>
      <c r="N98" s="1442">
        <f>BT49</f>
        <v>0</v>
      </c>
      <c r="O98" s="1443">
        <f>BU49</f>
        <v>0</v>
      </c>
      <c r="P98" s="1395">
        <f t="shared" si="366"/>
        <v>0</v>
      </c>
      <c r="S98" s="3867"/>
      <c r="T98" s="3868"/>
      <c r="U98" s="3868"/>
      <c r="V98" s="3868"/>
      <c r="W98" s="3869"/>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3681</v>
      </c>
      <c r="I99" s="36"/>
      <c r="J99" s="83"/>
      <c r="K99" s="1444">
        <f>BL49</f>
        <v>0</v>
      </c>
      <c r="L99" s="1445">
        <f>BM49</f>
        <v>0</v>
      </c>
      <c r="M99" s="1445">
        <f>BN49</f>
        <v>0</v>
      </c>
      <c r="N99" s="1445">
        <f>BO49</f>
        <v>0</v>
      </c>
      <c r="O99" s="1446">
        <f>BP49</f>
        <v>0</v>
      </c>
      <c r="P99" s="949">
        <f t="shared" si="366"/>
        <v>0</v>
      </c>
      <c r="S99" s="3867"/>
      <c r="T99" s="3868"/>
      <c r="U99" s="3868"/>
      <c r="V99" s="3868"/>
      <c r="W99" s="3869"/>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15</v>
      </c>
      <c r="M100" s="1396">
        <f>SUM(M93:M99)</f>
        <v>28</v>
      </c>
      <c r="N100" s="1396">
        <f>SUM(N93:N99)</f>
        <v>9</v>
      </c>
      <c r="O100" s="1396">
        <f>SUM(O93:O99)</f>
        <v>0</v>
      </c>
      <c r="P100" s="1396">
        <f t="shared" si="366"/>
        <v>52</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5" customHeight="1" thickBot="1">
      <c r="A102" s="13" t="s">
        <v>689</v>
      </c>
      <c r="B102" s="13" t="s">
        <v>3877</v>
      </c>
      <c r="H102" s="90"/>
      <c r="L102" s="3876" t="str">
        <f>$O$53</f>
        <v>40% of Units at 60% of AMI</v>
      </c>
      <c r="M102" s="3877"/>
      <c r="N102" s="3877"/>
      <c r="O102" s="3878"/>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3677</v>
      </c>
      <c r="I104" s="36"/>
      <c r="J104" s="83"/>
      <c r="K104" s="1438">
        <f>DY49</f>
        <v>0</v>
      </c>
      <c r="L104" s="1439">
        <f>DZ49</f>
        <v>0</v>
      </c>
      <c r="M104" s="1439">
        <f>EA49</f>
        <v>0</v>
      </c>
      <c r="N104" s="1439">
        <f>EB49</f>
        <v>0</v>
      </c>
      <c r="O104" s="1440">
        <f>EC49</f>
        <v>0</v>
      </c>
      <c r="P104" s="950">
        <f t="shared" ref="P104:P111" si="367">SUM(K104:O104)</f>
        <v>0</v>
      </c>
      <c r="S104" s="3893"/>
      <c r="T104" s="3894"/>
      <c r="U104" s="3894"/>
      <c r="V104" s="3894"/>
      <c r="W104" s="3895"/>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3678</v>
      </c>
      <c r="I105" s="36"/>
      <c r="J105" s="83"/>
      <c r="K105" s="1441">
        <f>DT49</f>
        <v>0</v>
      </c>
      <c r="L105" s="1442">
        <f>DU49</f>
        <v>0</v>
      </c>
      <c r="M105" s="1442">
        <f>DV49</f>
        <v>0</v>
      </c>
      <c r="N105" s="1442">
        <f>DW49</f>
        <v>0</v>
      </c>
      <c r="O105" s="1443">
        <f>DX49</f>
        <v>0</v>
      </c>
      <c r="P105" s="946">
        <f t="shared" si="367"/>
        <v>0</v>
      </c>
      <c r="S105" s="3867"/>
      <c r="T105" s="3868"/>
      <c r="U105" s="3868"/>
      <c r="V105" s="3868"/>
      <c r="W105" s="3869"/>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7"/>
      <c r="T106" s="3868"/>
      <c r="U106" s="3868"/>
      <c r="V106" s="3868"/>
      <c r="W106" s="3869"/>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7"/>
      <c r="T107" s="3868"/>
      <c r="U107" s="3868"/>
      <c r="V107" s="3868"/>
      <c r="W107" s="3869"/>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3679</v>
      </c>
      <c r="I108" s="52"/>
      <c r="J108" s="1169"/>
      <c r="K108" s="1441">
        <f>DE49</f>
        <v>0</v>
      </c>
      <c r="L108" s="1442">
        <f>DF49</f>
        <v>0</v>
      </c>
      <c r="M108" s="1442">
        <f>DG49</f>
        <v>0</v>
      </c>
      <c r="N108" s="1442">
        <f>DH49</f>
        <v>0</v>
      </c>
      <c r="O108" s="1443">
        <f>DI49</f>
        <v>0</v>
      </c>
      <c r="P108" s="946">
        <f t="shared" si="367"/>
        <v>0</v>
      </c>
      <c r="S108" s="3867"/>
      <c r="T108" s="3868"/>
      <c r="U108" s="3868"/>
      <c r="V108" s="3868"/>
      <c r="W108" s="3869"/>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3680</v>
      </c>
      <c r="I109" s="36"/>
      <c r="J109" s="83"/>
      <c r="K109" s="1441">
        <f>CZ49</f>
        <v>0</v>
      </c>
      <c r="L109" s="1442">
        <f>DA49</f>
        <v>0</v>
      </c>
      <c r="M109" s="1442">
        <f>DB49</f>
        <v>0</v>
      </c>
      <c r="N109" s="1442">
        <f>DC49</f>
        <v>0</v>
      </c>
      <c r="O109" s="1443">
        <f>DD49</f>
        <v>0</v>
      </c>
      <c r="P109" s="946">
        <f t="shared" si="367"/>
        <v>0</v>
      </c>
      <c r="S109" s="3867"/>
      <c r="T109" s="3868"/>
      <c r="U109" s="3868"/>
      <c r="V109" s="3868"/>
      <c r="W109" s="3869"/>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3681</v>
      </c>
      <c r="I110" s="36"/>
      <c r="J110" s="83"/>
      <c r="K110" s="1444">
        <f>CU49</f>
        <v>0</v>
      </c>
      <c r="L110" s="1445">
        <f>CV49</f>
        <v>0</v>
      </c>
      <c r="M110" s="1445">
        <f>CW49</f>
        <v>0</v>
      </c>
      <c r="N110" s="1445">
        <f>CX49</f>
        <v>0</v>
      </c>
      <c r="O110" s="1446">
        <f>CY49</f>
        <v>0</v>
      </c>
      <c r="P110" s="947">
        <f t="shared" si="367"/>
        <v>0</v>
      </c>
      <c r="S110" s="3867"/>
      <c r="T110" s="3868"/>
      <c r="U110" s="3868"/>
      <c r="V110" s="3868"/>
      <c r="W110" s="3869"/>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2" t="s">
        <v>35</v>
      </c>
      <c r="D113" s="3872"/>
      <c r="E113" s="104" t="s">
        <v>2121</v>
      </c>
      <c r="F113" s="1"/>
      <c r="G113" s="83"/>
      <c r="H113" s="111" t="s">
        <v>1344</v>
      </c>
      <c r="I113" s="36"/>
      <c r="J113" s="83"/>
      <c r="K113" s="1429">
        <f>GG49</f>
        <v>0</v>
      </c>
      <c r="L113" s="1430">
        <f>GH49</f>
        <v>15</v>
      </c>
      <c r="M113" s="1430">
        <f>GI49</f>
        <v>28</v>
      </c>
      <c r="N113" s="1430">
        <f>GJ49</f>
        <v>9</v>
      </c>
      <c r="O113" s="1431">
        <f>GK49</f>
        <v>0</v>
      </c>
      <c r="P113" s="950">
        <f t="shared" ref="P113:P123" si="368">SUM(K113:O113)</f>
        <v>52</v>
      </c>
      <c r="S113" s="3893"/>
      <c r="T113" s="3894"/>
      <c r="U113" s="3894"/>
      <c r="V113" s="3894"/>
      <c r="W113" s="3895"/>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2"/>
      <c r="D114" s="3872"/>
      <c r="E114" s="111"/>
      <c r="F114" s="1"/>
      <c r="G114" s="83"/>
      <c r="H114" s="111" t="s">
        <v>290</v>
      </c>
      <c r="I114" s="36"/>
      <c r="J114" s="83"/>
      <c r="K114" s="1435">
        <f>GL49</f>
        <v>0</v>
      </c>
      <c r="L114" s="1436">
        <f>GM49</f>
        <v>0</v>
      </c>
      <c r="M114" s="1436">
        <f>GN49</f>
        <v>0</v>
      </c>
      <c r="N114" s="1436">
        <f>GO49</f>
        <v>0</v>
      </c>
      <c r="O114" s="1437">
        <f>GP49</f>
        <v>0</v>
      </c>
      <c r="P114" s="947">
        <f t="shared" si="368"/>
        <v>0</v>
      </c>
      <c r="S114" s="3867"/>
      <c r="T114" s="3868"/>
      <c r="U114" s="3868"/>
      <c r="V114" s="3868"/>
      <c r="W114" s="3869"/>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2"/>
      <c r="D115" s="3872"/>
      <c r="E115" s="111"/>
      <c r="F115" s="1"/>
      <c r="G115" s="83"/>
      <c r="H115" s="177" t="s">
        <v>29</v>
      </c>
      <c r="I115" s="87"/>
      <c r="J115" s="83"/>
      <c r="K115" s="1398">
        <f>SUM(K113:K114)+GQ49</f>
        <v>0</v>
      </c>
      <c r="L115" s="1398">
        <f>SUM(L113:L114)+GR49</f>
        <v>15</v>
      </c>
      <c r="M115" s="1398">
        <f>SUM(M113:M114)+GS49</f>
        <v>28</v>
      </c>
      <c r="N115" s="1398">
        <f>SUM(N113:N114)+GT49</f>
        <v>9</v>
      </c>
      <c r="O115" s="1398">
        <f>SUM(O113:O114)+GU49</f>
        <v>0</v>
      </c>
      <c r="P115" s="1398">
        <f t="shared" si="368"/>
        <v>52</v>
      </c>
      <c r="S115" s="3867"/>
      <c r="T115" s="3868"/>
      <c r="U115" s="3868"/>
      <c r="V115" s="3868"/>
      <c r="W115" s="3869"/>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2"/>
      <c r="D116" s="3872"/>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7"/>
      <c r="T116" s="3868"/>
      <c r="U116" s="3868"/>
      <c r="V116" s="3868"/>
      <c r="W116" s="3869"/>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2"/>
      <c r="D117" s="3872"/>
      <c r="E117" s="111"/>
      <c r="F117" s="1"/>
      <c r="G117" s="83"/>
      <c r="H117" s="111" t="s">
        <v>290</v>
      </c>
      <c r="I117" s="36"/>
      <c r="J117" s="83"/>
      <c r="K117" s="1435">
        <f>HA49</f>
        <v>0</v>
      </c>
      <c r="L117" s="1436">
        <f>HB49</f>
        <v>0</v>
      </c>
      <c r="M117" s="1436">
        <f>HC49</f>
        <v>0</v>
      </c>
      <c r="N117" s="1436">
        <f>HD49</f>
        <v>0</v>
      </c>
      <c r="O117" s="1437">
        <f>HE49</f>
        <v>0</v>
      </c>
      <c r="P117" s="947">
        <f t="shared" si="368"/>
        <v>0</v>
      </c>
      <c r="S117" s="3867"/>
      <c r="T117" s="3868"/>
      <c r="U117" s="3868"/>
      <c r="V117" s="3868"/>
      <c r="W117" s="3869"/>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2"/>
      <c r="D118" s="3872"/>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7"/>
      <c r="T118" s="3868"/>
      <c r="U118" s="3868"/>
      <c r="V118" s="3868"/>
      <c r="W118" s="3869"/>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8" t="s">
        <v>1338</v>
      </c>
      <c r="F119" s="3948"/>
      <c r="G119" s="83"/>
      <c r="H119" s="111" t="s">
        <v>1344</v>
      </c>
      <c r="I119" s="36"/>
      <c r="J119" s="83"/>
      <c r="K119" s="1429">
        <f>HK49</f>
        <v>0</v>
      </c>
      <c r="L119" s="1430">
        <f>HL49</f>
        <v>0</v>
      </c>
      <c r="M119" s="1430">
        <f>HM49</f>
        <v>0</v>
      </c>
      <c r="N119" s="1430">
        <f>HN49</f>
        <v>0</v>
      </c>
      <c r="O119" s="1431">
        <f>HO49</f>
        <v>0</v>
      </c>
      <c r="P119" s="950">
        <f t="shared" si="368"/>
        <v>0</v>
      </c>
      <c r="S119" s="3867"/>
      <c r="T119" s="3868"/>
      <c r="U119" s="3868"/>
      <c r="V119" s="3868"/>
      <c r="W119" s="3869"/>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8"/>
      <c r="F120" s="3948"/>
      <c r="G120" s="83"/>
      <c r="H120" s="111" t="s">
        <v>290</v>
      </c>
      <c r="I120" s="36"/>
      <c r="J120" s="83"/>
      <c r="K120" s="1435">
        <f>HP49</f>
        <v>0</v>
      </c>
      <c r="L120" s="1436">
        <f>HQ49</f>
        <v>0</v>
      </c>
      <c r="M120" s="1436">
        <f>HR49</f>
        <v>0</v>
      </c>
      <c r="N120" s="1436">
        <f>HS49</f>
        <v>0</v>
      </c>
      <c r="O120" s="1437">
        <f>HT49</f>
        <v>0</v>
      </c>
      <c r="P120" s="947">
        <f t="shared" si="368"/>
        <v>0</v>
      </c>
      <c r="S120" s="3867"/>
      <c r="T120" s="3868"/>
      <c r="U120" s="3868"/>
      <c r="V120" s="3868"/>
      <c r="W120" s="3869"/>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7"/>
      <c r="T121" s="3868"/>
      <c r="U121" s="3868"/>
      <c r="V121" s="3868"/>
      <c r="W121" s="3869"/>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7"/>
      <c r="T122" s="3868"/>
      <c r="U122" s="3868"/>
      <c r="V122" s="3868"/>
      <c r="W122" s="3869"/>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1" t="str">
        <f>IF(AND('Part III-A-Uses of Funds'!$T$179="Yes",'Part VIII Scoring Criteria'!$O$377&gt;0,P123&lt;1),"SHOW HISTORIC UNITS HERE &gt;&gt;&gt;&gt;","")</f>
        <v/>
      </c>
      <c r="B123" s="3871"/>
      <c r="C123" s="3871"/>
      <c r="D123" s="3871"/>
      <c r="E123" s="503" t="s">
        <v>3022</v>
      </c>
      <c r="F123" s="1"/>
      <c r="G123" s="185"/>
      <c r="H123" s="112"/>
      <c r="I123" s="83"/>
      <c r="J123" s="83"/>
      <c r="K123" s="608"/>
      <c r="L123" s="608"/>
      <c r="M123" s="608"/>
      <c r="N123" s="608"/>
      <c r="O123" s="608"/>
      <c r="P123" s="604">
        <f t="shared" si="368"/>
        <v>0</v>
      </c>
      <c r="S123" s="3867"/>
      <c r="T123" s="3868"/>
      <c r="U123" s="3868"/>
      <c r="V123" s="3868"/>
      <c r="W123" s="3869"/>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7"/>
      <c r="T124" s="3868"/>
      <c r="U124" s="3868"/>
      <c r="V124" s="3868"/>
      <c r="W124" s="3869"/>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3" t="s">
        <v>6494</v>
      </c>
      <c r="D127" s="3953"/>
      <c r="E127" s="1165" t="s">
        <v>36</v>
      </c>
      <c r="F127" s="973"/>
      <c r="G127" s="1166"/>
      <c r="H127" s="1839"/>
      <c r="I127" s="1167"/>
      <c r="J127" s="1168"/>
      <c r="K127" s="1450">
        <f t="shared" ref="K127:P127" si="369">SUM(K128:K135)</f>
        <v>0</v>
      </c>
      <c r="L127" s="1451">
        <f t="shared" si="369"/>
        <v>0</v>
      </c>
      <c r="M127" s="1451">
        <f t="shared" si="369"/>
        <v>0</v>
      </c>
      <c r="N127" s="1451">
        <f t="shared" si="369"/>
        <v>0</v>
      </c>
      <c r="O127" s="1452">
        <f t="shared" si="369"/>
        <v>0</v>
      </c>
      <c r="P127" s="1401">
        <f t="shared" si="369"/>
        <v>0</v>
      </c>
      <c r="S127" s="3893"/>
      <c r="T127" s="3894"/>
      <c r="U127" s="3894"/>
      <c r="V127" s="3894"/>
      <c r="W127" s="3895"/>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4"/>
      <c r="D128" s="3954"/>
      <c r="E128" s="104"/>
      <c r="F128" s="5"/>
      <c r="G128" s="153"/>
      <c r="H128" s="1833" t="s">
        <v>6296</v>
      </c>
      <c r="I128" s="878"/>
      <c r="J128" s="1169"/>
      <c r="K128" s="1432">
        <f>JS49</f>
        <v>0</v>
      </c>
      <c r="L128" s="1433">
        <f>JT49</f>
        <v>0</v>
      </c>
      <c r="M128" s="1433">
        <f>JU49</f>
        <v>0</v>
      </c>
      <c r="N128" s="1433">
        <f>JV49</f>
        <v>0</v>
      </c>
      <c r="O128" s="1434">
        <f>JW49</f>
        <v>0</v>
      </c>
      <c r="P128" s="946">
        <f t="shared" ref="P128:P143" si="370">SUM(K128:O128)</f>
        <v>0</v>
      </c>
      <c r="S128" s="3867"/>
      <c r="T128" s="3868"/>
      <c r="U128" s="3868"/>
      <c r="V128" s="3868"/>
      <c r="W128" s="3869"/>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4"/>
      <c r="D129" s="3954"/>
      <c r="E129" s="104"/>
      <c r="F129" s="5"/>
      <c r="G129" s="153"/>
      <c r="H129" s="1840" t="s">
        <v>2999</v>
      </c>
      <c r="I129" s="95"/>
      <c r="J129" s="1169"/>
      <c r="K129" s="2230">
        <f>KC49</f>
        <v>0</v>
      </c>
      <c r="L129" s="2231">
        <f>KD49</f>
        <v>0</v>
      </c>
      <c r="M129" s="2231">
        <f>KE49</f>
        <v>0</v>
      </c>
      <c r="N129" s="2231">
        <f>KF49</f>
        <v>0</v>
      </c>
      <c r="O129" s="2232">
        <f>KG49</f>
        <v>0</v>
      </c>
      <c r="P129" s="2242">
        <f t="shared" si="370"/>
        <v>0</v>
      </c>
      <c r="S129" s="3867"/>
      <c r="T129" s="3868"/>
      <c r="U129" s="3868"/>
      <c r="V129" s="3868"/>
      <c r="W129" s="3869"/>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4"/>
      <c r="D130" s="3954"/>
      <c r="E130" s="104"/>
      <c r="F130" s="5"/>
      <c r="G130" s="153"/>
      <c r="H130" s="1833" t="s">
        <v>6481</v>
      </c>
      <c r="I130" s="878"/>
      <c r="J130" s="1169"/>
      <c r="K130" s="1432">
        <f>JX49</f>
        <v>0</v>
      </c>
      <c r="L130" s="1433">
        <f>JY49</f>
        <v>0</v>
      </c>
      <c r="M130" s="1433">
        <f>JZ49</f>
        <v>0</v>
      </c>
      <c r="N130" s="1433">
        <f>KA49</f>
        <v>0</v>
      </c>
      <c r="O130" s="1434">
        <f>KB49</f>
        <v>0</v>
      </c>
      <c r="P130" s="946">
        <f t="shared" ref="P130:P135" si="371">SUM(K130:O130)</f>
        <v>0</v>
      </c>
      <c r="S130" s="3867"/>
      <c r="T130" s="3868"/>
      <c r="U130" s="3868"/>
      <c r="V130" s="3868"/>
      <c r="W130" s="3869"/>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4"/>
      <c r="D131" s="3954"/>
      <c r="E131" s="104"/>
      <c r="F131" s="5"/>
      <c r="G131" s="153"/>
      <c r="H131" s="1840" t="s">
        <v>2999</v>
      </c>
      <c r="I131" s="95"/>
      <c r="J131" s="1169"/>
      <c r="K131" s="2230">
        <f>KH49</f>
        <v>0</v>
      </c>
      <c r="L131" s="2231">
        <f>KI49</f>
        <v>0</v>
      </c>
      <c r="M131" s="2231">
        <f>KJ49</f>
        <v>0</v>
      </c>
      <c r="N131" s="2231">
        <f>KK49</f>
        <v>0</v>
      </c>
      <c r="O131" s="2232">
        <f>KL49</f>
        <v>0</v>
      </c>
      <c r="P131" s="2242">
        <f t="shared" si="371"/>
        <v>0</v>
      </c>
      <c r="S131" s="3867"/>
      <c r="T131" s="3868"/>
      <c r="U131" s="3868"/>
      <c r="V131" s="3868"/>
      <c r="W131" s="3869"/>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4"/>
      <c r="D132" s="3954"/>
      <c r="E132" s="104"/>
      <c r="F132" s="1"/>
      <c r="G132" s="83"/>
      <c r="H132" s="1785" t="s">
        <v>6298</v>
      </c>
      <c r="I132" s="40"/>
      <c r="J132" s="83"/>
      <c r="K132" s="1456">
        <f>KM49</f>
        <v>0</v>
      </c>
      <c r="L132" s="1457">
        <f>KN49</f>
        <v>0</v>
      </c>
      <c r="M132" s="1457">
        <f>KO49</f>
        <v>0</v>
      </c>
      <c r="N132" s="1457">
        <f>KP49</f>
        <v>0</v>
      </c>
      <c r="O132" s="1458">
        <f>KQ49</f>
        <v>0</v>
      </c>
      <c r="P132" s="609">
        <f t="shared" si="371"/>
        <v>0</v>
      </c>
      <c r="S132" s="3867"/>
      <c r="T132" s="3868"/>
      <c r="U132" s="3868"/>
      <c r="V132" s="3868"/>
      <c r="W132" s="3869"/>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4"/>
      <c r="D133" s="3954"/>
      <c r="E133" s="104"/>
      <c r="F133" s="1"/>
      <c r="G133" s="83"/>
      <c r="H133" s="1841" t="s">
        <v>2999</v>
      </c>
      <c r="I133" s="875"/>
      <c r="J133" s="83"/>
      <c r="K133" s="2238">
        <f>KW49</f>
        <v>0</v>
      </c>
      <c r="L133" s="2239">
        <f>KX49</f>
        <v>0</v>
      </c>
      <c r="M133" s="2239">
        <f>KY49</f>
        <v>0</v>
      </c>
      <c r="N133" s="2239">
        <f>KZ49</f>
        <v>0</v>
      </c>
      <c r="O133" s="2240">
        <f>LA49</f>
        <v>0</v>
      </c>
      <c r="P133" s="2241">
        <f t="shared" si="371"/>
        <v>0</v>
      </c>
      <c r="S133" s="3867"/>
      <c r="T133" s="3868"/>
      <c r="U133" s="3868"/>
      <c r="V133" s="3868"/>
      <c r="W133" s="3869"/>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4"/>
      <c r="D134" s="3954"/>
      <c r="E134" s="104"/>
      <c r="F134" s="1"/>
      <c r="G134" s="83"/>
      <c r="H134" s="1785" t="s">
        <v>6488</v>
      </c>
      <c r="I134" s="40"/>
      <c r="J134" s="83"/>
      <c r="K134" s="1456">
        <f>KR49</f>
        <v>0</v>
      </c>
      <c r="L134" s="1457">
        <f>KS49</f>
        <v>0</v>
      </c>
      <c r="M134" s="1457">
        <f>KT49</f>
        <v>0</v>
      </c>
      <c r="N134" s="1457">
        <f>KU49</f>
        <v>0</v>
      </c>
      <c r="O134" s="1458">
        <f>KV49</f>
        <v>0</v>
      </c>
      <c r="P134" s="609">
        <f t="shared" si="371"/>
        <v>0</v>
      </c>
      <c r="S134" s="3867"/>
      <c r="T134" s="3868"/>
      <c r="U134" s="3868"/>
      <c r="V134" s="3868"/>
      <c r="W134" s="3869"/>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4"/>
      <c r="D135" s="3954"/>
      <c r="E135" s="104"/>
      <c r="F135" s="1"/>
      <c r="G135" s="83"/>
      <c r="H135" s="1841" t="s">
        <v>2999</v>
      </c>
      <c r="I135" s="875"/>
      <c r="J135" s="83"/>
      <c r="K135" s="2238">
        <f>LB49</f>
        <v>0</v>
      </c>
      <c r="L135" s="2239">
        <f>LC49</f>
        <v>0</v>
      </c>
      <c r="M135" s="2239">
        <f>LD49</f>
        <v>0</v>
      </c>
      <c r="N135" s="2239">
        <f>LE49</f>
        <v>0</v>
      </c>
      <c r="O135" s="2240">
        <f>LF49</f>
        <v>0</v>
      </c>
      <c r="P135" s="2241">
        <f t="shared" si="371"/>
        <v>0</v>
      </c>
      <c r="S135" s="3867"/>
      <c r="T135" s="3868"/>
      <c r="U135" s="3868"/>
      <c r="V135" s="3868"/>
      <c r="W135" s="3869"/>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4"/>
      <c r="D136" s="3954"/>
      <c r="E136" s="104" t="s">
        <v>6483</v>
      </c>
      <c r="F136" s="1"/>
      <c r="G136" s="83"/>
      <c r="H136" s="1785"/>
      <c r="I136" s="40"/>
      <c r="J136" s="83"/>
      <c r="K136" s="1429">
        <f>IE49</f>
        <v>0</v>
      </c>
      <c r="L136" s="1430">
        <f>IF49</f>
        <v>0</v>
      </c>
      <c r="M136" s="1430">
        <f>IG49</f>
        <v>0</v>
      </c>
      <c r="N136" s="1430">
        <f>IH49</f>
        <v>0</v>
      </c>
      <c r="O136" s="1431">
        <f>II49</f>
        <v>0</v>
      </c>
      <c r="P136" s="2226">
        <f t="shared" si="370"/>
        <v>0</v>
      </c>
      <c r="S136" s="3867"/>
      <c r="T136" s="3868"/>
      <c r="U136" s="3868"/>
      <c r="V136" s="3868"/>
      <c r="W136" s="3869"/>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4"/>
      <c r="D137" s="3954"/>
      <c r="E137" s="104"/>
      <c r="F137" s="1"/>
      <c r="G137" s="83"/>
      <c r="H137" s="1841" t="s">
        <v>2999</v>
      </c>
      <c r="I137" s="875"/>
      <c r="J137" s="83"/>
      <c r="K137" s="2230">
        <f>IJ49</f>
        <v>0</v>
      </c>
      <c r="L137" s="2231">
        <f>IK49</f>
        <v>0</v>
      </c>
      <c r="M137" s="2231">
        <f>IL49</f>
        <v>0</v>
      </c>
      <c r="N137" s="2231">
        <f>IM49</f>
        <v>0</v>
      </c>
      <c r="O137" s="2232">
        <f>IN49</f>
        <v>0</v>
      </c>
      <c r="P137" s="2233">
        <f t="shared" si="370"/>
        <v>0</v>
      </c>
      <c r="S137" s="3867"/>
      <c r="T137" s="3868"/>
      <c r="U137" s="3868"/>
      <c r="V137" s="3868"/>
      <c r="W137" s="3869"/>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4"/>
      <c r="D138" s="3954"/>
      <c r="E138" s="104" t="s">
        <v>6484</v>
      </c>
      <c r="F138" s="1"/>
      <c r="G138" s="83"/>
      <c r="H138" s="1785"/>
      <c r="I138" s="40"/>
      <c r="J138" s="83"/>
      <c r="K138" s="1456">
        <f>JI49</f>
        <v>0</v>
      </c>
      <c r="L138" s="1457">
        <f>JJ49</f>
        <v>15</v>
      </c>
      <c r="M138" s="1457">
        <f>JK49</f>
        <v>28</v>
      </c>
      <c r="N138" s="1457">
        <f>JL49</f>
        <v>9</v>
      </c>
      <c r="O138" s="1458">
        <f>JM49</f>
        <v>0</v>
      </c>
      <c r="P138" s="2227">
        <f t="shared" si="370"/>
        <v>52</v>
      </c>
      <c r="S138" s="3867"/>
      <c r="T138" s="3868"/>
      <c r="U138" s="3868"/>
      <c r="V138" s="3868"/>
      <c r="W138" s="3869"/>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4"/>
      <c r="D139" s="3954"/>
      <c r="E139" s="104"/>
      <c r="F139" s="1"/>
      <c r="G139" s="83"/>
      <c r="H139" s="1841" t="s">
        <v>2999</v>
      </c>
      <c r="I139" s="875"/>
      <c r="J139" s="83"/>
      <c r="K139" s="2230">
        <f>JN49</f>
        <v>0</v>
      </c>
      <c r="L139" s="2231">
        <f>JO49</f>
        <v>0</v>
      </c>
      <c r="M139" s="2231">
        <f>JP49</f>
        <v>0</v>
      </c>
      <c r="N139" s="2231">
        <f>JQ49</f>
        <v>0</v>
      </c>
      <c r="O139" s="2232">
        <f>JR49</f>
        <v>0</v>
      </c>
      <c r="P139" s="2233">
        <f t="shared" si="370"/>
        <v>0</v>
      </c>
      <c r="S139" s="3867"/>
      <c r="T139" s="3868"/>
      <c r="U139" s="3868"/>
      <c r="V139" s="3868"/>
      <c r="W139" s="3869"/>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4"/>
      <c r="D140" s="3954"/>
      <c r="E140" s="111" t="s">
        <v>6292</v>
      </c>
      <c r="F140" s="1"/>
      <c r="G140" s="83"/>
      <c r="H140" s="1785"/>
      <c r="I140" s="40"/>
      <c r="J140" s="83"/>
      <c r="K140" s="1456">
        <f>IY49</f>
        <v>0</v>
      </c>
      <c r="L140" s="1457">
        <f>IZ49</f>
        <v>0</v>
      </c>
      <c r="M140" s="1457">
        <f>JA49</f>
        <v>0</v>
      </c>
      <c r="N140" s="1457">
        <f>JB49</f>
        <v>0</v>
      </c>
      <c r="O140" s="1458">
        <f>JC49</f>
        <v>0</v>
      </c>
      <c r="P140" s="2227">
        <f t="shared" si="370"/>
        <v>0</v>
      </c>
      <c r="S140" s="3867"/>
      <c r="T140" s="3868"/>
      <c r="U140" s="3868"/>
      <c r="V140" s="3868"/>
      <c r="W140" s="3869"/>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4"/>
      <c r="D141" s="3954"/>
      <c r="E141" s="111"/>
      <c r="F141" s="1"/>
      <c r="G141" s="83"/>
      <c r="H141" s="1841" t="s">
        <v>2999</v>
      </c>
      <c r="I141" s="875"/>
      <c r="J141" s="83"/>
      <c r="K141" s="2238">
        <f>JD49</f>
        <v>0</v>
      </c>
      <c r="L141" s="2239">
        <f>JE49</f>
        <v>0</v>
      </c>
      <c r="M141" s="2239">
        <f>JF49</f>
        <v>0</v>
      </c>
      <c r="N141" s="2239">
        <f>JG49</f>
        <v>0</v>
      </c>
      <c r="O141" s="2240">
        <f>JH49</f>
        <v>0</v>
      </c>
      <c r="P141" s="2233">
        <f t="shared" si="370"/>
        <v>0</v>
      </c>
      <c r="S141" s="3867"/>
      <c r="T141" s="3868"/>
      <c r="U141" s="3868"/>
      <c r="V141" s="3868"/>
      <c r="W141" s="3869"/>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4"/>
      <c r="D142" s="3954"/>
      <c r="E142" s="90" t="s">
        <v>525</v>
      </c>
      <c r="F142" s="1"/>
      <c r="G142" s="83"/>
      <c r="H142" s="1785"/>
      <c r="I142" s="40"/>
      <c r="J142" s="83"/>
      <c r="K142" s="1456">
        <f>IO49</f>
        <v>0</v>
      </c>
      <c r="L142" s="1457">
        <f>IP49</f>
        <v>0</v>
      </c>
      <c r="M142" s="1457">
        <f>IQ49</f>
        <v>0</v>
      </c>
      <c r="N142" s="1457">
        <f>IR49</f>
        <v>0</v>
      </c>
      <c r="O142" s="1458">
        <f>IS49</f>
        <v>0</v>
      </c>
      <c r="P142" s="2227">
        <f t="shared" si="370"/>
        <v>0</v>
      </c>
      <c r="S142" s="3867"/>
      <c r="T142" s="3868"/>
      <c r="U142" s="3868"/>
      <c r="V142" s="3868"/>
      <c r="W142" s="3869"/>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5" customHeight="1" thickBot="1">
      <c r="A145" s="13" t="s">
        <v>689</v>
      </c>
      <c r="B145" s="13" t="s">
        <v>3877</v>
      </c>
      <c r="H145" s="90"/>
      <c r="L145" s="3876" t="str">
        <f>$O$53</f>
        <v>40% of Units at 60% of AMI</v>
      </c>
      <c r="M145" s="3877"/>
      <c r="N145" s="3877"/>
      <c r="O145" s="3878"/>
      <c r="P145" s="83"/>
      <c r="S145" s="3947" t="str">
        <f>B145</f>
        <v>UNIT SUMMARY (Continued)</v>
      </c>
      <c r="T145" s="3947"/>
      <c r="U145" s="3947"/>
      <c r="V145" s="3947"/>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3" t="s">
        <v>6495</v>
      </c>
      <c r="D147" s="3953"/>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3"/>
      <c r="T147" s="3894"/>
      <c r="U147" s="3894"/>
      <c r="V147" s="3894"/>
      <c r="W147" s="3895"/>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4"/>
      <c r="D148" s="3954"/>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7"/>
      <c r="T148" s="3868"/>
      <c r="U148" s="3868"/>
      <c r="V148" s="3868"/>
      <c r="W148" s="3869"/>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4"/>
      <c r="D149" s="3954"/>
      <c r="E149" s="104" t="s">
        <v>2995</v>
      </c>
      <c r="F149" s="509"/>
      <c r="G149" s="153"/>
      <c r="H149" s="1070"/>
      <c r="I149" s="509"/>
      <c r="J149" s="1169"/>
      <c r="K149" s="1465">
        <f t="shared" ref="K149:O150" si="374">K138</f>
        <v>0</v>
      </c>
      <c r="L149" s="1466">
        <f t="shared" si="374"/>
        <v>15</v>
      </c>
      <c r="M149" s="1466">
        <f t="shared" si="374"/>
        <v>28</v>
      </c>
      <c r="N149" s="1466">
        <f t="shared" si="374"/>
        <v>9</v>
      </c>
      <c r="O149" s="1467">
        <f t="shared" si="374"/>
        <v>0</v>
      </c>
      <c r="P149" s="2227">
        <f t="shared" si="373"/>
        <v>52</v>
      </c>
      <c r="S149" s="3867"/>
      <c r="T149" s="3868"/>
      <c r="U149" s="3868"/>
      <c r="V149" s="3868"/>
      <c r="W149" s="3869"/>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4"/>
      <c r="D150" s="3954"/>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7"/>
      <c r="T150" s="3868"/>
      <c r="U150" s="3868"/>
      <c r="V150" s="3868"/>
      <c r="W150" s="3869"/>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4"/>
      <c r="D151" s="3954"/>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7"/>
      <c r="T151" s="3868"/>
      <c r="U151" s="3868"/>
      <c r="V151" s="3868"/>
      <c r="W151" s="3869"/>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4"/>
      <c r="D152" s="3954"/>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7"/>
      <c r="T152" s="3868"/>
      <c r="U152" s="3868"/>
      <c r="V152" s="3868"/>
      <c r="W152" s="3869"/>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4"/>
      <c r="D153" s="3954"/>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7"/>
      <c r="T153" s="3868"/>
      <c r="U153" s="3868"/>
      <c r="V153" s="3868"/>
      <c r="W153" s="3869"/>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973" t="s">
        <v>3893</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3"/>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6497</v>
      </c>
      <c r="C156" s="1"/>
      <c r="D156" s="1"/>
      <c r="E156" s="1"/>
      <c r="F156" s="1"/>
      <c r="G156" s="83"/>
      <c r="H156" s="40"/>
      <c r="I156" s="40"/>
      <c r="J156" s="83"/>
      <c r="K156" s="612"/>
      <c r="L156" s="612"/>
      <c r="M156" s="612"/>
      <c r="N156" s="612"/>
      <c r="O156" s="612"/>
      <c r="P156" s="612"/>
      <c r="Q156" s="3973"/>
      <c r="S156" s="3615" t="str">
        <f>B156</f>
        <v>UNIT SQUARE FOOTAGE</v>
      </c>
      <c r="T156" s="3615"/>
      <c r="U156" s="3615"/>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3677</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3"/>
      <c r="T157" s="3894"/>
      <c r="U157" s="3894"/>
      <c r="V157" s="3894"/>
      <c r="W157" s="3895"/>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3678</v>
      </c>
      <c r="I158" s="40"/>
      <c r="J158" s="83"/>
      <c r="K158" s="1468">
        <f>EN49</f>
        <v>0</v>
      </c>
      <c r="L158" s="1469">
        <f>EO49</f>
        <v>0</v>
      </c>
      <c r="M158" s="1469">
        <f>EP49</f>
        <v>0</v>
      </c>
      <c r="N158" s="1469">
        <f>EQ49</f>
        <v>0</v>
      </c>
      <c r="O158" s="1470">
        <f>ER49</f>
        <v>0</v>
      </c>
      <c r="P158" s="1393">
        <f t="shared" si="379"/>
        <v>0</v>
      </c>
      <c r="Q158" s="1626" t="str">
        <f t="shared" si="380"/>
        <v/>
      </c>
      <c r="S158" s="3867"/>
      <c r="T158" s="3868"/>
      <c r="U158" s="3868"/>
      <c r="V158" s="3868"/>
      <c r="W158" s="3869"/>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5432</v>
      </c>
      <c r="M159" s="1469">
        <f>EU49</f>
        <v>21860</v>
      </c>
      <c r="N159" s="1469">
        <f>EV49</f>
        <v>6745</v>
      </c>
      <c r="O159" s="1470">
        <f>EW49</f>
        <v>0</v>
      </c>
      <c r="P159" s="1393">
        <f t="shared" si="379"/>
        <v>34037</v>
      </c>
      <c r="Q159" s="1626">
        <f t="shared" si="380"/>
        <v>1063.65625</v>
      </c>
      <c r="S159" s="3867"/>
      <c r="T159" s="3868"/>
      <c r="U159" s="3868"/>
      <c r="V159" s="3868"/>
      <c r="W159" s="3869"/>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6208</v>
      </c>
      <c r="M160" s="1550">
        <f>EZ49</f>
        <v>8744</v>
      </c>
      <c r="N160" s="1550">
        <f>FA49</f>
        <v>5396</v>
      </c>
      <c r="O160" s="1551">
        <f>FB49</f>
        <v>0</v>
      </c>
      <c r="P160" s="1552">
        <f t="shared" si="379"/>
        <v>20348</v>
      </c>
      <c r="Q160" s="1626">
        <f t="shared" si="380"/>
        <v>1017.4</v>
      </c>
      <c r="S160" s="3867"/>
      <c r="T160" s="3868"/>
      <c r="U160" s="3868"/>
      <c r="V160" s="3868"/>
      <c r="W160" s="3869"/>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3679</v>
      </c>
      <c r="I161" s="878"/>
      <c r="J161" s="1169"/>
      <c r="K161" s="1468">
        <f>FC49</f>
        <v>0</v>
      </c>
      <c r="L161" s="1469">
        <f>FD49</f>
        <v>0</v>
      </c>
      <c r="M161" s="1469">
        <f>FE49</f>
        <v>0</v>
      </c>
      <c r="N161" s="1469">
        <f>FF49</f>
        <v>0</v>
      </c>
      <c r="O161" s="1470">
        <f>FG49</f>
        <v>0</v>
      </c>
      <c r="P161" s="1393">
        <f t="shared" si="379"/>
        <v>0</v>
      </c>
      <c r="Q161" s="1626" t="str">
        <f t="shared" si="380"/>
        <v/>
      </c>
      <c r="S161" s="3867"/>
      <c r="T161" s="3868"/>
      <c r="U161" s="3868"/>
      <c r="V161" s="3868"/>
      <c r="W161" s="3869"/>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3680</v>
      </c>
      <c r="I162" s="40"/>
      <c r="J162" s="83"/>
      <c r="K162" s="1468">
        <f>FH49</f>
        <v>0</v>
      </c>
      <c r="L162" s="1469">
        <f>FI49</f>
        <v>0</v>
      </c>
      <c r="M162" s="1469">
        <f>FJ49</f>
        <v>0</v>
      </c>
      <c r="N162" s="1469">
        <f>FK49</f>
        <v>0</v>
      </c>
      <c r="O162" s="1470">
        <f>FL49</f>
        <v>0</v>
      </c>
      <c r="P162" s="1393">
        <f t="shared" si="379"/>
        <v>0</v>
      </c>
      <c r="Q162" s="1626" t="str">
        <f t="shared" si="380"/>
        <v/>
      </c>
      <c r="S162" s="3867"/>
      <c r="T162" s="3868"/>
      <c r="U162" s="3868"/>
      <c r="V162" s="3868"/>
      <c r="W162" s="3869"/>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3681</v>
      </c>
      <c r="I163" s="55"/>
      <c r="J163" s="83"/>
      <c r="K163" s="1444">
        <f>FM49</f>
        <v>0</v>
      </c>
      <c r="L163" s="1445">
        <f>FN49</f>
        <v>0</v>
      </c>
      <c r="M163" s="1445">
        <f>FO49</f>
        <v>0</v>
      </c>
      <c r="N163" s="1445">
        <f>FP49</f>
        <v>0</v>
      </c>
      <c r="O163" s="1446">
        <f>FQ49</f>
        <v>0</v>
      </c>
      <c r="P163" s="1394">
        <f t="shared" si="379"/>
        <v>0</v>
      </c>
      <c r="Q163" s="1626" t="str">
        <f t="shared" si="380"/>
        <v/>
      </c>
      <c r="S163" s="3867"/>
      <c r="T163" s="3868"/>
      <c r="U163" s="3868"/>
      <c r="V163" s="3868"/>
      <c r="W163" s="3869"/>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3762</v>
      </c>
      <c r="I164" s="875"/>
      <c r="J164" s="1403"/>
      <c r="K164" s="2229">
        <f>SUM(K157:K163)</f>
        <v>0</v>
      </c>
      <c r="L164" s="2229">
        <f>SUM(L157:L163)</f>
        <v>11640</v>
      </c>
      <c r="M164" s="2229">
        <f>SUM(M157:M163)</f>
        <v>30604</v>
      </c>
      <c r="N164" s="2229">
        <f>SUM(N157:N163)</f>
        <v>12141</v>
      </c>
      <c r="O164" s="2229">
        <f>SUM(O157:O163)</f>
        <v>0</v>
      </c>
      <c r="P164" s="2229">
        <f>SUM(K164:O164)</f>
        <v>54385</v>
      </c>
      <c r="S164" s="3867"/>
      <c r="T164" s="3868"/>
      <c r="U164" s="3868"/>
      <c r="V164" s="3868"/>
      <c r="W164" s="3869"/>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7"/>
      <c r="T165" s="3868"/>
      <c r="U165" s="3868"/>
      <c r="V165" s="3868"/>
      <c r="W165" s="3869"/>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11640</v>
      </c>
      <c r="M166" s="2228">
        <f>SUM(M164:M165)</f>
        <v>30604</v>
      </c>
      <c r="N166" s="2228">
        <f>SUM(N164:N165)</f>
        <v>12141</v>
      </c>
      <c r="O166" s="2228">
        <f>SUM(O164:O165)</f>
        <v>0</v>
      </c>
      <c r="P166" s="2228">
        <f>SUM(K166:O166)</f>
        <v>54385</v>
      </c>
      <c r="S166" s="3867"/>
      <c r="T166" s="3868"/>
      <c r="U166" s="3868"/>
      <c r="V166" s="3868"/>
      <c r="W166" s="3869"/>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7"/>
      <c r="T167" s="3868"/>
      <c r="U167" s="3868"/>
      <c r="V167" s="3868"/>
      <c r="W167" s="3869"/>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11640</v>
      </c>
      <c r="M168" s="1399">
        <f>SUM(M166:M167)</f>
        <v>30604</v>
      </c>
      <c r="N168" s="1399">
        <f>SUM(N166:N167)</f>
        <v>12141</v>
      </c>
      <c r="O168" s="1399">
        <f>SUM(O166:O167)</f>
        <v>0</v>
      </c>
      <c r="P168" s="1399">
        <f>SUM(K168:O168)</f>
        <v>54385</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 customHeight="1"/>
    <row r="170" spans="1:493" s="91" customFormat="1" ht="14"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3890</v>
      </c>
      <c r="D171" s="1"/>
      <c r="E171" s="1"/>
      <c r="F171" s="1"/>
      <c r="G171" s="1"/>
      <c r="H171" s="1"/>
      <c r="I171" s="1"/>
      <c r="J171" s="1"/>
      <c r="K171" s="1625" t="str">
        <f>IF(OR(K67="",K67=0),"",K168/K67)</f>
        <v/>
      </c>
      <c r="L171" s="1625">
        <f>IF(OR(L67="",L67=0),"",L168/L67)</f>
        <v>776</v>
      </c>
      <c r="M171" s="1625">
        <f>IF(OR(M67="",M67=0),"",M168/M67)</f>
        <v>1093</v>
      </c>
      <c r="N171" s="1625">
        <f>IF(OR(N67="",N67=0),"",N168/N67)</f>
        <v>1349</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6650</v>
      </c>
      <c r="K174" s="3885">
        <v>3000</v>
      </c>
      <c r="L174" s="3886"/>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25" customHeight="1">
      <c r="A175" s="495"/>
      <c r="C175" s="333" t="s">
        <v>242</v>
      </c>
      <c r="K175" s="3883">
        <f>P168+K174</f>
        <v>57385</v>
      </c>
      <c r="L175" s="3884"/>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5" customHeight="1">
      <c r="A179" s="1"/>
      <c r="B179" s="177" t="s">
        <v>953</v>
      </c>
      <c r="C179" s="111"/>
      <c r="D179" s="111"/>
      <c r="E179" s="111"/>
      <c r="F179" s="111"/>
      <c r="G179" s="111"/>
      <c r="H179" s="3955">
        <f>'Part VI-Pro Forma'!B10*M50</f>
        <v>9028.8000000000011</v>
      </c>
      <c r="I179" s="3956"/>
      <c r="J179" s="3957"/>
      <c r="K179" s="111"/>
      <c r="L179" s="1785" t="s">
        <v>2479</v>
      </c>
      <c r="M179" s="111"/>
      <c r="N179" s="111"/>
      <c r="O179" s="111"/>
      <c r="P179" s="1845">
        <f>IF(M50=0,0,H179/M50)</f>
        <v>2.0000000000000004E-2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5" customHeight="1">
      <c r="B180" s="895"/>
      <c r="C180" s="90"/>
      <c r="D180" s="111"/>
      <c r="E180" s="896"/>
      <c r="F180" s="90"/>
      <c r="G180" s="90"/>
      <c r="H180" s="90"/>
      <c r="I180" s="90"/>
      <c r="J180" s="109"/>
      <c r="K180" s="90"/>
      <c r="L180" s="90"/>
      <c r="M180" s="90"/>
      <c r="N180" s="90"/>
      <c r="O180" s="90"/>
      <c r="P180" s="90"/>
      <c r="Q180" s="402"/>
      <c r="R180" s="402"/>
      <c r="NP180" s="2260"/>
    </row>
    <row r="181" spans="1:493" ht="15.5"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5"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5" customHeight="1">
      <c r="B183" s="111" t="s">
        <v>954</v>
      </c>
      <c r="C183" s="111"/>
      <c r="D183" s="111"/>
      <c r="E183" s="111"/>
      <c r="F183" s="111"/>
      <c r="H183" s="901"/>
      <c r="I183" s="901"/>
      <c r="J183" s="901"/>
      <c r="K183" s="901"/>
      <c r="L183" s="901"/>
      <c r="M183" s="901"/>
      <c r="N183" s="901"/>
      <c r="O183" s="901"/>
      <c r="P183" s="901"/>
      <c r="Q183" s="901"/>
      <c r="R183" s="859"/>
      <c r="S183" s="3893"/>
      <c r="T183" s="3894"/>
      <c r="U183" s="3894"/>
      <c r="V183" s="3894"/>
      <c r="W183" s="3895"/>
    </row>
    <row r="184" spans="1:493" ht="15.5" customHeight="1">
      <c r="B184" s="111" t="s">
        <v>690</v>
      </c>
      <c r="C184" s="3898"/>
      <c r="D184" s="3899"/>
      <c r="E184" s="3899"/>
      <c r="F184" s="3900"/>
      <c r="H184" s="903"/>
      <c r="I184" s="903"/>
      <c r="J184" s="903"/>
      <c r="K184" s="903"/>
      <c r="L184" s="904"/>
      <c r="M184" s="903"/>
      <c r="N184" s="903"/>
      <c r="O184" s="903"/>
      <c r="P184" s="903"/>
      <c r="Q184" s="903"/>
      <c r="R184" s="859"/>
      <c r="S184" s="3867"/>
      <c r="T184" s="3868"/>
      <c r="U184" s="3868"/>
      <c r="V184" s="3868"/>
      <c r="W184" s="3869"/>
    </row>
    <row r="185" spans="1:493" ht="15.5"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5"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5" customHeight="1">
      <c r="B187" s="111" t="s">
        <v>498</v>
      </c>
      <c r="C187" s="111"/>
      <c r="D187" s="111"/>
      <c r="E187" s="111"/>
      <c r="F187" s="111"/>
      <c r="H187" s="901"/>
      <c r="I187" s="901"/>
      <c r="J187" s="901"/>
      <c r="K187" s="901"/>
      <c r="L187" s="901"/>
      <c r="M187" s="901"/>
      <c r="N187" s="901"/>
      <c r="O187" s="901"/>
      <c r="P187" s="901"/>
      <c r="Q187" s="901"/>
      <c r="R187" s="859"/>
      <c r="S187" s="3893"/>
      <c r="T187" s="3894"/>
      <c r="U187" s="3894"/>
      <c r="V187" s="3894"/>
      <c r="W187" s="3895"/>
    </row>
    <row r="188" spans="1:493" ht="15.5" customHeight="1">
      <c r="B188" s="111" t="s">
        <v>690</v>
      </c>
      <c r="C188" s="3898"/>
      <c r="D188" s="3899"/>
      <c r="E188" s="3899"/>
      <c r="F188" s="3900"/>
      <c r="H188" s="903"/>
      <c r="I188" s="903"/>
      <c r="J188" s="903"/>
      <c r="K188" s="903"/>
      <c r="L188" s="904"/>
      <c r="M188" s="903"/>
      <c r="N188" s="903"/>
      <c r="O188" s="903"/>
      <c r="P188" s="903"/>
      <c r="Q188" s="903"/>
      <c r="R188" s="859"/>
      <c r="S188" s="3867"/>
      <c r="T188" s="3868"/>
      <c r="U188" s="3868"/>
      <c r="V188" s="3868"/>
      <c r="W188" s="3869"/>
    </row>
    <row r="189" spans="1:493" ht="15.5"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5" customHeight="1">
      <c r="B190" s="895"/>
      <c r="C190" s="90"/>
      <c r="D190" s="90"/>
      <c r="E190" s="90"/>
      <c r="F190" s="90"/>
      <c r="H190" s="907"/>
      <c r="I190" s="90"/>
      <c r="J190" s="90"/>
      <c r="K190" s="90"/>
      <c r="L190" s="90"/>
      <c r="M190" s="90"/>
      <c r="N190" s="90"/>
      <c r="O190" s="90"/>
      <c r="P190" s="90"/>
      <c r="Q190" s="90"/>
      <c r="R190" s="8"/>
    </row>
    <row r="191" spans="1:493" ht="15.5"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5" customHeight="1">
      <c r="A192" s="83"/>
      <c r="B192" s="111" t="s">
        <v>954</v>
      </c>
      <c r="C192" s="111"/>
      <c r="D192" s="111"/>
      <c r="E192" s="111"/>
      <c r="F192" s="111"/>
      <c r="H192" s="901"/>
      <c r="I192" s="901"/>
      <c r="J192" s="901"/>
      <c r="K192" s="901"/>
      <c r="L192" s="902"/>
      <c r="M192" s="901"/>
      <c r="N192" s="901"/>
      <c r="O192" s="901"/>
      <c r="P192" s="901"/>
      <c r="Q192" s="901"/>
      <c r="R192" s="859"/>
      <c r="S192" s="3893"/>
      <c r="T192" s="3894"/>
      <c r="U192" s="3894"/>
      <c r="V192" s="3894"/>
      <c r="W192" s="3895"/>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5" customHeight="1">
      <c r="A193" s="83"/>
      <c r="B193" s="111" t="s">
        <v>690</v>
      </c>
      <c r="C193" s="3898"/>
      <c r="D193" s="3899"/>
      <c r="E193" s="3899"/>
      <c r="F193" s="3900"/>
      <c r="H193" s="903"/>
      <c r="I193" s="903"/>
      <c r="J193" s="903"/>
      <c r="K193" s="903"/>
      <c r="L193" s="904"/>
      <c r="M193" s="903"/>
      <c r="N193" s="903"/>
      <c r="O193" s="903"/>
      <c r="P193" s="903"/>
      <c r="Q193" s="903"/>
      <c r="R193" s="859"/>
      <c r="S193" s="3867"/>
      <c r="T193" s="3868"/>
      <c r="U193" s="3868"/>
      <c r="V193" s="3868"/>
      <c r="W193" s="3869"/>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5"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5"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5" customHeight="1">
      <c r="A196" s="83"/>
      <c r="B196" s="111" t="s">
        <v>498</v>
      </c>
      <c r="C196" s="111"/>
      <c r="D196" s="111"/>
      <c r="E196" s="111"/>
      <c r="F196" s="111"/>
      <c r="H196" s="901"/>
      <c r="I196" s="901"/>
      <c r="J196" s="901"/>
      <c r="K196" s="901"/>
      <c r="L196" s="902"/>
      <c r="M196" s="901"/>
      <c r="N196" s="901"/>
      <c r="O196" s="901"/>
      <c r="P196" s="901"/>
      <c r="Q196" s="901"/>
      <c r="R196" s="859"/>
      <c r="S196" s="3893"/>
      <c r="T196" s="3894"/>
      <c r="U196" s="3894"/>
      <c r="V196" s="3894"/>
      <c r="W196" s="3895"/>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5" customHeight="1">
      <c r="A197" s="83"/>
      <c r="B197" s="111" t="s">
        <v>690</v>
      </c>
      <c r="C197" s="3898"/>
      <c r="D197" s="3899"/>
      <c r="E197" s="3899"/>
      <c r="F197" s="3900"/>
      <c r="H197" s="903"/>
      <c r="I197" s="903"/>
      <c r="J197" s="903"/>
      <c r="K197" s="903"/>
      <c r="L197" s="904"/>
      <c r="M197" s="903"/>
      <c r="N197" s="903"/>
      <c r="O197" s="903"/>
      <c r="P197" s="903"/>
      <c r="Q197" s="903"/>
      <c r="R197" s="859"/>
      <c r="S197" s="3867"/>
      <c r="T197" s="3868"/>
      <c r="U197" s="3868"/>
      <c r="V197" s="3868"/>
      <c r="W197" s="3869"/>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5"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5"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5"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5" customHeight="1">
      <c r="A201" s="83"/>
      <c r="B201" s="111" t="s">
        <v>954</v>
      </c>
      <c r="C201" s="111"/>
      <c r="D201" s="111"/>
      <c r="E201" s="111"/>
      <c r="F201" s="111"/>
      <c r="H201" s="901"/>
      <c r="I201" s="901"/>
      <c r="J201" s="901"/>
      <c r="K201" s="901"/>
      <c r="L201" s="902"/>
      <c r="M201" s="901"/>
      <c r="N201" s="901"/>
      <c r="O201" s="901"/>
      <c r="P201" s="901"/>
      <c r="Q201" s="901"/>
      <c r="R201" s="859"/>
      <c r="S201" s="3893"/>
      <c r="T201" s="3894"/>
      <c r="U201" s="3894"/>
      <c r="V201" s="3894"/>
      <c r="W201" s="3895"/>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5" customHeight="1">
      <c r="A202" s="83"/>
      <c r="B202" s="111" t="s">
        <v>690</v>
      </c>
      <c r="C202" s="3898"/>
      <c r="D202" s="3899"/>
      <c r="E202" s="3899"/>
      <c r="F202" s="3900"/>
      <c r="H202" s="903"/>
      <c r="I202" s="903"/>
      <c r="J202" s="903"/>
      <c r="K202" s="903"/>
      <c r="L202" s="904"/>
      <c r="M202" s="903"/>
      <c r="N202" s="903"/>
      <c r="O202" s="903"/>
      <c r="P202" s="903"/>
      <c r="Q202" s="903"/>
      <c r="R202" s="859"/>
      <c r="S202" s="3867"/>
      <c r="T202" s="3868"/>
      <c r="U202" s="3868"/>
      <c r="V202" s="3868"/>
      <c r="W202" s="3869"/>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5"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5"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5" customHeight="1">
      <c r="A205" s="83"/>
      <c r="B205" s="111" t="s">
        <v>498</v>
      </c>
      <c r="C205" s="111"/>
      <c r="D205" s="111"/>
      <c r="E205" s="111"/>
      <c r="F205" s="111"/>
      <c r="H205" s="901"/>
      <c r="I205" s="901"/>
      <c r="J205" s="901"/>
      <c r="K205" s="901"/>
      <c r="L205" s="902"/>
      <c r="M205" s="901"/>
      <c r="N205" s="901"/>
      <c r="O205" s="901"/>
      <c r="P205" s="901"/>
      <c r="Q205" s="901"/>
      <c r="R205" s="859"/>
      <c r="S205" s="3893"/>
      <c r="T205" s="3894"/>
      <c r="U205" s="3894"/>
      <c r="V205" s="3894"/>
      <c r="W205" s="3895"/>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5" customHeight="1">
      <c r="A206" s="83"/>
      <c r="B206" s="111" t="s">
        <v>690</v>
      </c>
      <c r="C206" s="3898"/>
      <c r="D206" s="3899"/>
      <c r="E206" s="3899"/>
      <c r="F206" s="3900"/>
      <c r="H206" s="903"/>
      <c r="I206" s="903"/>
      <c r="J206" s="903"/>
      <c r="K206" s="903"/>
      <c r="L206" s="904"/>
      <c r="M206" s="903"/>
      <c r="N206" s="903"/>
      <c r="O206" s="903"/>
      <c r="P206" s="903"/>
      <c r="Q206" s="903"/>
      <c r="R206" s="859"/>
      <c r="S206" s="3867"/>
      <c r="T206" s="3868"/>
      <c r="U206" s="3868"/>
      <c r="V206" s="3868"/>
      <c r="W206" s="3869"/>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5"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5" customHeight="1">
      <c r="B208" s="895"/>
      <c r="C208" s="90"/>
      <c r="D208" s="90"/>
      <c r="E208" s="90"/>
      <c r="F208" s="90"/>
      <c r="H208" s="907"/>
      <c r="I208" s="90"/>
      <c r="J208" s="90"/>
      <c r="K208" s="90"/>
      <c r="L208" s="90"/>
      <c r="M208" s="90"/>
      <c r="N208" s="90"/>
      <c r="O208" s="90"/>
      <c r="P208" s="90"/>
      <c r="Q208" s="90"/>
      <c r="R208" s="8"/>
    </row>
    <row r="209" spans="1:493" ht="15.5"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5" customHeight="1">
      <c r="B210" s="111" t="s">
        <v>954</v>
      </c>
      <c r="C210" s="111"/>
      <c r="D210" s="111"/>
      <c r="E210" s="111"/>
      <c r="F210" s="111"/>
      <c r="H210" s="901"/>
      <c r="I210" s="901"/>
      <c r="J210" s="901"/>
      <c r="K210" s="901"/>
      <c r="L210" s="902"/>
      <c r="M210" s="90"/>
      <c r="N210" s="90"/>
      <c r="O210" s="90"/>
      <c r="P210" s="90"/>
      <c r="Q210" s="90"/>
      <c r="R210" s="8"/>
      <c r="S210" s="3893"/>
      <c r="T210" s="3894"/>
      <c r="U210" s="3894"/>
      <c r="V210" s="3894"/>
      <c r="W210" s="3895"/>
    </row>
    <row r="211" spans="1:493" ht="15.5" customHeight="1">
      <c r="B211" s="111" t="s">
        <v>690</v>
      </c>
      <c r="C211" s="3898"/>
      <c r="D211" s="3899"/>
      <c r="E211" s="3899"/>
      <c r="F211" s="3900"/>
      <c r="H211" s="903"/>
      <c r="I211" s="903"/>
      <c r="J211" s="903"/>
      <c r="K211" s="903"/>
      <c r="L211" s="904"/>
      <c r="M211" s="90"/>
      <c r="N211" s="90"/>
      <c r="O211" s="90"/>
      <c r="P211" s="90"/>
      <c r="Q211" s="90"/>
      <c r="R211" s="8"/>
      <c r="S211" s="3867"/>
      <c r="T211" s="3868"/>
      <c r="U211" s="3868"/>
      <c r="V211" s="3868"/>
      <c r="W211" s="3869"/>
    </row>
    <row r="212" spans="1:493" ht="15.5"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5"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5" customHeight="1">
      <c r="B214" s="111" t="s">
        <v>498</v>
      </c>
      <c r="C214" s="111"/>
      <c r="D214" s="111"/>
      <c r="E214" s="111"/>
      <c r="F214" s="111"/>
      <c r="H214" s="901"/>
      <c r="I214" s="901"/>
      <c r="J214" s="901"/>
      <c r="K214" s="901"/>
      <c r="L214" s="902"/>
      <c r="M214" s="90"/>
      <c r="N214" s="90"/>
      <c r="O214" s="90"/>
      <c r="P214" s="90"/>
      <c r="Q214" s="90"/>
      <c r="R214" s="8"/>
      <c r="S214" s="3893"/>
      <c r="T214" s="3894"/>
      <c r="U214" s="3894"/>
      <c r="V214" s="3894"/>
      <c r="W214" s="3895"/>
    </row>
    <row r="215" spans="1:493" ht="15.5" customHeight="1">
      <c r="B215" s="111" t="s">
        <v>690</v>
      </c>
      <c r="C215" s="3898"/>
      <c r="D215" s="3899"/>
      <c r="E215" s="3899"/>
      <c r="F215" s="3900"/>
      <c r="H215" s="903"/>
      <c r="I215" s="903"/>
      <c r="J215" s="903"/>
      <c r="K215" s="903"/>
      <c r="L215" s="904"/>
      <c r="M215" s="90"/>
      <c r="N215" s="90"/>
      <c r="O215" s="90"/>
      <c r="P215" s="90"/>
      <c r="Q215" s="90"/>
      <c r="R215" s="8"/>
      <c r="S215" s="3867"/>
      <c r="T215" s="3868"/>
      <c r="U215" s="3868"/>
      <c r="V215" s="3868"/>
      <c r="W215" s="3869"/>
    </row>
    <row r="216" spans="1:493" ht="15.5"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25694</v>
      </c>
      <c r="R220" s="1"/>
      <c r="S220" s="3893"/>
      <c r="T220" s="3894"/>
      <c r="U220" s="3894"/>
      <c r="V220" s="3894"/>
      <c r="W220" s="3895"/>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1">
        <v>43000</v>
      </c>
      <c r="G221" s="3902"/>
      <c r="H221" s="1"/>
      <c r="I221" s="1" t="s">
        <v>1301</v>
      </c>
      <c r="K221" s="1"/>
      <c r="L221" s="3901"/>
      <c r="M221" s="3902"/>
      <c r="N221" s="1"/>
      <c r="O221" s="418">
        <f>+Q220/(P67*0.93)</f>
        <v>531.30686517783295</v>
      </c>
      <c r="P221" s="66" t="s">
        <v>2486</v>
      </c>
      <c r="Q221" s="1"/>
      <c r="R221" s="859"/>
      <c r="S221" s="3867"/>
      <c r="T221" s="3868"/>
      <c r="U221" s="3868"/>
      <c r="V221" s="3868"/>
      <c r="W221" s="3869"/>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5">
        <v>37913</v>
      </c>
      <c r="G222" s="3926"/>
      <c r="H222" s="1"/>
      <c r="I222" s="1" t="s">
        <v>1302</v>
      </c>
      <c r="K222" s="1"/>
      <c r="L222" s="3896">
        <v>3600</v>
      </c>
      <c r="M222" s="3897"/>
      <c r="N222" s="1"/>
      <c r="O222" s="418">
        <f>+Q220/(P67*0.93)/12</f>
        <v>44.275572098152743</v>
      </c>
      <c r="P222" s="66" t="s">
        <v>2487</v>
      </c>
      <c r="Q222" s="1"/>
      <c r="R222" s="859"/>
      <c r="S222" s="3867"/>
      <c r="T222" s="3868"/>
      <c r="U222" s="3868"/>
      <c r="V222" s="3868"/>
      <c r="W222" s="3869"/>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5"/>
      <c r="G223" s="3926"/>
      <c r="H223" s="1"/>
      <c r="I223" s="1"/>
      <c r="K223" s="123" t="s">
        <v>184</v>
      </c>
      <c r="L223" s="3915">
        <f>SUM(L221:M222)</f>
        <v>3600</v>
      </c>
      <c r="M223" s="3916"/>
      <c r="N223" s="1"/>
      <c r="O223" s="36" t="s">
        <v>3224</v>
      </c>
      <c r="P223" s="961"/>
      <c r="Q223" s="961"/>
      <c r="R223" s="859"/>
      <c r="S223" s="3867"/>
      <c r="T223" s="3868"/>
      <c r="U223" s="3868"/>
      <c r="V223" s="3868"/>
      <c r="W223" s="3869"/>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6639</v>
      </c>
      <c r="F224" s="3925"/>
      <c r="G224" s="3926"/>
      <c r="H224" s="1"/>
      <c r="I224" s="1"/>
      <c r="K224" s="1"/>
      <c r="L224" s="1"/>
      <c r="M224" s="1"/>
      <c r="N224" s="1"/>
      <c r="R224" s="856"/>
      <c r="S224" s="3867"/>
      <c r="T224" s="3868"/>
      <c r="U224" s="3868"/>
      <c r="V224" s="3868"/>
      <c r="W224" s="3869"/>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4022</v>
      </c>
      <c r="F225" s="3925"/>
      <c r="G225" s="3926"/>
      <c r="H225" s="1"/>
      <c r="I225" s="1"/>
      <c r="K225" s="1"/>
      <c r="L225" s="1"/>
      <c r="M225" s="1"/>
      <c r="N225" s="1"/>
      <c r="R225" s="856"/>
      <c r="S225" s="3867"/>
      <c r="T225" s="3868"/>
      <c r="U225" s="3868"/>
      <c r="V225" s="3868"/>
      <c r="W225" s="3869"/>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0" t="s">
        <v>6976</v>
      </c>
      <c r="C226" s="3931"/>
      <c r="D226" s="3931"/>
      <c r="E226" s="3932"/>
      <c r="F226" s="3896">
        <v>19178</v>
      </c>
      <c r="G226" s="3897"/>
      <c r="H226" s="1"/>
      <c r="I226" s="10" t="s">
        <v>1216</v>
      </c>
      <c r="K226" s="1"/>
      <c r="L226" s="1"/>
      <c r="M226" s="1"/>
      <c r="N226" s="1"/>
      <c r="R226" s="856"/>
      <c r="S226" s="3867"/>
      <c r="T226" s="3868"/>
      <c r="U226" s="3868"/>
      <c r="V226" s="3868"/>
      <c r="W226" s="3869"/>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5">
        <f>SUM(F221:G226)</f>
        <v>100091</v>
      </c>
      <c r="G227" s="3916"/>
      <c r="H227" s="1"/>
      <c r="I227" s="1" t="s">
        <v>1498</v>
      </c>
      <c r="K227" s="1"/>
      <c r="L227" s="3919">
        <v>1250</v>
      </c>
      <c r="M227" s="3920"/>
      <c r="N227" s="1"/>
      <c r="R227" s="1"/>
      <c r="S227" s="3867"/>
      <c r="T227" s="3868"/>
      <c r="U227" s="3868"/>
      <c r="V227" s="3868"/>
      <c r="W227" s="3869"/>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3">
        <v>9000</v>
      </c>
      <c r="M228" s="3924"/>
      <c r="N228" s="3929" t="str">
        <f>IF(Q230="","",IF(Q228&lt;Q230, "WARNING! OE below required minimum.",""))</f>
        <v/>
      </c>
      <c r="O228" s="10" t="s">
        <v>2030</v>
      </c>
      <c r="P228" s="5"/>
      <c r="Q228" s="427">
        <f>F227+F236+F247+L223+L231+L241+L247+Q220</f>
        <v>284035</v>
      </c>
      <c r="R228" s="5"/>
      <c r="S228" s="3867"/>
      <c r="T228" s="3868"/>
      <c r="U228" s="3868"/>
      <c r="V228" s="3868"/>
      <c r="W228" s="3869"/>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3">
        <v>2500</v>
      </c>
      <c r="M229" s="3924"/>
      <c r="N229" s="3929"/>
      <c r="O229" s="66" t="s">
        <v>2488</v>
      </c>
      <c r="P229" s="418">
        <f>+Q228/P67</f>
        <v>5462.2115384615381</v>
      </c>
      <c r="R229" s="857"/>
      <c r="S229" s="3867"/>
      <c r="T229" s="3868"/>
      <c r="U229" s="3868"/>
      <c r="V229" s="3868"/>
      <c r="W229" s="3869"/>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6450</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1">
        <v>5500</v>
      </c>
      <c r="G230" s="3902"/>
      <c r="H230" s="1"/>
      <c r="I230" s="3934" t="s">
        <v>46</v>
      </c>
      <c r="J230" s="3935"/>
      <c r="K230" s="3936"/>
      <c r="L230" s="3927"/>
      <c r="M230" s="3928"/>
      <c r="N230" s="3929"/>
      <c r="P230" s="962" t="s">
        <v>3225</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195000</v>
      </c>
      <c r="R230" s="1"/>
      <c r="S230" s="3867"/>
      <c r="T230" s="3868"/>
      <c r="U230" s="3868"/>
      <c r="V230" s="3868"/>
      <c r="W230" s="3869"/>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5">
        <v>5800</v>
      </c>
      <c r="G231" s="3926"/>
      <c r="H231" s="1"/>
      <c r="I231" s="10"/>
      <c r="K231" s="11" t="s">
        <v>184</v>
      </c>
      <c r="L231" s="3906">
        <f>SUM(L227:L230)</f>
        <v>12750</v>
      </c>
      <c r="M231" s="3933"/>
      <c r="N231" s="3929"/>
      <c r="O231" s="3905" t="s">
        <v>6730</v>
      </c>
      <c r="P231" s="3905"/>
      <c r="Q231" s="3905"/>
      <c r="R231" s="1"/>
      <c r="S231" s="3867"/>
      <c r="T231" s="3868"/>
      <c r="U231" s="3868"/>
      <c r="V231" s="3868"/>
      <c r="W231" s="3869"/>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5">
        <v>1500</v>
      </c>
      <c r="G232" s="3926"/>
      <c r="H232" s="1"/>
      <c r="N232" s="1"/>
      <c r="O232" s="3905"/>
      <c r="P232" s="3905"/>
      <c r="Q232" s="3905"/>
      <c r="R232" s="1163"/>
      <c r="S232" s="3867"/>
      <c r="T232" s="3868"/>
      <c r="U232" s="3868"/>
      <c r="V232" s="3868"/>
      <c r="W232" s="3869"/>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5">
        <v>3800</v>
      </c>
      <c r="G233" s="3926"/>
      <c r="H233" s="1"/>
      <c r="L233" s="1"/>
      <c r="M233" s="1"/>
      <c r="N233" s="1"/>
      <c r="R233" s="1163"/>
      <c r="S233" s="3867"/>
      <c r="T233" s="3868"/>
      <c r="U233" s="3868"/>
      <c r="V233" s="3868"/>
      <c r="W233" s="3869"/>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6451</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5">
        <v>2000</v>
      </c>
      <c r="G234" s="3926"/>
      <c r="H234" s="1"/>
      <c r="I234" s="10" t="s">
        <v>1298</v>
      </c>
      <c r="K234" s="1036" t="s">
        <v>3886</v>
      </c>
      <c r="O234" s="1658" t="s">
        <v>3088</v>
      </c>
      <c r="P234" s="10"/>
      <c r="Q234" s="1176">
        <f>Q243</f>
        <v>13000</v>
      </c>
      <c r="S234" s="3867"/>
      <c r="T234" s="3868"/>
      <c r="U234" s="3868"/>
      <c r="V234" s="3868"/>
      <c r="W234" s="3869"/>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0" t="s">
        <v>46</v>
      </c>
      <c r="C235" s="3931"/>
      <c r="D235" s="3931"/>
      <c r="E235" s="3932"/>
      <c r="F235" s="3896"/>
      <c r="G235" s="3897"/>
      <c r="H235" s="1"/>
      <c r="I235" s="1" t="s">
        <v>1291</v>
      </c>
      <c r="K235" s="477">
        <f>L235/12/P67</f>
        <v>12.820512820512819</v>
      </c>
      <c r="L235" s="3919">
        <v>8000</v>
      </c>
      <c r="M235" s="3920"/>
      <c r="N235" s="3910" t="str">
        <f>IF(Q234&lt;Q243, "WARNING! RR proposed is below the DCA required minimum.","")</f>
        <v/>
      </c>
      <c r="O235" s="978" t="s">
        <v>3885</v>
      </c>
      <c r="P235" s="973"/>
      <c r="Q235" s="979">
        <f>Q234/P243</f>
        <v>250</v>
      </c>
      <c r="R235" s="856"/>
      <c r="S235" s="3867"/>
      <c r="T235" s="3868"/>
      <c r="U235" s="3868"/>
      <c r="V235" s="3868"/>
      <c r="W235" s="3869"/>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5">
        <f>SUM(F230:G235)</f>
        <v>18600</v>
      </c>
      <c r="G236" s="3916"/>
      <c r="H236" s="1"/>
      <c r="I236" s="1" t="s">
        <v>1292</v>
      </c>
      <c r="K236" s="477">
        <f>L236/12/P67</f>
        <v>0</v>
      </c>
      <c r="L236" s="3923"/>
      <c r="M236" s="3924"/>
      <c r="N236" s="3911"/>
      <c r="O236" s="3912" t="s">
        <v>3231</v>
      </c>
      <c r="P236" s="3913"/>
      <c r="Q236" s="3914"/>
      <c r="S236" s="3867"/>
      <c r="T236" s="3868"/>
      <c r="U236" s="3868"/>
      <c r="V236" s="3868"/>
      <c r="W236" s="3869"/>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3931</v>
      </c>
      <c r="K237" s="477">
        <f>L237/12/P67</f>
        <v>44.871794871794876</v>
      </c>
      <c r="L237" s="3923">
        <v>28000</v>
      </c>
      <c r="M237" s="3924"/>
      <c r="N237" s="3911"/>
      <c r="O237" s="972" t="s">
        <v>2465</v>
      </c>
      <c r="P237" s="853" t="s">
        <v>3285</v>
      </c>
      <c r="Q237" s="974" t="s">
        <v>3056</v>
      </c>
      <c r="R237" s="5"/>
      <c r="S237" s="3867"/>
      <c r="T237" s="3868"/>
      <c r="U237" s="3868"/>
      <c r="V237" s="3868"/>
      <c r="W237" s="3869"/>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6384</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9.615384615384615</v>
      </c>
      <c r="L238" s="3923">
        <v>6000</v>
      </c>
      <c r="M238" s="3924"/>
      <c r="N238" s="3911"/>
      <c r="O238" s="644" t="s">
        <v>36</v>
      </c>
      <c r="P238" s="645"/>
      <c r="Q238" s="646"/>
      <c r="R238" s="857"/>
      <c r="S238" s="3867"/>
      <c r="T238" s="3868"/>
      <c r="U238" s="3868"/>
      <c r="V238" s="3868"/>
      <c r="W238" s="3869"/>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7">
        <v>11000</v>
      </c>
      <c r="G239" s="3918"/>
      <c r="H239" s="1"/>
      <c r="I239" s="94" t="s">
        <v>6689</v>
      </c>
      <c r="K239" s="477">
        <f>L239/12/P67</f>
        <v>0</v>
      </c>
      <c r="L239" s="3923"/>
      <c r="M239" s="3924"/>
      <c r="N239" s="3911"/>
      <c r="O239" s="508" t="s">
        <v>3054</v>
      </c>
      <c r="P239" s="858" t="str">
        <f>CONCATENATE(SUM(MF49:MJ49)," units x $",'DCA Underwriting Assumptions'!$Q$28," =")</f>
        <v>0 units x $350 =</v>
      </c>
      <c r="Q239" s="647">
        <f>SUM(MF49:MJ49)*'DCA Underwriting Assumptions'!$Q$28</f>
        <v>0</v>
      </c>
      <c r="R239" s="860"/>
      <c r="S239" s="3867"/>
      <c r="T239" s="3868"/>
      <c r="U239" s="3868"/>
      <c r="V239" s="3868"/>
      <c r="W239" s="3869"/>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1">
        <v>3300</v>
      </c>
      <c r="G240" s="3922"/>
      <c r="H240" s="1"/>
      <c r="I240" s="3939" t="s">
        <v>46</v>
      </c>
      <c r="J240" s="3940"/>
      <c r="K240" s="477">
        <f>L240/12/P67</f>
        <v>0</v>
      </c>
      <c r="L240" s="3927"/>
      <c r="M240" s="3928"/>
      <c r="N240" s="3911"/>
      <c r="O240" s="508" t="s">
        <v>3053</v>
      </c>
      <c r="P240" s="858" t="str">
        <f>CONCATENATE(SUM(MK49:MO49)," units x $",'DCA Underwriting Assumptions'!$Q$29," =")</f>
        <v>52 units x $250 =</v>
      </c>
      <c r="Q240" s="647">
        <f>SUM(MK49:MO49)*'DCA Underwriting Assumptions'!$Q$29</f>
        <v>13000</v>
      </c>
      <c r="S240" s="3867"/>
      <c r="T240" s="3868"/>
      <c r="U240" s="3868"/>
      <c r="V240" s="3868"/>
      <c r="W240" s="3869"/>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1">
        <v>12000</v>
      </c>
      <c r="G241" s="3922"/>
      <c r="H241" s="1"/>
      <c r="K241" s="11" t="s">
        <v>184</v>
      </c>
      <c r="L241" s="3906">
        <f>SUM(L235:L240)</f>
        <v>42000</v>
      </c>
      <c r="M241" s="3933"/>
      <c r="N241" s="3911"/>
      <c r="O241" s="648" t="s">
        <v>6501</v>
      </c>
      <c r="P241" s="858" t="str">
        <f>CONCATENATE(SUM(MP49:MT49)," units x $",'DCA Underwriting Assumptions'!$Q$30," =")</f>
        <v>0 units x $420 =</v>
      </c>
      <c r="Q241" s="647">
        <f>SUM(MP49:MT49)*'DCA Underwriting Assumptions'!$Q$30</f>
        <v>0</v>
      </c>
      <c r="R241" s="853"/>
      <c r="S241" s="3867"/>
      <c r="T241" s="3868"/>
      <c r="U241" s="3868"/>
      <c r="V241" s="3868"/>
      <c r="W241" s="3869"/>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5">
        <v>2000</v>
      </c>
      <c r="G242" s="3926"/>
      <c r="H242" s="1"/>
      <c r="O242" s="648" t="s">
        <v>3052</v>
      </c>
      <c r="P242" s="858" t="str">
        <f>CONCATENATE(P125," units x $",'DCA Underwriting Assumptions'!$Q$31," =")</f>
        <v>0 units x $420 =</v>
      </c>
      <c r="Q242" s="647">
        <f>P125*'DCA Underwriting Assumptions'!$Q$31</f>
        <v>0</v>
      </c>
      <c r="R242" s="645"/>
      <c r="S242" s="3867"/>
      <c r="T242" s="3868"/>
      <c r="U242" s="3868"/>
      <c r="V242" s="3868"/>
      <c r="W242" s="3869"/>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6452</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5">
        <v>5000</v>
      </c>
      <c r="G243" s="3926"/>
      <c r="H243" s="1"/>
      <c r="I243" s="10" t="s">
        <v>1299</v>
      </c>
      <c r="O243" s="975" t="s">
        <v>2468</v>
      </c>
      <c r="P243" s="976">
        <f>SUM(MF49:MJ49)+SUM(MK49:MO49)+SUM(MP49:MT49)+P125</f>
        <v>52</v>
      </c>
      <c r="Q243" s="977">
        <f>SUM(Q239:Q242)</f>
        <v>13000</v>
      </c>
      <c r="R243" s="858"/>
      <c r="S243" s="3867"/>
      <c r="T243" s="3868"/>
      <c r="U243" s="3868"/>
      <c r="V243" s="3868"/>
      <c r="W243" s="3869"/>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5"/>
      <c r="G244" s="3926"/>
      <c r="H244" s="1"/>
      <c r="I244" s="94" t="s">
        <v>3932</v>
      </c>
      <c r="K244" s="1"/>
      <c r="L244" s="3919"/>
      <c r="M244" s="3920"/>
      <c r="R244" s="858"/>
      <c r="S244" s="3867"/>
      <c r="T244" s="3868"/>
      <c r="U244" s="3868"/>
      <c r="V244" s="3868"/>
      <c r="W244" s="3869"/>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5">
        <v>12000</v>
      </c>
      <c r="G245" s="3926"/>
      <c r="H245" s="1"/>
      <c r="I245" s="1" t="s">
        <v>140</v>
      </c>
      <c r="K245" s="1"/>
      <c r="L245" s="3923">
        <v>36000</v>
      </c>
      <c r="M245" s="3924"/>
      <c r="R245" s="858"/>
      <c r="S245" s="3867"/>
      <c r="T245" s="3868"/>
      <c r="U245" s="3868"/>
      <c r="V245" s="3868"/>
      <c r="W245" s="3869"/>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0" t="s">
        <v>46</v>
      </c>
      <c r="C246" s="3931"/>
      <c r="D246" s="3931"/>
      <c r="E246" s="3932"/>
      <c r="F246" s="3896"/>
      <c r="G246" s="3897"/>
      <c r="H246" s="1"/>
      <c r="I246" s="3934" t="s">
        <v>46</v>
      </c>
      <c r="J246" s="3935"/>
      <c r="K246" s="3936"/>
      <c r="L246" s="3937"/>
      <c r="M246" s="3938"/>
      <c r="N246" s="1"/>
      <c r="R246" s="858"/>
      <c r="S246" s="3867"/>
      <c r="T246" s="3868"/>
      <c r="U246" s="3868"/>
      <c r="V246" s="3868"/>
      <c r="W246" s="3869"/>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6453</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8">
        <f>SUM(F239:G246)</f>
        <v>45300</v>
      </c>
      <c r="G247" s="3909"/>
      <c r="H247" s="1"/>
      <c r="K247" s="11" t="s">
        <v>184</v>
      </c>
      <c r="L247" s="3906">
        <f>SUM(L243:L246)</f>
        <v>36000</v>
      </c>
      <c r="M247" s="3907"/>
      <c r="N247" s="1"/>
      <c r="O247" s="10" t="s">
        <v>2031</v>
      </c>
      <c r="P247" s="1"/>
      <c r="Q247" s="427">
        <f>Q228+Q234</f>
        <v>297035</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5"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3376</v>
      </c>
      <c r="B251" s="10" t="s">
        <v>3875</v>
      </c>
      <c r="C251" s="11"/>
      <c r="D251" s="1"/>
      <c r="E251" s="1"/>
      <c r="H251" s="12"/>
      <c r="I251" s="1547" t="s">
        <v>3876</v>
      </c>
      <c r="K251" s="3971">
        <v>10</v>
      </c>
      <c r="L251" s="3972"/>
      <c r="M251" s="1619" t="s">
        <v>3903</v>
      </c>
      <c r="N251" s="1548">
        <v>75</v>
      </c>
      <c r="O251" s="10" t="s">
        <v>3878</v>
      </c>
      <c r="P251" s="1"/>
      <c r="Q251" s="1570">
        <f>K251*N251</f>
        <v>750</v>
      </c>
      <c r="R251" s="856"/>
      <c r="S251" s="3890"/>
      <c r="T251" s="3891"/>
      <c r="U251" s="3891"/>
      <c r="V251" s="3891"/>
      <c r="W251" s="3892"/>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3904</v>
      </c>
      <c r="C253" s="11"/>
      <c r="D253" s="1"/>
      <c r="E253" s="1"/>
      <c r="F253" s="12"/>
      <c r="G253" s="12"/>
      <c r="H253" s="1"/>
      <c r="I253" s="1"/>
      <c r="J253" s="1600" t="s">
        <v>2654</v>
      </c>
      <c r="K253" s="1547" t="s">
        <v>3906</v>
      </c>
      <c r="L253" s="1600" t="s">
        <v>2654</v>
      </c>
      <c r="M253" s="72" t="s">
        <v>3907</v>
      </c>
      <c r="N253" s="1548"/>
      <c r="O253" s="484" t="s">
        <v>3905</v>
      </c>
      <c r="P253" s="1"/>
      <c r="Q253" s="1620"/>
      <c r="R253" s="856"/>
      <c r="S253" s="3890"/>
      <c r="T253" s="3891"/>
      <c r="U253" s="3891"/>
      <c r="V253" s="3891"/>
      <c r="W253" s="3892"/>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6454</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3874</v>
      </c>
      <c r="B255" s="13" t="s">
        <v>530</v>
      </c>
      <c r="N255" s="13" t="s">
        <v>6655</v>
      </c>
      <c r="O255" s="13"/>
      <c r="NP255" s="2260"/>
    </row>
    <row r="256" spans="1:493" ht="409.5" customHeight="1">
      <c r="A256" s="3904" t="s">
        <v>6980</v>
      </c>
      <c r="B256" s="3904"/>
      <c r="C256" s="3904"/>
      <c r="D256" s="3904"/>
      <c r="E256" s="3904"/>
      <c r="F256" s="3904"/>
      <c r="G256" s="3904"/>
      <c r="H256" s="3904"/>
      <c r="I256" s="3904"/>
      <c r="J256" s="3904"/>
      <c r="K256" s="3904"/>
      <c r="L256" s="3904"/>
      <c r="M256" s="3904"/>
      <c r="N256" s="3903"/>
      <c r="O256" s="3903"/>
      <c r="P256" s="3903"/>
      <c r="Q256" s="3903"/>
      <c r="R256" s="3298" t="s">
        <v>3375</v>
      </c>
      <c r="S256" s="3297"/>
      <c r="T256" s="3297"/>
      <c r="U256" s="3297"/>
      <c r="NP256" s="2260"/>
    </row>
    <row r="257" spans="1:493" ht="11.25" customHeight="1">
      <c r="NP257" s="2260"/>
    </row>
    <row r="258" spans="1:493" ht="12" customHeight="1">
      <c r="NP258" s="2260"/>
    </row>
    <row r="259" spans="1:493" ht="12" customHeight="1">
      <c r="NP259" s="2260"/>
    </row>
    <row r="260" spans="1:493" ht="14" customHeight="1">
      <c r="NP260" s="2260"/>
    </row>
    <row r="261" spans="1:493" s="91" customFormat="1" ht="14"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 customHeight="1">
      <c r="NP268" s="2260"/>
    </row>
    <row r="269" spans="1:493" ht="14" customHeight="1">
      <c r="NP269" s="2260"/>
    </row>
    <row r="270" spans="1:493" ht="14" customHeight="1">
      <c r="NP270" s="2260"/>
    </row>
    <row r="271" spans="1:493" ht="14" customHeight="1">
      <c r="NP271" s="2260"/>
    </row>
    <row r="272" spans="1:493" s="91" customFormat="1" ht="14"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 customHeight="1"/>
    <row r="278" spans="1:493" ht="14" customHeight="1">
      <c r="A278" s="13"/>
      <c r="NP278" s="2260"/>
    </row>
    <row r="279" spans="1:493" ht="14" customHeight="1">
      <c r="NP279" s="2260"/>
    </row>
    <row r="280" spans="1:493" ht="14" customHeight="1">
      <c r="NP280" s="2260"/>
    </row>
    <row r="281" spans="1:493" ht="14" customHeight="1">
      <c r="NP281" s="2260"/>
    </row>
    <row r="282" spans="1:493" ht="14" customHeight="1">
      <c r="NP282" s="2260"/>
    </row>
    <row r="283" spans="1:493" ht="14" customHeight="1"/>
    <row r="284" spans="1:493" s="91" customFormat="1" ht="14"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 customHeight="1"/>
    <row r="290" spans="1:380" ht="14" customHeight="1">
      <c r="A290" s="13"/>
      <c r="NP290" s="2260"/>
    </row>
    <row r="291" spans="1:380" ht="14" customHeight="1">
      <c r="NP291" s="2260"/>
    </row>
    <row r="292" spans="1:380" ht="14" customHeight="1">
      <c r="NP292" s="2260"/>
    </row>
    <row r="293" spans="1:380" ht="14" customHeight="1">
      <c r="NP293" s="2260"/>
    </row>
    <row r="294" spans="1:380" ht="14" customHeight="1">
      <c r="NP294" s="2260"/>
    </row>
    <row r="295" spans="1:380" ht="14" customHeight="1"/>
    <row r="296" spans="1:380" ht="14" customHeight="1"/>
    <row r="297" spans="1:380" ht="14" customHeight="1"/>
    <row r="298" spans="1:380" ht="14" customHeight="1"/>
    <row r="299" spans="1:380" ht="14"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disablePrompts="1"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 J25 J46:J48 H179 J22 J28: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33" sqref="B33"/>
    </sheetView>
  </sheetViews>
  <sheetFormatPr baseColWidth="10" defaultColWidth="8.83203125" defaultRowHeight="13"/>
  <cols>
    <col min="1" max="1" width="22.1640625" style="8" customWidth="1"/>
    <col min="2" max="11" width="12" style="8" customWidth="1"/>
    <col min="12" max="13" width="2.1640625" style="8" customWidth="1"/>
    <col min="14" max="14" width="19.1640625" style="8" customWidth="1"/>
    <col min="15" max="15" width="83" style="8" customWidth="1"/>
    <col min="16" max="16" width="8.83203125" style="8"/>
    <col min="17" max="17" width="5.1640625" style="8" customWidth="1"/>
    <col min="18" max="18" width="12.1640625" style="8" customWidth="1"/>
    <col min="19" max="19" width="12.5" style="8" customWidth="1"/>
    <col min="20" max="25" width="8.83203125" style="8"/>
    <col min="26" max="26" width="10.83203125" style="2259" bestFit="1" customWidth="1"/>
    <col min="27" max="27" width="8.83203125" style="2263"/>
    <col min="28" max="16384" width="8.83203125" style="8"/>
  </cols>
  <sheetData>
    <row r="1" spans="1:27" s="2259" customFormat="1" hidden="1">
      <c r="B1" s="2259" t="s">
        <v>6455</v>
      </c>
      <c r="C1" s="2259" t="s">
        <v>6456</v>
      </c>
      <c r="D1" s="2259" t="s">
        <v>6457</v>
      </c>
      <c r="E1" s="2259" t="s">
        <v>6458</v>
      </c>
      <c r="F1" s="2259" t="s">
        <v>6459</v>
      </c>
      <c r="G1" s="2259" t="s">
        <v>6460</v>
      </c>
      <c r="H1" s="2259" t="s">
        <v>6461</v>
      </c>
      <c r="I1" s="2259" t="s">
        <v>6462</v>
      </c>
      <c r="J1" s="2259" t="s">
        <v>6463</v>
      </c>
      <c r="K1" s="2259" t="s">
        <v>6464</v>
      </c>
      <c r="AA1" s="2261">
        <v>1</v>
      </c>
    </row>
    <row r="2" spans="1:27" s="16" customFormat="1" ht="14" customHeight="1">
      <c r="A2" s="3989" t="str">
        <f>CONCATENATE("PART SIX - OPERATING PRO FORMA","  -  ",'Part I-Project Identification'!$O$7," ",'Part I-Project Identification'!$F$29,", ",'Part I-Project Identification'!F30,", ",'Part I-Project Identification'!J30," County")</f>
        <v>PART SIX - OPERATING PRO FORMA  -  2022-0 Cave Spring Townhomes, Cave Spring, Floyd County</v>
      </c>
      <c r="B2" s="3990"/>
      <c r="C2" s="3990"/>
      <c r="D2" s="3990"/>
      <c r="E2" s="3990"/>
      <c r="F2" s="3990"/>
      <c r="G2" s="3990"/>
      <c r="H2" s="3990"/>
      <c r="I2" s="3990"/>
      <c r="J2" s="3990"/>
      <c r="K2" s="3991"/>
      <c r="L2" s="10"/>
      <c r="M2" s="10"/>
      <c r="N2" s="3992" t="str">
        <f>A2</f>
        <v>PART SIX - OPERATING PRO FORMA  -  2022-0 Cave Spring Townhomes, Cave Spring, Floyd County</v>
      </c>
      <c r="O2" s="3992"/>
      <c r="P2" s="10"/>
      <c r="Z2" s="2259"/>
      <c r="AA2" s="2262">
        <v>2</v>
      </c>
    </row>
    <row r="3" spans="1:27" ht="13.5" customHeight="1">
      <c r="A3" s="502"/>
      <c r="B3" s="502"/>
      <c r="C3" s="502"/>
      <c r="D3" s="502"/>
      <c r="E3" s="502"/>
      <c r="F3" s="502"/>
      <c r="G3" s="502"/>
      <c r="H3" s="502"/>
      <c r="I3" s="502"/>
      <c r="J3" s="502"/>
      <c r="K3" s="502"/>
      <c r="N3" s="3993" t="s">
        <v>1711</v>
      </c>
      <c r="O3" s="3993"/>
      <c r="AA3" s="2263">
        <v>3</v>
      </c>
    </row>
    <row r="4" spans="1:27" ht="13.5" customHeight="1">
      <c r="A4" s="13" t="s">
        <v>85</v>
      </c>
      <c r="C4" s="3994" t="str">
        <f>'Part I-Project Identification'!$A$6</f>
        <v>May 12 2022 Core Application</v>
      </c>
      <c r="D4" s="1211" t="s">
        <v>75</v>
      </c>
      <c r="E4" s="235"/>
      <c r="F4" s="1212" t="s">
        <v>3404</v>
      </c>
      <c r="N4" s="13" t="str">
        <f>A4</f>
        <v>I.  OPERATING ASSUMPTIONS</v>
      </c>
      <c r="O4" s="31"/>
      <c r="AA4" s="2263">
        <v>4</v>
      </c>
    </row>
    <row r="5" spans="1:27" ht="2.5" customHeight="1">
      <c r="A5" s="16"/>
      <c r="B5" s="16"/>
      <c r="C5" s="3994"/>
      <c r="H5" s="16"/>
      <c r="I5" s="16"/>
      <c r="AA5" s="2263">
        <v>5</v>
      </c>
    </row>
    <row r="6" spans="1:27" ht="13.5" customHeight="1">
      <c r="A6" s="16" t="s">
        <v>2032</v>
      </c>
      <c r="B6" s="77">
        <v>0.02</v>
      </c>
      <c r="C6" s="3994"/>
      <c r="D6" s="3954" t="s">
        <v>3405</v>
      </c>
      <c r="E6" s="3954"/>
      <c r="F6" s="3954"/>
      <c r="G6" s="80">
        <v>5000</v>
      </c>
      <c r="H6" s="97" t="s">
        <v>1768</v>
      </c>
      <c r="K6" s="102">
        <f>IF(($B$15+$B$16+$B$17+$B$18)=0,"",B31/($B$15+$B$16+$B$17+$B$18))</f>
        <v>-1.1675805366230037E-2</v>
      </c>
      <c r="N6" s="3893"/>
      <c r="O6" s="3895"/>
      <c r="AA6" s="2263">
        <v>6</v>
      </c>
    </row>
    <row r="7" spans="1:27">
      <c r="A7" s="16" t="s">
        <v>2033</v>
      </c>
      <c r="B7" s="77">
        <v>0.03</v>
      </c>
      <c r="C7" s="3994"/>
      <c r="D7" s="3954"/>
      <c r="E7" s="3954"/>
      <c r="F7" s="3954"/>
      <c r="G7" s="1213">
        <f>IF(OR('Part II-Sources of Funds'!E6="Yes",'Part II-Sources of Funds'!I6&gt;0),'DCA Underwriting Assumptions'!$Q$61,0)</f>
        <v>0</v>
      </c>
      <c r="H7" s="16"/>
      <c r="I7" s="16"/>
      <c r="J7" s="16"/>
      <c r="K7" s="16"/>
      <c r="N7" s="3867"/>
      <c r="O7" s="3869"/>
      <c r="AA7" s="2263">
        <v>7</v>
      </c>
    </row>
    <row r="8" spans="1:27">
      <c r="A8" s="16" t="s">
        <v>2035</v>
      </c>
      <c r="B8" s="77">
        <v>0.03</v>
      </c>
      <c r="C8" s="3994"/>
      <c r="D8" s="79" t="s">
        <v>258</v>
      </c>
      <c r="G8" s="82"/>
      <c r="H8" s="97" t="s">
        <v>2192</v>
      </c>
      <c r="K8" s="102">
        <f>IF(($B$15+$B$16+$B$17+$B$18)=0,"",-B22/($B$15+$B$16+$B$17+$B$18))</f>
        <v>5.999962861598291E-2</v>
      </c>
      <c r="N8" s="3867"/>
      <c r="O8" s="3869"/>
      <c r="AA8" s="2263">
        <v>8</v>
      </c>
    </row>
    <row r="9" spans="1:27" ht="13.25" customHeight="1">
      <c r="A9" s="16" t="s">
        <v>2034</v>
      </c>
      <c r="B9" s="241">
        <v>7.0000000000000007E-2</v>
      </c>
      <c r="C9" s="1534" t="str">
        <f>IF(B9&lt;0.07, "Must be &gt;= 7%!","")</f>
        <v/>
      </c>
      <c r="D9" s="78" t="s">
        <v>2308</v>
      </c>
      <c r="G9" s="1554"/>
      <c r="H9" s="175" t="s">
        <v>1356</v>
      </c>
      <c r="K9" s="1556"/>
      <c r="N9" s="3867"/>
      <c r="O9" s="3869"/>
      <c r="AA9" s="2263">
        <v>9</v>
      </c>
    </row>
    <row r="10" spans="1:27">
      <c r="A10" s="16" t="s">
        <v>1337</v>
      </c>
      <c r="B10" s="77">
        <v>0.02</v>
      </c>
      <c r="D10" s="78" t="s">
        <v>1598</v>
      </c>
      <c r="G10" s="1555" t="s">
        <v>2651</v>
      </c>
      <c r="H10" s="175" t="s">
        <v>2175</v>
      </c>
      <c r="K10" s="1557">
        <v>0.06</v>
      </c>
      <c r="N10" s="3873"/>
      <c r="O10" s="3875"/>
      <c r="AA10" s="2261">
        <v>10</v>
      </c>
    </row>
    <row r="11" spans="1:27" ht="9" customHeight="1">
      <c r="AA11" s="2262">
        <v>11</v>
      </c>
    </row>
    <row r="12" spans="1:27">
      <c r="A12" s="13" t="s">
        <v>86</v>
      </c>
      <c r="D12" s="1101"/>
      <c r="N12" s="13" t="str">
        <f>A12</f>
        <v>II.  OPERATING PRO FORMA</v>
      </c>
      <c r="AA12" s="2263">
        <v>12</v>
      </c>
    </row>
    <row r="13" spans="1:27" ht="2.5" customHeight="1">
      <c r="AA13" s="2263">
        <v>13</v>
      </c>
    </row>
    <row r="14" spans="1:27" ht="1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2412</v>
      </c>
      <c r="O14" s="3550"/>
      <c r="AA14" s="2263">
        <v>14</v>
      </c>
    </row>
    <row r="15" spans="1:27" ht="13.25" customHeight="1">
      <c r="A15" s="18" t="s">
        <v>2216</v>
      </c>
      <c r="B15" s="19">
        <f>'Part V-Revenues &amp; Expenses'!$M$50</f>
        <v>451440</v>
      </c>
      <c r="C15" s="19">
        <f t="shared" ref="C15:K15" si="1">$B$15*(1+$B$6)^(C14-1)</f>
        <v>460468.8</v>
      </c>
      <c r="D15" s="19">
        <f t="shared" si="1"/>
        <v>469678.17599999998</v>
      </c>
      <c r="E15" s="19">
        <f t="shared" si="1"/>
        <v>479071.73951999994</v>
      </c>
      <c r="F15" s="19">
        <f t="shared" si="1"/>
        <v>488653.17431039998</v>
      </c>
      <c r="G15" s="19">
        <f t="shared" si="1"/>
        <v>498426.23779660801</v>
      </c>
      <c r="H15" s="19">
        <f t="shared" si="1"/>
        <v>508394.76255254017</v>
      </c>
      <c r="I15" s="19">
        <f t="shared" si="1"/>
        <v>518562.65780359088</v>
      </c>
      <c r="J15" s="19">
        <f t="shared" si="1"/>
        <v>528933.91095966275</v>
      </c>
      <c r="K15" s="20">
        <f t="shared" si="1"/>
        <v>539512.589178856</v>
      </c>
      <c r="N15" s="3893"/>
      <c r="O15" s="3895"/>
      <c r="S15" s="3985" t="s">
        <v>3410</v>
      </c>
      <c r="Z15" s="2259" t="s">
        <v>6465</v>
      </c>
      <c r="AA15" s="2263">
        <v>15</v>
      </c>
    </row>
    <row r="16" spans="1:27" ht="13.25" customHeight="1">
      <c r="A16" s="21" t="s">
        <v>953</v>
      </c>
      <c r="B16" s="22">
        <f>MIN(B15*B10,'Part V-Revenues &amp; Expenses'!$H$179)</f>
        <v>9028.8000000000011</v>
      </c>
      <c r="C16" s="22">
        <f t="shared" ref="C16:K16" si="2">$B$16*(1+$B$6)^(C14-1)</f>
        <v>9209.376000000002</v>
      </c>
      <c r="D16" s="22">
        <f t="shared" si="2"/>
        <v>9393.5635200000015</v>
      </c>
      <c r="E16" s="22">
        <f t="shared" si="2"/>
        <v>9581.4347904000006</v>
      </c>
      <c r="F16" s="22">
        <f t="shared" si="2"/>
        <v>9773.0634862080005</v>
      </c>
      <c r="G16" s="22">
        <f t="shared" si="2"/>
        <v>9968.5247559321615</v>
      </c>
      <c r="H16" s="22">
        <f t="shared" si="2"/>
        <v>10167.895251050804</v>
      </c>
      <c r="I16" s="22">
        <f t="shared" si="2"/>
        <v>10371.253156071818</v>
      </c>
      <c r="J16" s="22">
        <f t="shared" si="2"/>
        <v>10578.678219193256</v>
      </c>
      <c r="K16" s="23">
        <f t="shared" si="2"/>
        <v>10790.251783577121</v>
      </c>
      <c r="N16" s="3867"/>
      <c r="O16" s="3869"/>
      <c r="S16" s="3986"/>
      <c r="Z16" s="2259" t="s">
        <v>6465</v>
      </c>
      <c r="AA16" s="2263">
        <v>16</v>
      </c>
    </row>
    <row r="17" spans="1:27" ht="13.25" customHeight="1">
      <c r="A17" s="21" t="s">
        <v>2217</v>
      </c>
      <c r="B17" s="22">
        <f t="shared" ref="B17:K17" si="3">-(B15+B16)*$B$9</f>
        <v>-32232.816000000003</v>
      </c>
      <c r="C17" s="22">
        <f t="shared" si="3"/>
        <v>-32877.472320000001</v>
      </c>
      <c r="D17" s="22">
        <f t="shared" si="3"/>
        <v>-33535.021766400001</v>
      </c>
      <c r="E17" s="22">
        <f t="shared" si="3"/>
        <v>-34205.722201728</v>
      </c>
      <c r="F17" s="22">
        <f t="shared" si="3"/>
        <v>-34889.83664576256</v>
      </c>
      <c r="G17" s="22">
        <f t="shared" si="3"/>
        <v>-35587.633378677812</v>
      </c>
      <c r="H17" s="22">
        <f t="shared" si="3"/>
        <v>-36299.386046251369</v>
      </c>
      <c r="I17" s="22">
        <f t="shared" si="3"/>
        <v>-37025.373767176388</v>
      </c>
      <c r="J17" s="22">
        <f t="shared" si="3"/>
        <v>-37765.881242519921</v>
      </c>
      <c r="K17" s="23">
        <f t="shared" si="3"/>
        <v>-38521.198867370324</v>
      </c>
      <c r="N17" s="3867"/>
      <c r="O17" s="3869"/>
      <c r="Q17" s="3988" t="s">
        <v>3300</v>
      </c>
      <c r="R17" s="3988" t="s">
        <v>3409</v>
      </c>
      <c r="S17" s="3986"/>
      <c r="Z17" s="2259" t="s">
        <v>6465</v>
      </c>
      <c r="AA17" s="2263">
        <v>17</v>
      </c>
    </row>
    <row r="18" spans="1:27" ht="13.2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7"/>
      <c r="O18" s="3869"/>
      <c r="Q18" s="3988"/>
      <c r="R18" s="3988"/>
      <c r="S18" s="3987"/>
      <c r="Z18" s="2259" t="s">
        <v>6465</v>
      </c>
      <c r="AA18" s="2263">
        <v>18</v>
      </c>
    </row>
    <row r="19" spans="1:27" ht="13.2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7"/>
      <c r="O19" s="3869"/>
      <c r="Z19" s="2259" t="s">
        <v>6465</v>
      </c>
      <c r="AA19" s="2261">
        <v>19</v>
      </c>
    </row>
    <row r="20" spans="1:27" ht="13.25" customHeight="1">
      <c r="A20" s="447" t="s">
        <v>3840</v>
      </c>
      <c r="B20" s="22">
        <f>SUM(B15:B19)</f>
        <v>428235.984</v>
      </c>
      <c r="C20" s="22">
        <f t="shared" ref="C20:K20" si="4">SUM(C15:C19)</f>
        <v>436800.70367999998</v>
      </c>
      <c r="D20" s="22">
        <f t="shared" si="4"/>
        <v>445536.71775359998</v>
      </c>
      <c r="E20" s="22">
        <f t="shared" si="4"/>
        <v>454447.45210867189</v>
      </c>
      <c r="F20" s="22">
        <f t="shared" si="4"/>
        <v>463536.4011508454</v>
      </c>
      <c r="G20" s="22">
        <f t="shared" si="4"/>
        <v>472807.12917386234</v>
      </c>
      <c r="H20" s="22">
        <f t="shared" si="4"/>
        <v>482263.27175733959</v>
      </c>
      <c r="I20" s="22">
        <f t="shared" si="4"/>
        <v>491908.53719248623</v>
      </c>
      <c r="J20" s="22">
        <f t="shared" si="4"/>
        <v>501746.70793633605</v>
      </c>
      <c r="K20" s="23">
        <f t="shared" si="4"/>
        <v>511781.64209506282</v>
      </c>
      <c r="N20" s="3867"/>
      <c r="O20" s="3869"/>
      <c r="Z20" s="2259" t="s">
        <v>6465</v>
      </c>
      <c r="AA20" s="2262">
        <v>20</v>
      </c>
    </row>
    <row r="21" spans="1:27" ht="13.25" customHeight="1">
      <c r="A21" s="21" t="s">
        <v>572</v>
      </c>
      <c r="B21" s="22">
        <f>-('Part V-Revenues &amp; Expenses'!$Q$228-'Part V-Revenues &amp; Expenses'!$Q$220)</f>
        <v>-258341</v>
      </c>
      <c r="C21" s="22">
        <f t="shared" ref="C21:K21" si="5">$B$21*(1+$B$7)^(C14-1)</f>
        <v>-266091.23</v>
      </c>
      <c r="D21" s="22">
        <f t="shared" si="5"/>
        <v>-274073.9669</v>
      </c>
      <c r="E21" s="22">
        <f t="shared" si="5"/>
        <v>-282296.18590699998</v>
      </c>
      <c r="F21" s="22">
        <f t="shared" si="5"/>
        <v>-290765.07148420997</v>
      </c>
      <c r="G21" s="22">
        <f t="shared" si="5"/>
        <v>-299488.02362873626</v>
      </c>
      <c r="H21" s="22">
        <f t="shared" si="5"/>
        <v>-308472.66433759837</v>
      </c>
      <c r="I21" s="22">
        <f t="shared" si="5"/>
        <v>-317726.84426772635</v>
      </c>
      <c r="J21" s="22">
        <f t="shared" si="5"/>
        <v>-327258.64959575806</v>
      </c>
      <c r="K21" s="23">
        <f t="shared" si="5"/>
        <v>-337076.40908363083</v>
      </c>
      <c r="N21" s="3867"/>
      <c r="O21" s="3869"/>
      <c r="Q21" s="62">
        <v>1</v>
      </c>
      <c r="R21" s="1105">
        <f>-B32</f>
        <v>15000</v>
      </c>
      <c r="S21" s="1105">
        <f>B33+R21</f>
        <v>26071.40907871454</v>
      </c>
      <c r="Z21" s="2259" t="s">
        <v>6465</v>
      </c>
      <c r="AA21" s="2263">
        <v>21</v>
      </c>
    </row>
    <row r="22" spans="1:27" ht="13.25" customHeight="1">
      <c r="A22" s="21" t="s">
        <v>1051</v>
      </c>
      <c r="B22" s="22">
        <f>IF(AND('Part VI-Pro Forma'!$G$9="Yes",'Part VI-Pro Forma'!$G$10="Yes"),"Choose One!",IF('Part VI-Pro Forma'!$G$9="Yes",ROUND((-$K$9*(1+'Part VI-Pro Forma'!$B$7)^('Part VI-Pro Forma'!B14-1)),),IF('Part VI-Pro Forma'!$G$10="Yes",ROUND((-(SUM(B15:B18)*'Part VI-Pro Forma'!$K$10)),),"Choose mgt fee")))</f>
        <v>-25694</v>
      </c>
      <c r="C22" s="22">
        <f>IF(AND('Part VI-Pro Forma'!$G$9="Yes",'Part VI-Pro Forma'!$G$10="Yes"),"Choose One!",IF('Part VI-Pro Forma'!$G$9="Yes",ROUND((-$K$9*(1+'Part VI-Pro Forma'!$B$7)^('Part VI-Pro Forma'!C14-1)),),IF('Part VI-Pro Forma'!$G$10="Yes",ROUND((-(SUM(C15:C18)*'Part VI-Pro Forma'!$K$10)),),"Choose mgt fee")))</f>
        <v>-26208</v>
      </c>
      <c r="D22" s="22">
        <f>IF(AND('Part VI-Pro Forma'!$G$9="Yes",'Part VI-Pro Forma'!$G$10="Yes"),"Choose One!",IF('Part VI-Pro Forma'!$G$9="Yes",ROUND((-$K$9*(1+'Part VI-Pro Forma'!$B$7)^('Part VI-Pro Forma'!D14-1)),),IF('Part VI-Pro Forma'!$G$10="Yes",ROUND((-(SUM(D15:D18)*'Part VI-Pro Forma'!$K$10)),),"Choose mgt fee")))</f>
        <v>-26732</v>
      </c>
      <c r="E22" s="22">
        <f>IF(AND('Part VI-Pro Forma'!$G$9="Yes",'Part VI-Pro Forma'!$G$10="Yes"),"Choose One!",IF('Part VI-Pro Forma'!$G$9="Yes",ROUND((-$K$9*(1+'Part VI-Pro Forma'!$B$7)^('Part VI-Pro Forma'!E14-1)),),IF('Part VI-Pro Forma'!$G$10="Yes",ROUND((-(SUM(E15:E18)*'Part VI-Pro Forma'!$K$10)),),"Choose mgt fee")))</f>
        <v>-27267</v>
      </c>
      <c r="F22" s="22">
        <f>IF(AND('Part VI-Pro Forma'!$G$9="Yes",'Part VI-Pro Forma'!$G$10="Yes"),"Choose One!",IF('Part VI-Pro Forma'!$G$9="Yes",ROUND((-$K$9*(1+'Part VI-Pro Forma'!$B$7)^('Part VI-Pro Forma'!F14-1)),),IF('Part VI-Pro Forma'!$G$10="Yes",ROUND((-(SUM(F15:F18)*'Part VI-Pro Forma'!$K$10)),),"Choose mgt fee")))</f>
        <v>-27812</v>
      </c>
      <c r="G22" s="22">
        <f>IF(AND('Part VI-Pro Forma'!$G$9="Yes",'Part VI-Pro Forma'!$G$10="Yes"),"Choose One!",IF('Part VI-Pro Forma'!$G$9="Yes",ROUND((-$K$9*(1+'Part VI-Pro Forma'!$B$7)^('Part VI-Pro Forma'!G14-1)),),IF('Part VI-Pro Forma'!$G$10="Yes",ROUND((-(SUM(G15:G18)*'Part VI-Pro Forma'!$K$10)),),"Choose mgt fee")))</f>
        <v>-28368</v>
      </c>
      <c r="H22" s="22">
        <f>IF(AND('Part VI-Pro Forma'!$G$9="Yes",'Part VI-Pro Forma'!$G$10="Yes"),"Choose One!",IF('Part VI-Pro Forma'!$G$9="Yes",ROUND((-$K$9*(1+'Part VI-Pro Forma'!$B$7)^('Part VI-Pro Forma'!H14-1)),),IF('Part VI-Pro Forma'!$G$10="Yes",ROUND((-(SUM(H15:H18)*'Part VI-Pro Forma'!$K$10)),),"Choose mgt fee")))</f>
        <v>-28936</v>
      </c>
      <c r="I22" s="22">
        <f>IF(AND('Part VI-Pro Forma'!$G$9="Yes",'Part VI-Pro Forma'!$G$10="Yes"),"Choose One!",IF('Part VI-Pro Forma'!$G$9="Yes",ROUND((-$K$9*(1+'Part VI-Pro Forma'!$B$7)^('Part VI-Pro Forma'!I14-1)),),IF('Part VI-Pro Forma'!$G$10="Yes",ROUND((-(SUM(I15:I18)*'Part VI-Pro Forma'!$K$10)),),"Choose mgt fee")))</f>
        <v>-29515</v>
      </c>
      <c r="J22" s="22">
        <f>IF(AND('Part VI-Pro Forma'!$G$9="Yes",'Part VI-Pro Forma'!$G$10="Yes"),"Choose One!",IF('Part VI-Pro Forma'!$G$9="Yes",ROUND((-$K$9*(1+'Part VI-Pro Forma'!$B$7)^('Part VI-Pro Forma'!J14-1)),),IF('Part VI-Pro Forma'!$G$10="Yes",ROUND((-(SUM(J15:J18)*'Part VI-Pro Forma'!$K$10)),),"Choose mgt fee")))</f>
        <v>-30105</v>
      </c>
      <c r="K22" s="23">
        <f>IF(AND('Part VI-Pro Forma'!$G$9="Yes",'Part VI-Pro Forma'!$G$10="Yes"),"Choose One!",IF('Part VI-Pro Forma'!$G$9="Yes",ROUND((-$K$9*(1+'Part VI-Pro Forma'!$B$7)^('Part VI-Pro Forma'!K14-1)),),IF('Part VI-Pro Forma'!$G$10="Yes",ROUND((-(SUM(K15:K18)*'Part VI-Pro Forma'!$K$10)),),"Choose mgt fee")))</f>
        <v>-30707</v>
      </c>
      <c r="N22" s="3867"/>
      <c r="O22" s="3869"/>
      <c r="Q22" s="62">
        <v>2</v>
      </c>
      <c r="R22" s="1105">
        <f>-SUM(B32:C32)</f>
        <v>15000</v>
      </c>
      <c r="S22" s="1105">
        <f>SUM(B33:C33)+R22</f>
        <v>52053.307837429078</v>
      </c>
      <c r="Z22" s="2259" t="s">
        <v>6465</v>
      </c>
      <c r="AA22" s="2263">
        <v>22</v>
      </c>
    </row>
    <row r="23" spans="1:27" ht="13.25" customHeight="1">
      <c r="A23" s="21" t="s">
        <v>1129</v>
      </c>
      <c r="B23" s="22">
        <f>-('Part V-Revenues &amp; Expenses'!$Q$234)</f>
        <v>-13000</v>
      </c>
      <c r="C23" s="22">
        <f t="shared" ref="C23:K23" si="6">$B$23*(1+$B$8)^(C14-1)</f>
        <v>-13390</v>
      </c>
      <c r="D23" s="22">
        <f t="shared" si="6"/>
        <v>-13791.699999999999</v>
      </c>
      <c r="E23" s="22">
        <f t="shared" si="6"/>
        <v>-14205.451000000001</v>
      </c>
      <c r="F23" s="22">
        <f t="shared" si="6"/>
        <v>-14631.614529999999</v>
      </c>
      <c r="G23" s="22">
        <f t="shared" si="6"/>
        <v>-15070.562965899999</v>
      </c>
      <c r="H23" s="22">
        <f t="shared" si="6"/>
        <v>-15522.679854876998</v>
      </c>
      <c r="I23" s="22">
        <f t="shared" si="6"/>
        <v>-15988.36025052331</v>
      </c>
      <c r="J23" s="22">
        <f t="shared" si="6"/>
        <v>-16468.011058039006</v>
      </c>
      <c r="K23" s="23">
        <f t="shared" si="6"/>
        <v>-16962.051389780179</v>
      </c>
      <c r="N23" s="3867"/>
      <c r="O23" s="3869"/>
      <c r="Q23" s="62">
        <v>3</v>
      </c>
      <c r="R23" s="1105">
        <f>-SUM(B32:D32)</f>
        <v>15000</v>
      </c>
      <c r="S23" s="1105">
        <f>SUM(B33:D33)+R23</f>
        <v>77862.783769743604</v>
      </c>
      <c r="Z23" s="2259" t="s">
        <v>6465</v>
      </c>
      <c r="AA23" s="2263">
        <v>23</v>
      </c>
    </row>
    <row r="24" spans="1:27" ht="13.25" customHeight="1">
      <c r="A24" s="447" t="s">
        <v>3839</v>
      </c>
      <c r="B24" s="1621">
        <f>IF(B14&lt;=+'Part V-Revenues &amp; Expenses'!$N$251,-'Part V-Revenues &amp; Expenses'!$K$251,0)</f>
        <v>-10</v>
      </c>
      <c r="C24" s="1621">
        <f>IF(C14&lt;=+'Part V-Revenues &amp; Expenses'!$N$251,-'Part V-Revenues &amp; Expenses'!$K$251,0)</f>
        <v>-10</v>
      </c>
      <c r="D24" s="1621">
        <f>IF(D14&lt;=+'Part V-Revenues &amp; Expenses'!$N$251,-'Part V-Revenues &amp; Expenses'!$K$251,0)</f>
        <v>-10</v>
      </c>
      <c r="E24" s="1621">
        <f>IF(E14&lt;=+'Part V-Revenues &amp; Expenses'!$N$251,-'Part V-Revenues &amp; Expenses'!$K$251,0)</f>
        <v>-10</v>
      </c>
      <c r="F24" s="1621">
        <f>IF(F14&lt;=+'Part V-Revenues &amp; Expenses'!$N$251,-'Part V-Revenues &amp; Expenses'!$K$251,0)</f>
        <v>-10</v>
      </c>
      <c r="G24" s="1621">
        <f>IF(G14&lt;=+'Part V-Revenues &amp; Expenses'!$N$251,-'Part V-Revenues &amp; Expenses'!$K$251,0)</f>
        <v>-10</v>
      </c>
      <c r="H24" s="1621">
        <f>IF(H14&lt;=+'Part V-Revenues &amp; Expenses'!$N$251,-'Part V-Revenues &amp; Expenses'!$K$251,0)</f>
        <v>-10</v>
      </c>
      <c r="I24" s="1621">
        <f>IF(I14&lt;=+'Part V-Revenues &amp; Expenses'!$N$251,-'Part V-Revenues &amp; Expenses'!$K$251,0)</f>
        <v>-10</v>
      </c>
      <c r="J24" s="1621">
        <f>IF(J14&lt;=+'Part V-Revenues &amp; Expenses'!$N$251,-'Part V-Revenues &amp; Expenses'!$K$251,0)</f>
        <v>-10</v>
      </c>
      <c r="K24" s="1621">
        <f>IF(K14&lt;=+'Part V-Revenues &amp; Expenses'!$N$251,-'Part V-Revenues &amp; Expenses'!$K$251,0)</f>
        <v>-10</v>
      </c>
      <c r="N24" s="3867"/>
      <c r="O24" s="3869"/>
      <c r="Q24" s="958">
        <v>4</v>
      </c>
      <c r="R24" s="1105">
        <f>-SUM(B32:E32)</f>
        <v>15000</v>
      </c>
      <c r="S24" s="1105">
        <f>SUM(B33:E33)+R24</f>
        <v>103412.02405013006</v>
      </c>
      <c r="Z24" s="2259" t="s">
        <v>6465</v>
      </c>
      <c r="AA24" s="2261">
        <v>24</v>
      </c>
    </row>
    <row r="25" spans="1:27" ht="13.25" customHeight="1">
      <c r="A25" s="21" t="s">
        <v>1130</v>
      </c>
      <c r="B25" s="22">
        <f>SUM(B20:B24)</f>
        <v>131190.984</v>
      </c>
      <c r="C25" s="22">
        <f t="shared" ref="C25:J25" si="7">SUM(C20:C24)</f>
        <v>131101.47368</v>
      </c>
      <c r="D25" s="22">
        <f t="shared" si="7"/>
        <v>130929.05085359998</v>
      </c>
      <c r="E25" s="22">
        <f t="shared" si="7"/>
        <v>130668.81520167191</v>
      </c>
      <c r="F25" s="22">
        <f t="shared" si="7"/>
        <v>130317.71513663544</v>
      </c>
      <c r="G25" s="22">
        <f t="shared" si="7"/>
        <v>129870.54257922608</v>
      </c>
      <c r="H25" s="22">
        <f t="shared" si="7"/>
        <v>129321.92756486422</v>
      </c>
      <c r="I25" s="22">
        <f t="shared" si="7"/>
        <v>128668.33267423656</v>
      </c>
      <c r="J25" s="22">
        <f t="shared" si="7"/>
        <v>127905.04728253899</v>
      </c>
      <c r="K25" s="1538">
        <f>SUM(K20:K24)</f>
        <v>127026.18162165181</v>
      </c>
      <c r="N25" s="3867"/>
      <c r="O25" s="3869"/>
      <c r="Q25" s="958">
        <v>5</v>
      </c>
      <c r="R25" s="1105">
        <f>-SUM(B32:F32)</f>
        <v>15000</v>
      </c>
      <c r="S25" s="1105">
        <f>SUM(B33:F33)+R25</f>
        <v>128610.16426548004</v>
      </c>
      <c r="Z25" s="2259" t="s">
        <v>6465</v>
      </c>
      <c r="AA25" s="2262">
        <v>25</v>
      </c>
    </row>
    <row r="26" spans="1:27" ht="13.25" customHeight="1">
      <c r="A26" s="447" t="s">
        <v>1487</v>
      </c>
      <c r="B26" s="448">
        <f>IF('Part II-Sources of Funds'!$P$40="", 0,-'Part II-Sources of Funds'!$P$40)</f>
        <v>-100119.57492128546</v>
      </c>
      <c r="C26" s="448">
        <f>IF('Part II-Sources of Funds'!$P$40="", 0,-'Part II-Sources of Funds'!$P$40)</f>
        <v>-100119.57492128546</v>
      </c>
      <c r="D26" s="448">
        <f>IF('Part II-Sources of Funds'!$P$40="", 0,-'Part II-Sources of Funds'!$P$40)</f>
        <v>-100119.57492128546</v>
      </c>
      <c r="E26" s="448">
        <f>IF('Part II-Sources of Funds'!$P$40="", 0,-'Part II-Sources of Funds'!$P$40)</f>
        <v>-100119.57492128546</v>
      </c>
      <c r="F26" s="448">
        <f>IF('Part II-Sources of Funds'!$P$40="", 0,-'Part II-Sources of Funds'!$P$40)</f>
        <v>-100119.57492128546</v>
      </c>
      <c r="G26" s="448">
        <f>IF('Part II-Sources of Funds'!$P$40="", 0,-'Part II-Sources of Funds'!$P$40)</f>
        <v>-100119.57492128546</v>
      </c>
      <c r="H26" s="448">
        <f>IF('Part II-Sources of Funds'!$P$40="", 0,-'Part II-Sources of Funds'!$P$40)</f>
        <v>-100119.57492128546</v>
      </c>
      <c r="I26" s="448">
        <f>IF('Part II-Sources of Funds'!$P$40="", 0,-'Part II-Sources of Funds'!$P$40)</f>
        <v>-100119.57492128546</v>
      </c>
      <c r="J26" s="448">
        <f>IF('Part II-Sources of Funds'!$P$40="", 0,-'Part II-Sources of Funds'!$P$40)</f>
        <v>-100119.57492128546</v>
      </c>
      <c r="K26" s="448">
        <f>IF('Part II-Sources of Funds'!$P$40="", 0,-'Part II-Sources of Funds'!$P$40)</f>
        <v>-100119.57492128546</v>
      </c>
      <c r="N26" s="3867"/>
      <c r="O26" s="3869"/>
      <c r="Q26" s="958">
        <v>6</v>
      </c>
      <c r="R26" s="1105">
        <f>-SUM(B32:G32)</f>
        <v>15000</v>
      </c>
      <c r="S26" s="1105">
        <f>SUM(B33:G33)+R26</f>
        <v>153361.13192342065</v>
      </c>
      <c r="Z26" s="2259" t="s">
        <v>6465</v>
      </c>
      <c r="AA26" s="2263">
        <v>26</v>
      </c>
    </row>
    <row r="27" spans="1:27" ht="13.2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7"/>
      <c r="O27" s="3869"/>
      <c r="Q27" s="958">
        <v>7</v>
      </c>
      <c r="R27" s="1105">
        <f>-SUM(B32:H32)</f>
        <v>15000</v>
      </c>
      <c r="S27" s="1105">
        <f>SUM(B33:H33)+R27</f>
        <v>177563.48456699942</v>
      </c>
      <c r="Z27" s="2259" t="s">
        <v>6465</v>
      </c>
      <c r="AA27" s="2263">
        <v>27</v>
      </c>
    </row>
    <row r="28" spans="1:27" ht="13.2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7"/>
      <c r="O28" s="3869"/>
      <c r="Q28" s="958">
        <v>8</v>
      </c>
      <c r="R28" s="1105">
        <f>-SUM(B32:I32)</f>
        <v>15000</v>
      </c>
      <c r="S28" s="1105">
        <f>SUM(B33:I33)+R28</f>
        <v>201112.24231995054</v>
      </c>
      <c r="Z28" s="2259" t="s">
        <v>6465</v>
      </c>
      <c r="AA28" s="2263">
        <v>28</v>
      </c>
    </row>
    <row r="29" spans="1:27" ht="13.2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7"/>
      <c r="O29" s="3869"/>
      <c r="Q29" s="958">
        <v>9</v>
      </c>
      <c r="R29" s="1105">
        <f>-SUM(B32:J32)</f>
        <v>15000</v>
      </c>
      <c r="S29" s="1105">
        <f>SUM(B33:J33)+R29</f>
        <v>223897.71468120406</v>
      </c>
      <c r="Z29" s="2259" t="s">
        <v>6465</v>
      </c>
      <c r="AA29" s="2263">
        <v>29</v>
      </c>
    </row>
    <row r="30" spans="1:27" ht="13.25" customHeight="1">
      <c r="A30" s="21" t="s">
        <v>711</v>
      </c>
      <c r="B30" s="173"/>
      <c r="C30" s="173"/>
      <c r="D30" s="173"/>
      <c r="E30" s="173"/>
      <c r="F30" s="173"/>
      <c r="G30" s="173"/>
      <c r="H30" s="173"/>
      <c r="I30" s="173"/>
      <c r="J30" s="173"/>
      <c r="K30" s="173"/>
      <c r="N30" s="3867"/>
      <c r="O30" s="3869"/>
      <c r="Q30" s="958">
        <v>10</v>
      </c>
      <c r="R30" s="1105">
        <f>-SUM(B32:K32)</f>
        <v>15000</v>
      </c>
      <c r="S30" s="1105">
        <f>SUM(B33:K33)+R30</f>
        <v>245804.32138157042</v>
      </c>
      <c r="Z30" s="2259" t="s">
        <v>6465</v>
      </c>
      <c r="AA30" s="2263">
        <v>30</v>
      </c>
    </row>
    <row r="31" spans="1:27" ht="13.25" customHeight="1">
      <c r="A31" s="447" t="s">
        <v>1096</v>
      </c>
      <c r="B31" s="1164">
        <f>-$G$6</f>
        <v>-5000</v>
      </c>
      <c r="C31" s="1164">
        <f t="shared" ref="C31:K31" si="8">+B31</f>
        <v>-5000</v>
      </c>
      <c r="D31" s="1164">
        <f t="shared" si="8"/>
        <v>-5000</v>
      </c>
      <c r="E31" s="1164">
        <f>+D31</f>
        <v>-5000</v>
      </c>
      <c r="F31" s="1164">
        <f t="shared" si="8"/>
        <v>-5000</v>
      </c>
      <c r="G31" s="1164">
        <f t="shared" si="8"/>
        <v>-5000</v>
      </c>
      <c r="H31" s="1164">
        <f t="shared" si="8"/>
        <v>-5000</v>
      </c>
      <c r="I31" s="1164">
        <f t="shared" si="8"/>
        <v>-5000</v>
      </c>
      <c r="J31" s="1164">
        <f t="shared" si="8"/>
        <v>-5000</v>
      </c>
      <c r="K31" s="1164">
        <f t="shared" si="8"/>
        <v>-5000</v>
      </c>
      <c r="N31" s="3867"/>
      <c r="O31" s="3869"/>
      <c r="Q31" s="958">
        <v>11</v>
      </c>
      <c r="R31" s="1105">
        <f>-SUM(B32:K32)-B64</f>
        <v>15000</v>
      </c>
      <c r="S31" s="1105">
        <f>SUM(B33:K33)+B65+R31</f>
        <v>266711.40710963571</v>
      </c>
      <c r="Z31" s="2259" t="s">
        <v>6465</v>
      </c>
      <c r="AA31" s="2263">
        <v>31</v>
      </c>
    </row>
    <row r="32" spans="1:27" ht="13.25" customHeight="1">
      <c r="A32" s="447" t="s">
        <v>3363</v>
      </c>
      <c r="B32" s="234">
        <v>-15000</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7"/>
      <c r="O32" s="3869"/>
      <c r="Q32" s="958">
        <v>12</v>
      </c>
      <c r="R32" s="1105">
        <f>-SUM(B32:K32) - SUM(B64:C64)</f>
        <v>15000</v>
      </c>
      <c r="S32" s="1105">
        <f>SUM(B33:K33) + SUM(B65:C65)+R32</f>
        <v>286493.04990781174</v>
      </c>
      <c r="Z32" s="2259" t="s">
        <v>6465</v>
      </c>
      <c r="AA32" s="2263">
        <v>32</v>
      </c>
    </row>
    <row r="33" spans="1:27" ht="13.25" customHeight="1">
      <c r="A33" s="21" t="s">
        <v>1097</v>
      </c>
      <c r="B33" s="22">
        <f t="shared" ref="B33:K33" si="9">SUM(B25:B32)</f>
        <v>11071.40907871454</v>
      </c>
      <c r="C33" s="22">
        <f t="shared" si="9"/>
        <v>25981.898758714538</v>
      </c>
      <c r="D33" s="22">
        <f t="shared" si="9"/>
        <v>25809.475932314526</v>
      </c>
      <c r="E33" s="22">
        <f t="shared" si="9"/>
        <v>25549.240280386453</v>
      </c>
      <c r="F33" s="22">
        <f t="shared" si="9"/>
        <v>25198.14021534998</v>
      </c>
      <c r="G33" s="22">
        <f t="shared" si="9"/>
        <v>24750.967657940622</v>
      </c>
      <c r="H33" s="22">
        <f t="shared" si="9"/>
        <v>24202.352643578764</v>
      </c>
      <c r="I33" s="22">
        <f t="shared" si="9"/>
        <v>23548.757752951104</v>
      </c>
      <c r="J33" s="22">
        <f t="shared" si="9"/>
        <v>22785.472361253531</v>
      </c>
      <c r="K33" s="23">
        <f t="shared" si="9"/>
        <v>21906.606700366348</v>
      </c>
      <c r="N33" s="3867"/>
      <c r="O33" s="3869"/>
      <c r="Q33" s="958">
        <v>13</v>
      </c>
      <c r="R33" s="1105">
        <f>-SUM(B32:K32) - SUM(B64:D64)</f>
        <v>15000</v>
      </c>
      <c r="S33" s="1105">
        <f>SUM(B33:K33) + SUM(B65:D65)+R33</f>
        <v>305016.86303321488</v>
      </c>
      <c r="Z33" s="2259" t="s">
        <v>6465</v>
      </c>
      <c r="AA33" s="2261">
        <v>33</v>
      </c>
    </row>
    <row r="34" spans="1:27" ht="13.25" customHeight="1">
      <c r="A34" s="21" t="str">
        <f>IF('Part II-Sources of Funds'!$E$40 = "Neither", "", "DCR Mortgage A")</f>
        <v>DCR Mortgage A</v>
      </c>
      <c r="B34" s="24">
        <f t="shared" ref="B34:K34" si="10">IF(B26=0,"",-B25/B26)</f>
        <v>1.3103429983911044</v>
      </c>
      <c r="C34" s="24">
        <f t="shared" si="10"/>
        <v>1.3094489642317466</v>
      </c>
      <c r="D34" s="24">
        <f t="shared" si="10"/>
        <v>1.3077267952499509</v>
      </c>
      <c r="E34" s="24">
        <f t="shared" si="10"/>
        <v>1.3051275467799821</v>
      </c>
      <c r="F34" s="24">
        <f t="shared" si="10"/>
        <v>1.3016207393917913</v>
      </c>
      <c r="G34" s="24">
        <f t="shared" si="10"/>
        <v>1.2971543544939239</v>
      </c>
      <c r="H34" s="24">
        <f t="shared" si="10"/>
        <v>1.2916747565752034</v>
      </c>
      <c r="I34" s="24">
        <f t="shared" si="10"/>
        <v>1.2851466136906422</v>
      </c>
      <c r="J34" s="24">
        <f t="shared" si="10"/>
        <v>1.2775228758521859</v>
      </c>
      <c r="K34" s="25">
        <f t="shared" si="10"/>
        <v>1.2687447157213809</v>
      </c>
      <c r="N34" s="3867"/>
      <c r="O34" s="3869"/>
      <c r="Q34" s="958">
        <v>14</v>
      </c>
      <c r="R34" s="1105">
        <f>-SUM(B32:K32) - SUM(B64:E64)</f>
        <v>15000</v>
      </c>
      <c r="S34" s="1105">
        <f>SUM(B33:K33) + SUM(B65:E65)+R34</f>
        <v>322144.79007157439</v>
      </c>
      <c r="Z34" s="2259" t="s">
        <v>6465</v>
      </c>
      <c r="AA34" s="2262">
        <v>34</v>
      </c>
    </row>
    <row r="35" spans="1:27" ht="13.2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7"/>
      <c r="O35" s="3869"/>
      <c r="Q35" s="958">
        <v>15</v>
      </c>
      <c r="R35" s="1105">
        <f>-SUM(B32:K32) - SUM(B64:F64)</f>
        <v>15000</v>
      </c>
      <c r="S35" s="1105">
        <f>SUM(B33:K33) + SUM(B65:F65)+R35</f>
        <v>337732.89308571024</v>
      </c>
      <c r="Z35" s="2259" t="s">
        <v>6465</v>
      </c>
      <c r="AA35" s="2263">
        <v>35</v>
      </c>
    </row>
    <row r="36" spans="1:27" ht="13.2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7"/>
      <c r="O36" s="3869"/>
      <c r="Q36" s="62">
        <v>16</v>
      </c>
      <c r="R36" s="1105">
        <f>-SUM(B32:K32) - SUM(B64:G64)</f>
        <v>15000</v>
      </c>
      <c r="S36" s="1105">
        <f>SUM(B33:K33) + SUM(B65:G65)+R36</f>
        <v>351631.13357323519</v>
      </c>
      <c r="Z36" s="2259" t="s">
        <v>6465</v>
      </c>
      <c r="AA36" s="2263">
        <v>36</v>
      </c>
    </row>
    <row r="37" spans="1:27" ht="13.2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7"/>
      <c r="O37" s="3869"/>
      <c r="Q37" s="62">
        <v>17</v>
      </c>
      <c r="R37" s="1105">
        <f>-SUM(B32:K32) - SUM(B64:H64)</f>
        <v>15000</v>
      </c>
      <c r="S37" s="1105">
        <f>SUM(B33:K33) + SUM(B65:H65)+R37</f>
        <v>363682.14600105782</v>
      </c>
      <c r="Z37" s="2259" t="s">
        <v>6465</v>
      </c>
      <c r="AA37" s="2263">
        <v>37</v>
      </c>
    </row>
    <row r="38" spans="1:27" ht="13.25" customHeight="1">
      <c r="A38" s="447" t="s">
        <v>3215</v>
      </c>
      <c r="B38" s="24">
        <f t="shared" ref="B38:K38" si="14">IF(AND(B26=0,B27=0,B28=0,B29=0),"",-B25/(B26+B27+B28+B29))</f>
        <v>1.3103429983911044</v>
      </c>
      <c r="C38" s="24">
        <f t="shared" si="14"/>
        <v>1.3094489642317466</v>
      </c>
      <c r="D38" s="24">
        <f t="shared" si="14"/>
        <v>1.3077267952499509</v>
      </c>
      <c r="E38" s="24">
        <f t="shared" si="14"/>
        <v>1.3051275467799821</v>
      </c>
      <c r="F38" s="24">
        <f t="shared" si="14"/>
        <v>1.3016207393917913</v>
      </c>
      <c r="G38" s="24">
        <f t="shared" si="14"/>
        <v>1.2971543544939239</v>
      </c>
      <c r="H38" s="24">
        <f t="shared" si="14"/>
        <v>1.2916747565752034</v>
      </c>
      <c r="I38" s="24">
        <f t="shared" si="14"/>
        <v>1.2851466136906422</v>
      </c>
      <c r="J38" s="24">
        <f t="shared" si="14"/>
        <v>1.2775228758521859</v>
      </c>
      <c r="K38" s="25">
        <f t="shared" si="14"/>
        <v>1.2687447157213809</v>
      </c>
      <c r="N38" s="3867"/>
      <c r="O38" s="3869"/>
      <c r="Q38" s="62">
        <v>18</v>
      </c>
      <c r="R38" s="1105">
        <f>-SUM(B32:K32) - SUM(B64:I64)</f>
        <v>15000</v>
      </c>
      <c r="S38" s="1105">
        <f>SUM(B33:K33) + SUM(B65:I65)+R38</f>
        <v>373723.00367694767</v>
      </c>
      <c r="Z38" s="2259" t="s">
        <v>6465</v>
      </c>
      <c r="AA38" s="2263">
        <v>38</v>
      </c>
    </row>
    <row r="39" spans="1:27" ht="13.25" customHeight="1">
      <c r="A39" s="21" t="s">
        <v>718</v>
      </c>
      <c r="B39" s="288">
        <f t="shared" ref="B39:K39" si="15">IF(OR(B22="Choose mgt fee",B22="Choose One!"),"",(B15+B16+B17+B18+B19) / -(B21+B22+B23))</f>
        <v>1.4417021024458396</v>
      </c>
      <c r="C39" s="288">
        <f t="shared" si="15"/>
        <v>1.4289044585574704</v>
      </c>
      <c r="D39" s="288">
        <f t="shared" si="15"/>
        <v>1.4162111313280052</v>
      </c>
      <c r="E39" s="288">
        <f t="shared" si="15"/>
        <v>1.403617893474989</v>
      </c>
      <c r="F39" s="288">
        <f t="shared" si="15"/>
        <v>1.3911294051052363</v>
      </c>
      <c r="G39" s="288">
        <f t="shared" si="15"/>
        <v>1.3787415372747234</v>
      </c>
      <c r="H39" s="288">
        <f t="shared" si="15"/>
        <v>1.3664506700610062</v>
      </c>
      <c r="I39" s="288">
        <f t="shared" si="15"/>
        <v>1.3542611023907056</v>
      </c>
      <c r="J39" s="288">
        <f t="shared" si="15"/>
        <v>1.3421728567848623</v>
      </c>
      <c r="K39" s="289">
        <f t="shared" si="15"/>
        <v>1.3301824054410929</v>
      </c>
      <c r="N39" s="3867"/>
      <c r="O39" s="3869"/>
      <c r="Q39" s="958">
        <v>19</v>
      </c>
      <c r="R39" s="1105">
        <f>-SUM(B32:K32) - SUM(B64:J64)</f>
        <v>15000</v>
      </c>
      <c r="S39" s="1105">
        <f>SUM(B33:K33) + SUM(B65:J65)+R39</f>
        <v>381581.97671089845</v>
      </c>
      <c r="Z39" s="2259" t="s">
        <v>6465</v>
      </c>
      <c r="AA39" s="2263">
        <v>39</v>
      </c>
    </row>
    <row r="40" spans="1:27" ht="13.25" customHeight="1">
      <c r="A40" s="447" t="s">
        <v>2406</v>
      </c>
      <c r="B40" s="232">
        <f>IF('Part II-Sources of Funds'!$I$40="","",-FV('Part II-Sources of Funds'!$K$40/12,12,B26/12,'Part II-Sources of Funds'!$I$40))</f>
        <v>1305246.0238097282</v>
      </c>
      <c r="C40" s="232">
        <f>IF('Part II-Sources of Funds'!$I$40="","",-FV('Part II-Sources of Funds'!$K$40/12,12,C26/12,B40))</f>
        <v>1289503.9465095927</v>
      </c>
      <c r="D40" s="232">
        <f>IF('Part II-Sources of Funds'!$I$40="","",-FV('Part II-Sources of Funds'!$K$40/12,12,D26/12,C40))</f>
        <v>1272707.5931382999</v>
      </c>
      <c r="E40" s="232">
        <f>IF('Part II-Sources of Funds'!$I$40="","",-FV('Part II-Sources of Funds'!$K$40/12,12,E26/12,D40))</f>
        <v>1254786.3568748424</v>
      </c>
      <c r="F40" s="232">
        <f>IF('Part II-Sources of Funds'!$I$40="","",-FV('Part II-Sources of Funds'!$K$40/12,12,F26/12,E40))</f>
        <v>1235664.902228646</v>
      </c>
      <c r="G40" s="232">
        <f>IF('Part II-Sources of Funds'!$I$40="","",-FV('Part II-Sources of Funds'!$K$40/12,12,G26/12,F40))</f>
        <v>1215262.8483518113</v>
      </c>
      <c r="H40" s="232">
        <f>IF('Part II-Sources of Funds'!$I$40="","",-FV('Part II-Sources of Funds'!$K$40/12,12,H26/12,G40))</f>
        <v>1193494.4311421893</v>
      </c>
      <c r="I40" s="232">
        <f>IF('Part II-Sources of Funds'!$I$40="","",-FV('Part II-Sources of Funds'!$K$40/12,12,I26/12,H40))</f>
        <v>1170268.1427168748</v>
      </c>
      <c r="J40" s="232">
        <f>IF('Part II-Sources of Funds'!$I$40="","",-FV('Part II-Sources of Funds'!$K$40/12,12,J26/12,I40))</f>
        <v>1145486.3467405718</v>
      </c>
      <c r="K40" s="232">
        <f>IF('Part II-Sources of Funds'!$I$40="","",-FV('Part II-Sources of Funds'!$K$40/12,12,K26/12,J40))</f>
        <v>1119044.8679917865</v>
      </c>
      <c r="N40" s="3867"/>
      <c r="O40" s="3869"/>
      <c r="Q40" s="958">
        <v>20</v>
      </c>
      <c r="R40" s="1105">
        <f>-SUM(B32:K32) - SUM(B64:K64)</f>
        <v>15000</v>
      </c>
      <c r="S40" s="1105">
        <f>SUM(B33:K33) + SUM(B65:K65)+R40</f>
        <v>387081.28181125491</v>
      </c>
      <c r="Z40" s="2259" t="s">
        <v>6465</v>
      </c>
      <c r="AA40" s="2263">
        <v>40</v>
      </c>
    </row>
    <row r="41" spans="1:27" ht="13.2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7"/>
      <c r="O41" s="3869"/>
      <c r="Z41" s="2259" t="s">
        <v>6465</v>
      </c>
      <c r="AA41" s="2263">
        <v>41</v>
      </c>
    </row>
    <row r="42" spans="1:27" ht="13.2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7"/>
      <c r="O42" s="3869"/>
      <c r="Z42" s="2259" t="s">
        <v>6465</v>
      </c>
      <c r="AA42" s="2261">
        <v>42</v>
      </c>
    </row>
    <row r="43" spans="1:27" ht="13.2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7"/>
      <c r="O43" s="3869"/>
      <c r="Z43" s="2259" t="s">
        <v>6465</v>
      </c>
      <c r="AA43" s="2262">
        <v>43</v>
      </c>
    </row>
    <row r="44" spans="1:27" ht="13.25" customHeight="1">
      <c r="A44" s="447" t="s">
        <v>3364</v>
      </c>
      <c r="B44" s="234">
        <f>IF('Part II-Sources of Funds'!$I$45="","",-FV('Part II-Sources of Funds'!$K$45/12,12,B32/12,'Part II-Sources of Funds'!$I$45))</f>
        <v>67230</v>
      </c>
      <c r="C44" s="234">
        <f>IF('Part II-Sources of Funds'!$I$45="","",IF(-FV('Part II-Sources of Funds'!$K$45/12,12,C32/12,B44)&gt;0,-FV('Part II-Sources of Funds'!$K$45/12,12,C32/12,B44),0))</f>
        <v>67230</v>
      </c>
      <c r="D44" s="234">
        <f>IF('Part II-Sources of Funds'!$I$45="","",IF(-FV('Part II-Sources of Funds'!$K$45/12,12,D32/12,C44)&gt;0,-FV('Part II-Sources of Funds'!$K$45/12,12,D32/12,C44),0))</f>
        <v>67230</v>
      </c>
      <c r="E44" s="234">
        <f>IF('Part II-Sources of Funds'!$I$45="","",IF(-FV('Part II-Sources of Funds'!$K$45/12,12,E32/12,D44)&gt;0,-FV('Part II-Sources of Funds'!$K$45/12,12,E32/12,D44),0))</f>
        <v>67230</v>
      </c>
      <c r="F44" s="234">
        <f>IF('Part II-Sources of Funds'!$I$45="","",IF(-FV('Part II-Sources of Funds'!$K$45/12,12,F32/12,E44)&gt;0,-FV('Part II-Sources of Funds'!$K$45/12,12,F32/12,E44),0))</f>
        <v>67230</v>
      </c>
      <c r="G44" s="234">
        <f>IF('Part II-Sources of Funds'!$I$45="","",IF(-FV('Part II-Sources of Funds'!$K$45/12,12,G32/12,F44)&gt;0,-FV('Part II-Sources of Funds'!$K$45/12,12,G32/12,F44),0))</f>
        <v>67230</v>
      </c>
      <c r="H44" s="234">
        <f>IF('Part II-Sources of Funds'!$I$45="","",IF(-FV('Part II-Sources of Funds'!$K$45/12,12,H32/12,G44)&gt;0,-FV('Part II-Sources of Funds'!$K$45/12,12,H32/12,G44),0))</f>
        <v>67230</v>
      </c>
      <c r="I44" s="234">
        <f>IF('Part II-Sources of Funds'!$I$45="","",IF(-FV('Part II-Sources of Funds'!$K$45/12,12,I32/12,H44)&gt;0,-FV('Part II-Sources of Funds'!$K$45/12,12,I32/12,H44),0))</f>
        <v>67230</v>
      </c>
      <c r="J44" s="234">
        <f>IF('Part II-Sources of Funds'!$I$45="","",IF(-FV('Part II-Sources of Funds'!$K$45/12,12,J32/12,I44)&gt;0,-FV('Part II-Sources of Funds'!$K$45/12,12,J32/12,I44),0))</f>
        <v>67230</v>
      </c>
      <c r="K44" s="234">
        <f>IF('Part II-Sources of Funds'!$I$45="","",IF(-FV('Part II-Sources of Funds'!$K$45/12,12,K32/12,J44)&gt;0,-FV('Part II-Sources of Funds'!$K$45/12,12,K32/12,J44),0))</f>
        <v>67230</v>
      </c>
      <c r="N44" s="3873"/>
      <c r="O44" s="3875"/>
      <c r="Z44" s="2259" t="s">
        <v>6465</v>
      </c>
      <c r="AA44" s="2263">
        <v>44</v>
      </c>
    </row>
    <row r="45" spans="1:27" ht="4.25" customHeight="1">
      <c r="B45" s="17"/>
      <c r="C45" s="17"/>
      <c r="D45" s="17"/>
      <c r="E45" s="17"/>
      <c r="F45" s="17"/>
      <c r="G45" s="17"/>
      <c r="H45" s="17"/>
      <c r="I45" s="17"/>
      <c r="J45" s="17"/>
      <c r="K45" s="17"/>
      <c r="AA45" s="2263">
        <v>45</v>
      </c>
    </row>
    <row r="46" spans="1:27" ht="1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0" t="s">
        <v>2410</v>
      </c>
      <c r="O46" s="3550"/>
      <c r="AA46" s="2263">
        <v>46</v>
      </c>
    </row>
    <row r="47" spans="1:27" ht="13.25" customHeight="1">
      <c r="A47" s="18" t="s">
        <v>2216</v>
      </c>
      <c r="B47" s="19">
        <f t="shared" ref="B47:K47" si="17">$B$15*(1+$B$6)^(B46-1)</f>
        <v>550302.84096243314</v>
      </c>
      <c r="C47" s="19">
        <f t="shared" si="17"/>
        <v>561308.89778168174</v>
      </c>
      <c r="D47" s="19">
        <f t="shared" si="17"/>
        <v>572535.07573731546</v>
      </c>
      <c r="E47" s="19">
        <f t="shared" si="17"/>
        <v>583985.77725206176</v>
      </c>
      <c r="F47" s="19">
        <f t="shared" si="17"/>
        <v>595665.49279710301</v>
      </c>
      <c r="G47" s="19">
        <f t="shared" si="17"/>
        <v>607578.80265304493</v>
      </c>
      <c r="H47" s="19">
        <f t="shared" si="17"/>
        <v>619730.37870610587</v>
      </c>
      <c r="I47" s="19">
        <f t="shared" si="17"/>
        <v>632124.98628022813</v>
      </c>
      <c r="J47" s="19">
        <f t="shared" si="17"/>
        <v>644767.48600583256</v>
      </c>
      <c r="K47" s="20">
        <f t="shared" si="17"/>
        <v>657662.83572594915</v>
      </c>
      <c r="N47" s="3893"/>
      <c r="O47" s="3895"/>
      <c r="Z47" s="2259" t="s">
        <v>6466</v>
      </c>
      <c r="AA47" s="2261">
        <v>47</v>
      </c>
    </row>
    <row r="48" spans="1:27" ht="13.25" customHeight="1">
      <c r="A48" s="21" t="s">
        <v>953</v>
      </c>
      <c r="B48" s="22">
        <f t="shared" ref="B48:K48" si="18">$B$16*(1+$B$6)^(B46-1)</f>
        <v>11006.056819248664</v>
      </c>
      <c r="C48" s="22">
        <f t="shared" si="18"/>
        <v>11226.177955633635</v>
      </c>
      <c r="D48" s="22">
        <f t="shared" si="18"/>
        <v>11450.70151474631</v>
      </c>
      <c r="E48" s="22">
        <f t="shared" si="18"/>
        <v>11679.715545041236</v>
      </c>
      <c r="F48" s="22">
        <f t="shared" si="18"/>
        <v>11913.309855942061</v>
      </c>
      <c r="G48" s="22">
        <f t="shared" si="18"/>
        <v>12151.576053060899</v>
      </c>
      <c r="H48" s="22">
        <f t="shared" si="18"/>
        <v>12394.607574122119</v>
      </c>
      <c r="I48" s="22">
        <f t="shared" si="18"/>
        <v>12642.499725604563</v>
      </c>
      <c r="J48" s="22">
        <f t="shared" si="18"/>
        <v>12895.349720116652</v>
      </c>
      <c r="K48" s="23">
        <f t="shared" si="18"/>
        <v>13153.256714518986</v>
      </c>
      <c r="N48" s="3867"/>
      <c r="O48" s="3869"/>
      <c r="Z48" s="2259" t="s">
        <v>6466</v>
      </c>
      <c r="AA48" s="2262">
        <v>48</v>
      </c>
    </row>
    <row r="49" spans="1:27" ht="13.25" customHeight="1">
      <c r="A49" s="21" t="s">
        <v>2217</v>
      </c>
      <c r="B49" s="22">
        <f t="shared" ref="B49:K49" si="19">-(B47+B48)*$B$9</f>
        <v>-39291.622844717735</v>
      </c>
      <c r="C49" s="22">
        <f t="shared" si="19"/>
        <v>-40077.455301612077</v>
      </c>
      <c r="D49" s="22">
        <f t="shared" si="19"/>
        <v>-40879.00440764433</v>
      </c>
      <c r="E49" s="22">
        <f t="shared" si="19"/>
        <v>-41696.584495797215</v>
      </c>
      <c r="F49" s="22">
        <f t="shared" si="19"/>
        <v>-42530.516185713161</v>
      </c>
      <c r="G49" s="22">
        <f t="shared" si="19"/>
        <v>-43381.126509427413</v>
      </c>
      <c r="H49" s="22">
        <f t="shared" si="19"/>
        <v>-44248.749039615963</v>
      </c>
      <c r="I49" s="22">
        <f t="shared" si="19"/>
        <v>-45133.724020408292</v>
      </c>
      <c r="J49" s="22">
        <f t="shared" si="19"/>
        <v>-46036.398500816453</v>
      </c>
      <c r="K49" s="23">
        <f t="shared" si="19"/>
        <v>-46957.126470832773</v>
      </c>
      <c r="N49" s="3867"/>
      <c r="O49" s="3869"/>
      <c r="Z49" s="2259" t="s">
        <v>6466</v>
      </c>
      <c r="AA49" s="2263">
        <v>49</v>
      </c>
    </row>
    <row r="50" spans="1:27" ht="13.2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7"/>
      <c r="O50" s="3869"/>
      <c r="Z50" s="2259" t="s">
        <v>6466</v>
      </c>
      <c r="AA50" s="2261">
        <v>50</v>
      </c>
    </row>
    <row r="51" spans="1:27" ht="13.2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7"/>
      <c r="O51" s="3869"/>
      <c r="Z51" s="2259" t="s">
        <v>6466</v>
      </c>
      <c r="AA51" s="2262">
        <v>51</v>
      </c>
    </row>
    <row r="52" spans="1:27" ht="13.25" customHeight="1">
      <c r="A52" s="447" t="s">
        <v>3840</v>
      </c>
      <c r="B52" s="22">
        <f t="shared" ref="B52:K52" si="20">SUM(B47:B51)</f>
        <v>522017.2749369641</v>
      </c>
      <c r="C52" s="22">
        <f t="shared" si="20"/>
        <v>532457.62043570331</v>
      </c>
      <c r="D52" s="22">
        <f t="shared" si="20"/>
        <v>543106.77284441749</v>
      </c>
      <c r="E52" s="22">
        <f t="shared" si="20"/>
        <v>553968.90830130584</v>
      </c>
      <c r="F52" s="22">
        <f t="shared" si="20"/>
        <v>565048.28646733193</v>
      </c>
      <c r="G52" s="22">
        <f t="shared" si="20"/>
        <v>576349.25219667843</v>
      </c>
      <c r="H52" s="22">
        <f t="shared" si="20"/>
        <v>587876.23724061204</v>
      </c>
      <c r="I52" s="22">
        <f t="shared" si="20"/>
        <v>599633.76198542444</v>
      </c>
      <c r="J52" s="22">
        <f t="shared" si="20"/>
        <v>611626.43722513283</v>
      </c>
      <c r="K52" s="23">
        <f t="shared" si="20"/>
        <v>623858.96596963541</v>
      </c>
      <c r="N52" s="3867"/>
      <c r="O52" s="3869"/>
      <c r="Z52" s="2259" t="s">
        <v>6466</v>
      </c>
      <c r="AA52" s="2263">
        <v>52</v>
      </c>
    </row>
    <row r="53" spans="1:27" ht="13.25" customHeight="1">
      <c r="A53" s="21" t="s">
        <v>572</v>
      </c>
      <c r="B53" s="22">
        <f t="shared" ref="B53:K53" si="21">$B$21*(1+$B$7)^(B46-1)</f>
        <v>-347188.70135613979</v>
      </c>
      <c r="C53" s="22">
        <f t="shared" si="21"/>
        <v>-357604.362396824</v>
      </c>
      <c r="D53" s="22">
        <f t="shared" si="21"/>
        <v>-368332.49326872861</v>
      </c>
      <c r="E53" s="22">
        <f t="shared" si="21"/>
        <v>-379382.46806679049</v>
      </c>
      <c r="F53" s="22">
        <f t="shared" si="21"/>
        <v>-390763.94210879423</v>
      </c>
      <c r="G53" s="22">
        <f t="shared" si="21"/>
        <v>-402486.86037205806</v>
      </c>
      <c r="H53" s="22">
        <f t="shared" si="21"/>
        <v>-414561.46618321975</v>
      </c>
      <c r="I53" s="22">
        <f t="shared" si="21"/>
        <v>-426998.31016871636</v>
      </c>
      <c r="J53" s="22">
        <f t="shared" si="21"/>
        <v>-439808.25947377784</v>
      </c>
      <c r="K53" s="23">
        <f t="shared" si="21"/>
        <v>-453002.50725799118</v>
      </c>
      <c r="N53" s="3867"/>
      <c r="O53" s="3869"/>
      <c r="Z53" s="2259" t="s">
        <v>6466</v>
      </c>
      <c r="AA53" s="2263">
        <v>53</v>
      </c>
    </row>
    <row r="54" spans="1:27" ht="13.25" customHeight="1">
      <c r="A54" s="21" t="s">
        <v>1051</v>
      </c>
      <c r="B54" s="22">
        <f>IF(AND('Part VI-Pro Forma'!$G$9="Yes",'Part VI-Pro Forma'!$G$10="Yes"),"Choose One!",IF('Part VI-Pro Forma'!$G$9="Yes",ROUND((-$K$9*(1+'Part VI-Pro Forma'!$B$7)^('Part VI-Pro Forma'!B46-1)),),IF('Part VI-Pro Forma'!$G$10="Yes",ROUND((-(SUM(B47:B50)*'Part VI-Pro Forma'!$K$10)),),"Choose mgt fee")))</f>
        <v>-31321</v>
      </c>
      <c r="C54" s="22">
        <f>IF(AND('Part VI-Pro Forma'!$G$9="Yes",'Part VI-Pro Forma'!$G$10="Yes"),"Choose One!",IF('Part VI-Pro Forma'!$G$9="Yes",ROUND((-$K$9*(1+'Part VI-Pro Forma'!$B$7)^('Part VI-Pro Forma'!C46-1)),),IF('Part VI-Pro Forma'!$G$10="Yes",ROUND((-(SUM(C47:C50)*'Part VI-Pro Forma'!$K$10)),),"Choose mgt fee")))</f>
        <v>-31947</v>
      </c>
      <c r="D54" s="22">
        <f>IF(AND('Part VI-Pro Forma'!$G$9="Yes",'Part VI-Pro Forma'!$G$10="Yes"),"Choose One!",IF('Part VI-Pro Forma'!$G$9="Yes",ROUND((-$K$9*(1+'Part VI-Pro Forma'!$B$7)^('Part VI-Pro Forma'!D46-1)),),IF('Part VI-Pro Forma'!$G$10="Yes",ROUND((-(SUM(D47:D50)*'Part VI-Pro Forma'!$K$10)),),"Choose mgt fee")))</f>
        <v>-32586</v>
      </c>
      <c r="E54" s="22">
        <f>IF(AND('Part VI-Pro Forma'!$G$9="Yes",'Part VI-Pro Forma'!$G$10="Yes"),"Choose One!",IF('Part VI-Pro Forma'!$G$9="Yes",ROUND((-$K$9*(1+'Part VI-Pro Forma'!$B$7)^('Part VI-Pro Forma'!E46-1)),),IF('Part VI-Pro Forma'!$G$10="Yes",ROUND((-(SUM(E47:E50)*'Part VI-Pro Forma'!$K$10)),),"Choose mgt fee")))</f>
        <v>-33238</v>
      </c>
      <c r="F54" s="22">
        <f>IF(AND('Part VI-Pro Forma'!$G$9="Yes",'Part VI-Pro Forma'!$G$10="Yes"),"Choose One!",IF('Part VI-Pro Forma'!$G$9="Yes",ROUND((-$K$9*(1+'Part VI-Pro Forma'!$B$7)^('Part VI-Pro Forma'!F46-1)),),IF('Part VI-Pro Forma'!$G$10="Yes",ROUND((-(SUM(F47:F50)*'Part VI-Pro Forma'!$K$10)),),"Choose mgt fee")))</f>
        <v>-33903</v>
      </c>
      <c r="G54" s="22">
        <f>IF(AND('Part VI-Pro Forma'!$G$9="Yes",'Part VI-Pro Forma'!$G$10="Yes"),"Choose One!",IF('Part VI-Pro Forma'!$G$9="Yes",ROUND((-$K$9*(1+'Part VI-Pro Forma'!$B$7)^('Part VI-Pro Forma'!G46-1)),),IF('Part VI-Pro Forma'!$G$10="Yes",ROUND((-(SUM(G47:G50)*'Part VI-Pro Forma'!$K$10)),),"Choose mgt fee")))</f>
        <v>-34581</v>
      </c>
      <c r="H54" s="22">
        <f>IF(AND('Part VI-Pro Forma'!$G$9="Yes",'Part VI-Pro Forma'!$G$10="Yes"),"Choose One!",IF('Part VI-Pro Forma'!$G$9="Yes",ROUND((-$K$9*(1+'Part VI-Pro Forma'!$B$7)^('Part VI-Pro Forma'!H46-1)),),IF('Part VI-Pro Forma'!$G$10="Yes",ROUND((-(SUM(H47:H50)*'Part VI-Pro Forma'!$K$10)),),"Choose mgt fee")))</f>
        <v>-35273</v>
      </c>
      <c r="I54" s="22">
        <f>IF(AND('Part VI-Pro Forma'!$G$9="Yes",'Part VI-Pro Forma'!$G$10="Yes"),"Choose One!",IF('Part VI-Pro Forma'!$G$9="Yes",ROUND((-$K$9*(1+'Part VI-Pro Forma'!$B$7)^('Part VI-Pro Forma'!I46-1)),),IF('Part VI-Pro Forma'!$G$10="Yes",ROUND((-(SUM(I47:I50)*'Part VI-Pro Forma'!$K$10)),),"Choose mgt fee")))</f>
        <v>-35978</v>
      </c>
      <c r="J54" s="22">
        <f>IF(AND('Part VI-Pro Forma'!$G$9="Yes",'Part VI-Pro Forma'!$G$10="Yes"),"Choose One!",IF('Part VI-Pro Forma'!$G$9="Yes",ROUND((-$K$9*(1+'Part VI-Pro Forma'!$B$7)^('Part VI-Pro Forma'!J46-1)),),IF('Part VI-Pro Forma'!$G$10="Yes",ROUND((-(SUM(J47:J50)*'Part VI-Pro Forma'!$K$10)),),"Choose mgt fee")))</f>
        <v>-36698</v>
      </c>
      <c r="K54" s="23">
        <f>IF(AND('Part VI-Pro Forma'!$G$9="Yes",'Part VI-Pro Forma'!$G$10="Yes"),"Choose One!",IF('Part VI-Pro Forma'!$G$9="Yes",ROUND((-$K$9*(1+'Part VI-Pro Forma'!$B$7)^('Part VI-Pro Forma'!K46-1)),),IF('Part VI-Pro Forma'!$G$10="Yes",ROUND((-(SUM(K47:K50)*'Part VI-Pro Forma'!$K$10)),),"Choose mgt fee")))</f>
        <v>-37432</v>
      </c>
      <c r="N54" s="3867"/>
      <c r="O54" s="3869"/>
      <c r="Z54" s="2259" t="s">
        <v>6466</v>
      </c>
      <c r="AA54" s="2263">
        <v>54</v>
      </c>
    </row>
    <row r="55" spans="1:27" ht="13.25" customHeight="1">
      <c r="A55" s="21" t="s">
        <v>1129</v>
      </c>
      <c r="B55" s="22">
        <f t="shared" ref="B55:K55" si="22">$B$23*(1+$B$8)^(B46-1)</f>
        <v>-17470.912931473584</v>
      </c>
      <c r="C55" s="22">
        <f t="shared" si="22"/>
        <v>-17995.040319417792</v>
      </c>
      <c r="D55" s="22">
        <f t="shared" si="22"/>
        <v>-18534.891529000321</v>
      </c>
      <c r="E55" s="22">
        <f t="shared" si="22"/>
        <v>-19090.938274870332</v>
      </c>
      <c r="F55" s="22">
        <f t="shared" si="22"/>
        <v>-19663.666423116443</v>
      </c>
      <c r="G55" s="22">
        <f t="shared" si="22"/>
        <v>-20253.576415809937</v>
      </c>
      <c r="H55" s="22">
        <f t="shared" si="22"/>
        <v>-20861.183708284232</v>
      </c>
      <c r="I55" s="22">
        <f t="shared" si="22"/>
        <v>-21487.019219532758</v>
      </c>
      <c r="J55" s="22">
        <f t="shared" si="22"/>
        <v>-22131.629796118741</v>
      </c>
      <c r="K55" s="23">
        <f t="shared" si="22"/>
        <v>-22795.578690002305</v>
      </c>
      <c r="N55" s="3867"/>
      <c r="O55" s="3869"/>
      <c r="Q55" s="958"/>
      <c r="R55" s="1105"/>
      <c r="S55" s="1105"/>
      <c r="Z55" s="2259" t="s">
        <v>6466</v>
      </c>
      <c r="AA55" s="2263">
        <v>55</v>
      </c>
    </row>
    <row r="56" spans="1:27" ht="13.25" customHeight="1">
      <c r="A56" s="447" t="s">
        <v>3839</v>
      </c>
      <c r="B56" s="1621">
        <f>IF(B46&lt;=+'Part V-Revenues &amp; Expenses'!$N$251,-'Part V-Revenues &amp; Expenses'!$K$251,0)</f>
        <v>-10</v>
      </c>
      <c r="C56" s="1621">
        <f>IF(C46&lt;=+'Part V-Revenues &amp; Expenses'!$N$251,-'Part V-Revenues &amp; Expenses'!$K$251,0)</f>
        <v>-10</v>
      </c>
      <c r="D56" s="1621">
        <f>IF(D46&lt;=+'Part V-Revenues &amp; Expenses'!$N$251,-'Part V-Revenues &amp; Expenses'!$K$251,0)</f>
        <v>-10</v>
      </c>
      <c r="E56" s="1621">
        <f>IF(E46&lt;=+'Part V-Revenues &amp; Expenses'!$N$251,-'Part V-Revenues &amp; Expenses'!$K$251,0)</f>
        <v>-10</v>
      </c>
      <c r="F56" s="1621">
        <f>IF(F46&lt;=+'Part V-Revenues &amp; Expenses'!$N$251,-'Part V-Revenues &amp; Expenses'!$K$251,0)</f>
        <v>-10</v>
      </c>
      <c r="G56" s="1621">
        <f>IF(G46&lt;=+'Part V-Revenues &amp; Expenses'!$N$251,-'Part V-Revenues &amp; Expenses'!$K$251,0)</f>
        <v>-10</v>
      </c>
      <c r="H56" s="1621">
        <f>IF(H46&lt;=+'Part V-Revenues &amp; Expenses'!$N$251,-'Part V-Revenues &amp; Expenses'!$K$251,0)</f>
        <v>-10</v>
      </c>
      <c r="I56" s="1621">
        <f>IF(I46&lt;=+'Part V-Revenues &amp; Expenses'!$N$251,-'Part V-Revenues &amp; Expenses'!$K$251,0)</f>
        <v>-10</v>
      </c>
      <c r="J56" s="1621">
        <f>IF(J46&lt;=+'Part V-Revenues &amp; Expenses'!$N$251,-'Part V-Revenues &amp; Expenses'!$K$251,0)</f>
        <v>-10</v>
      </c>
      <c r="K56" s="1621">
        <f>IF(K46&lt;=+'Part V-Revenues &amp; Expenses'!$N$251,-'Part V-Revenues &amp; Expenses'!$K$251,0)</f>
        <v>-10</v>
      </c>
      <c r="N56" s="3867"/>
      <c r="O56" s="3869"/>
      <c r="Z56" s="2259" t="s">
        <v>6466</v>
      </c>
      <c r="AA56" s="2263">
        <v>56</v>
      </c>
    </row>
    <row r="57" spans="1:27" ht="13.25" customHeight="1">
      <c r="A57" s="21" t="s">
        <v>1130</v>
      </c>
      <c r="B57" s="22">
        <f t="shared" ref="B57:K57" si="23">SUM(B52:B56)</f>
        <v>126026.66064935073</v>
      </c>
      <c r="C57" s="22">
        <f t="shared" si="23"/>
        <v>124901.21771946152</v>
      </c>
      <c r="D57" s="22">
        <f t="shared" si="23"/>
        <v>123643.38804668856</v>
      </c>
      <c r="E57" s="22">
        <f t="shared" si="23"/>
        <v>122247.50195964501</v>
      </c>
      <c r="F57" s="22">
        <f t="shared" si="23"/>
        <v>120707.67793542125</v>
      </c>
      <c r="G57" s="22">
        <f t="shared" si="23"/>
        <v>119017.81540881043</v>
      </c>
      <c r="H57" s="22">
        <f t="shared" si="23"/>
        <v>117170.58734910807</v>
      </c>
      <c r="I57" s="22">
        <f t="shared" si="23"/>
        <v>115160.43259717533</v>
      </c>
      <c r="J57" s="22">
        <f t="shared" si="23"/>
        <v>112978.54795523625</v>
      </c>
      <c r="K57" s="1538">
        <f t="shared" si="23"/>
        <v>110618.88002164192</v>
      </c>
      <c r="N57" s="3867"/>
      <c r="O57" s="3869"/>
      <c r="Z57" s="2259" t="s">
        <v>6466</v>
      </c>
      <c r="AA57" s="2263">
        <v>57</v>
      </c>
    </row>
    <row r="58" spans="1:27" ht="13.25" customHeight="1">
      <c r="A58" s="21" t="str">
        <f>$A26</f>
        <v>Mortgage A</v>
      </c>
      <c r="B58" s="448">
        <f>IF('Part II-Sources of Funds'!$P$40="", 0,-'Part II-Sources of Funds'!$P$40)</f>
        <v>-100119.57492128546</v>
      </c>
      <c r="C58" s="448">
        <f>IF('Part II-Sources of Funds'!$P$40="", 0,-'Part II-Sources of Funds'!$P$40)</f>
        <v>-100119.57492128546</v>
      </c>
      <c r="D58" s="448">
        <f>IF('Part II-Sources of Funds'!$P$40="", 0,-'Part II-Sources of Funds'!$P$40)</f>
        <v>-100119.57492128546</v>
      </c>
      <c r="E58" s="448">
        <f>IF('Part II-Sources of Funds'!$P$40="", 0,-'Part II-Sources of Funds'!$P$40)</f>
        <v>-100119.57492128546</v>
      </c>
      <c r="F58" s="448">
        <f>IF('Part II-Sources of Funds'!$P$40="", 0,-'Part II-Sources of Funds'!$P$40)</f>
        <v>-100119.57492128546</v>
      </c>
      <c r="G58" s="448">
        <f>IF('Part II-Sources of Funds'!$P$40="", 0,-'Part II-Sources of Funds'!$P$40)</f>
        <v>-100119.57492128546</v>
      </c>
      <c r="H58" s="448">
        <f>IF('Part II-Sources of Funds'!$P$40="", 0,-'Part II-Sources of Funds'!$P$40)</f>
        <v>-100119.57492128546</v>
      </c>
      <c r="I58" s="448">
        <f>IF('Part II-Sources of Funds'!$P$40="", 0,-'Part II-Sources of Funds'!$P$40)</f>
        <v>-100119.57492128546</v>
      </c>
      <c r="J58" s="448">
        <f>IF('Part II-Sources of Funds'!$P$40="", 0,-'Part II-Sources of Funds'!$P$40)</f>
        <v>-100119.57492128546</v>
      </c>
      <c r="K58" s="448">
        <f>IF('Part II-Sources of Funds'!$P$40="", 0,-'Part II-Sources of Funds'!$P$40)</f>
        <v>-100119.57492128546</v>
      </c>
      <c r="N58" s="3867"/>
      <c r="O58" s="3869"/>
      <c r="Z58" s="2259" t="s">
        <v>6466</v>
      </c>
      <c r="AA58" s="2263">
        <v>58</v>
      </c>
    </row>
    <row r="59" spans="1:27" ht="13.2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7"/>
      <c r="O59" s="3869"/>
      <c r="Z59" s="2259" t="s">
        <v>6466</v>
      </c>
      <c r="AA59" s="2261">
        <v>59</v>
      </c>
    </row>
    <row r="60" spans="1:27" ht="13.2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7"/>
      <c r="O60" s="3869"/>
      <c r="Z60" s="2259" t="s">
        <v>6466</v>
      </c>
      <c r="AA60" s="2262">
        <v>60</v>
      </c>
    </row>
    <row r="61" spans="1:27" ht="13.2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7"/>
      <c r="O61" s="3869"/>
      <c r="Z61" s="2259" t="s">
        <v>6466</v>
      </c>
      <c r="AA61" s="2263">
        <v>61</v>
      </c>
    </row>
    <row r="62" spans="1:27" ht="13.25" customHeight="1">
      <c r="A62" s="21" t="s">
        <v>711</v>
      </c>
      <c r="B62" s="173"/>
      <c r="C62" s="173"/>
      <c r="D62" s="173"/>
      <c r="E62" s="173"/>
      <c r="F62" s="173"/>
      <c r="G62" s="173"/>
      <c r="H62" s="173"/>
      <c r="I62" s="173"/>
      <c r="J62" s="173"/>
      <c r="K62" s="173"/>
      <c r="N62" s="3867"/>
      <c r="O62" s="3869"/>
      <c r="Q62" s="958"/>
      <c r="R62" s="1105"/>
      <c r="Z62" s="2259" t="s">
        <v>6466</v>
      </c>
      <c r="AA62" s="2263">
        <v>62</v>
      </c>
    </row>
    <row r="63" spans="1:27" ht="13.25" customHeight="1">
      <c r="A63" s="447" t="s">
        <v>1096</v>
      </c>
      <c r="B63" s="233">
        <f>+K31</f>
        <v>-5000</v>
      </c>
      <c r="C63" s="233">
        <f t="shared" ref="C63:K63" si="24">+B63</f>
        <v>-5000</v>
      </c>
      <c r="D63" s="233">
        <f t="shared" si="24"/>
        <v>-5000</v>
      </c>
      <c r="E63" s="233">
        <f t="shared" si="24"/>
        <v>-5000</v>
      </c>
      <c r="F63" s="233">
        <f t="shared" si="24"/>
        <v>-5000</v>
      </c>
      <c r="G63" s="233">
        <f t="shared" si="24"/>
        <v>-5000</v>
      </c>
      <c r="H63" s="233">
        <f t="shared" si="24"/>
        <v>-5000</v>
      </c>
      <c r="I63" s="233">
        <f t="shared" si="24"/>
        <v>-5000</v>
      </c>
      <c r="J63" s="233">
        <f t="shared" si="24"/>
        <v>-5000</v>
      </c>
      <c r="K63" s="233">
        <f t="shared" si="24"/>
        <v>-5000</v>
      </c>
      <c r="N63" s="3867"/>
      <c r="O63" s="3869"/>
      <c r="Z63" s="2259" t="s">
        <v>6466</v>
      </c>
      <c r="AA63" s="2263">
        <v>63</v>
      </c>
    </row>
    <row r="64" spans="1:27" ht="13.25" customHeight="1">
      <c r="A64" s="447" t="s">
        <v>3363</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7"/>
      <c r="O64" s="3869"/>
      <c r="Z64" s="2259" t="s">
        <v>6466</v>
      </c>
      <c r="AA64" s="2263">
        <v>64</v>
      </c>
    </row>
    <row r="65" spans="1:27" ht="13.25" customHeight="1">
      <c r="A65" s="21" t="s">
        <v>1097</v>
      </c>
      <c r="B65" s="22">
        <f t="shared" ref="B65:K65" si="25">SUM(B57:B64)</f>
        <v>20907.085728065271</v>
      </c>
      <c r="C65" s="22">
        <f t="shared" si="25"/>
        <v>19781.642798176064</v>
      </c>
      <c r="D65" s="22">
        <f t="shared" si="25"/>
        <v>18523.813125403103</v>
      </c>
      <c r="E65" s="22">
        <f t="shared" si="25"/>
        <v>17127.927038359558</v>
      </c>
      <c r="F65" s="22">
        <f t="shared" si="25"/>
        <v>15588.103014135791</v>
      </c>
      <c r="G65" s="22">
        <f t="shared" si="25"/>
        <v>13898.240487524978</v>
      </c>
      <c r="H65" s="22">
        <f t="shared" si="25"/>
        <v>12051.012427822614</v>
      </c>
      <c r="I65" s="22">
        <f t="shared" si="25"/>
        <v>10040.857675889871</v>
      </c>
      <c r="J65" s="22">
        <f t="shared" si="25"/>
        <v>7858.9730339507951</v>
      </c>
      <c r="K65" s="642">
        <f t="shared" si="25"/>
        <v>5499.3051003564615</v>
      </c>
      <c r="N65" s="3867"/>
      <c r="O65" s="3869"/>
      <c r="Z65" s="2259" t="s">
        <v>6466</v>
      </c>
      <c r="AA65" s="2263">
        <v>65</v>
      </c>
    </row>
    <row r="66" spans="1:27" ht="13.25" customHeight="1">
      <c r="A66" s="21" t="str">
        <f>$A34</f>
        <v>DCR Mortgage A</v>
      </c>
      <c r="B66" s="24">
        <f t="shared" ref="B66:K66" si="26">IF(B58=0,"",-B57/B58)</f>
        <v>1.2587614434882846</v>
      </c>
      <c r="C66" s="24">
        <f t="shared" si="26"/>
        <v>1.2475204555918213</v>
      </c>
      <c r="D66" s="24">
        <f t="shared" si="26"/>
        <v>1.2349571813893303</v>
      </c>
      <c r="E66" s="24">
        <f t="shared" si="26"/>
        <v>1.2210149918810247</v>
      </c>
      <c r="F66" s="24">
        <f t="shared" si="26"/>
        <v>1.2056351420820781</v>
      </c>
      <c r="G66" s="24">
        <f t="shared" si="26"/>
        <v>1.1887566992007594</v>
      </c>
      <c r="H66" s="24">
        <f t="shared" si="26"/>
        <v>1.1703064804382981</v>
      </c>
      <c r="I66" s="24">
        <f t="shared" si="26"/>
        <v>1.1502289406214028</v>
      </c>
      <c r="J66" s="24">
        <f t="shared" si="26"/>
        <v>1.1284361529107629</v>
      </c>
      <c r="K66" s="25">
        <f t="shared" si="26"/>
        <v>1.1048676555869426</v>
      </c>
      <c r="N66" s="3867"/>
      <c r="O66" s="3869"/>
      <c r="Z66" s="2259" t="s">
        <v>6466</v>
      </c>
      <c r="AA66" s="2263">
        <v>66</v>
      </c>
    </row>
    <row r="67" spans="1:27" ht="13.2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7"/>
      <c r="O67" s="3869"/>
      <c r="Z67" s="2259" t="s">
        <v>6466</v>
      </c>
      <c r="AA67" s="2263">
        <v>67</v>
      </c>
    </row>
    <row r="68" spans="1:27" ht="13.2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7"/>
      <c r="O68" s="3869"/>
      <c r="Z68" s="2259" t="s">
        <v>6466</v>
      </c>
      <c r="AA68" s="2261">
        <v>68</v>
      </c>
    </row>
    <row r="69" spans="1:27" ht="13.2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7"/>
      <c r="O69" s="3869"/>
      <c r="Z69" s="2259" t="s">
        <v>6466</v>
      </c>
      <c r="AA69" s="2262">
        <v>69</v>
      </c>
    </row>
    <row r="70" spans="1:27" ht="13.25" customHeight="1">
      <c r="A70" s="447" t="s">
        <v>3215</v>
      </c>
      <c r="B70" s="24">
        <f t="shared" ref="B70:K70" si="30">IF(AND(B58=0,B59=0,B60=0,B61=0),"",-B57/(B58+B59+B60+B61))</f>
        <v>1.2587614434882846</v>
      </c>
      <c r="C70" s="24">
        <f t="shared" si="30"/>
        <v>1.2475204555918213</v>
      </c>
      <c r="D70" s="24">
        <f t="shared" si="30"/>
        <v>1.2349571813893303</v>
      </c>
      <c r="E70" s="24">
        <f t="shared" si="30"/>
        <v>1.2210149918810247</v>
      </c>
      <c r="F70" s="24">
        <f t="shared" si="30"/>
        <v>1.2056351420820781</v>
      </c>
      <c r="G70" s="24">
        <f t="shared" si="30"/>
        <v>1.1887566992007594</v>
      </c>
      <c r="H70" s="24">
        <f t="shared" si="30"/>
        <v>1.1703064804382981</v>
      </c>
      <c r="I70" s="24">
        <f t="shared" si="30"/>
        <v>1.1502289406214028</v>
      </c>
      <c r="J70" s="24">
        <f t="shared" si="30"/>
        <v>1.1284361529107629</v>
      </c>
      <c r="K70" s="25">
        <f t="shared" si="30"/>
        <v>1.1048676555869426</v>
      </c>
      <c r="N70" s="3867"/>
      <c r="O70" s="3869"/>
      <c r="Z70" s="2259" t="s">
        <v>6466</v>
      </c>
      <c r="AA70" s="2263">
        <v>70</v>
      </c>
    </row>
    <row r="71" spans="1:27" ht="13.25" customHeight="1">
      <c r="A71" s="21" t="s">
        <v>718</v>
      </c>
      <c r="B71" s="288">
        <f t="shared" ref="B71:K71" si="31">IF(OR(B54="Choose mgt fee",B54="Choose One!"),"",(B47+B48+B49+B50+B51) / -(B53+B54+B55))</f>
        <v>1.3182899770891467</v>
      </c>
      <c r="C71" s="288">
        <f t="shared" si="31"/>
        <v>1.3064956944459456</v>
      </c>
      <c r="D71" s="288">
        <f t="shared" si="31"/>
        <v>1.2947964959355791</v>
      </c>
      <c r="E71" s="288">
        <f t="shared" si="31"/>
        <v>1.283192661031729</v>
      </c>
      <c r="F71" s="288">
        <f t="shared" si="31"/>
        <v>1.2716843620885767</v>
      </c>
      <c r="G71" s="288">
        <f t="shared" si="31"/>
        <v>1.2602716729065608</v>
      </c>
      <c r="H71" s="288">
        <f t="shared" si="31"/>
        <v>1.2489519233417992</v>
      </c>
      <c r="I71" s="288">
        <f t="shared" si="31"/>
        <v>1.2377278642381571</v>
      </c>
      <c r="J71" s="288">
        <f t="shared" si="31"/>
        <v>1.2265943892083162</v>
      </c>
      <c r="K71" s="289">
        <f t="shared" si="31"/>
        <v>1.2155541599189337</v>
      </c>
      <c r="N71" s="3867"/>
      <c r="O71" s="3869"/>
      <c r="Z71" s="2259" t="s">
        <v>6466</v>
      </c>
      <c r="AA71" s="2263">
        <v>71</v>
      </c>
    </row>
    <row r="72" spans="1:27" ht="13.25" customHeight="1">
      <c r="A72" s="447" t="s">
        <v>2406</v>
      </c>
      <c r="B72" s="232">
        <f>IF('Part II-Sources of Funds'!$I$40="","",-FV('Part II-Sources of Funds'!$K$40/12,12,B58/12,K40))</f>
        <v>1090832.5544415093</v>
      </c>
      <c r="C72" s="232">
        <f>IF('Part II-Sources of Funds'!$I$40="","",-FV('Part II-Sources of Funds'!$K$40/12,12,C58/12,B72))</f>
        <v>1060730.8100034934</v>
      </c>
      <c r="D72" s="232">
        <f>IF('Part II-Sources of Funds'!$I$40="","",-FV('Part II-Sources of Funds'!$K$40/12,12,D58/12,C72))</f>
        <v>1028613.0959919565</v>
      </c>
      <c r="E72" s="232">
        <f>IF('Part II-Sources of Funds'!$I$40="","",-FV('Part II-Sources of Funds'!$K$40/12,12,E58/12,D72))</f>
        <v>994344.39919097885</v>
      </c>
      <c r="F72" s="232">
        <f>IF('Part II-Sources of Funds'!$I$40="","",-FV('Part II-Sources of Funds'!$K$40/12,12,F58/12,E72))</f>
        <v>957780.66429952625</v>
      </c>
      <c r="G72" s="232">
        <f>IF('Part II-Sources of Funds'!$I$40="","",-FV('Part II-Sources of Funds'!$K$40/12,12,G58/12,F72))</f>
        <v>918768.18836626294</v>
      </c>
      <c r="H72" s="232">
        <f>IF('Part II-Sources of Funds'!$I$40="","",-FV('Part II-Sources of Funds'!$K$40/12,12,H58/12,G72))</f>
        <v>877142.97466854437</v>
      </c>
      <c r="I72" s="232">
        <f>IF('Part II-Sources of Funds'!$I$40="","",-FV('Part II-Sources of Funds'!$K$40/12,12,I58/12,H72))</f>
        <v>832730.04331948794</v>
      </c>
      <c r="J72" s="232">
        <f>IF('Part II-Sources of Funds'!$I$40="","",-FV('Part II-Sources of Funds'!$K$40/12,12,J58/12,I72))</f>
        <v>785342.69570512348</v>
      </c>
      <c r="K72" s="232">
        <f>IF('Part II-Sources of Funds'!$I$40="","",-FV('Part II-Sources of Funds'!$K$40/12,12,K58/12,J72))</f>
        <v>734781.72965953674</v>
      </c>
      <c r="N72" s="3867"/>
      <c r="O72" s="3869"/>
      <c r="Z72" s="2259" t="s">
        <v>6466</v>
      </c>
      <c r="AA72" s="2263">
        <v>72</v>
      </c>
    </row>
    <row r="73" spans="1:27" ht="13.2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7"/>
      <c r="O73" s="3869"/>
      <c r="Z73" s="2259" t="s">
        <v>6466</v>
      </c>
      <c r="AA73" s="2261">
        <v>73</v>
      </c>
    </row>
    <row r="74" spans="1:27" ht="13.2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7"/>
      <c r="O74" s="3869"/>
      <c r="Z74" s="2259" t="s">
        <v>6466</v>
      </c>
      <c r="AA74" s="2262">
        <v>74</v>
      </c>
    </row>
    <row r="75" spans="1:27" ht="13.2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7"/>
      <c r="O75" s="3869"/>
      <c r="Z75" s="2259" t="s">
        <v>6466</v>
      </c>
      <c r="AA75" s="2263">
        <v>75</v>
      </c>
    </row>
    <row r="76" spans="1:27" ht="13.25" customHeight="1">
      <c r="A76" s="447" t="s">
        <v>3364</v>
      </c>
      <c r="B76" s="234">
        <f>IF('Part II-Sources of Funds'!$I$45="","",IF(-FV('Part II-Sources of Funds'!$K$45/12,12,B64/12,K44)&gt;0,-FV('Part II-Sources of Funds'!$K$45/12,12,B64/12,K44),0))</f>
        <v>67230</v>
      </c>
      <c r="C76" s="234">
        <f>IF('Part II-Sources of Funds'!$I$45="","",IF(-FV('Part II-Sources of Funds'!$K$45/12,12,C64/12,B76)&gt;0,-FV('Part II-Sources of Funds'!$K$45/12,12,C64/12,B76),0))</f>
        <v>67230</v>
      </c>
      <c r="D76" s="234">
        <f>IF('Part II-Sources of Funds'!$I$45="","",IF(-FV('Part II-Sources of Funds'!$K$45/12,12,D64/12,C76)&gt;0,-FV('Part II-Sources of Funds'!$K$45/12,12,D64/12,C76),0))</f>
        <v>67230</v>
      </c>
      <c r="E76" s="234">
        <f>IF('Part II-Sources of Funds'!$I$45="","",IF(-FV('Part II-Sources of Funds'!$K$45/12,12,E64/12,D76)&gt;0,-FV('Part II-Sources of Funds'!$K$45/12,12,E64/12,D76),0))</f>
        <v>67230</v>
      </c>
      <c r="F76" s="234">
        <f>IF('Part II-Sources of Funds'!$I$45="","",IF(-FV('Part II-Sources of Funds'!$K$45/12,12,F64/12,E76)&gt;0,-FV('Part II-Sources of Funds'!$K$45/12,12,F64/12,E76),0))</f>
        <v>67230</v>
      </c>
      <c r="G76" s="234">
        <f>IF('Part II-Sources of Funds'!$I$45="","",IF(-FV('Part II-Sources of Funds'!$K$45/12,12,G64/12,F76)&gt;0,-FV('Part II-Sources of Funds'!$K$45/12,12,G64/12,F76),0))</f>
        <v>67230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6466</v>
      </c>
      <c r="AA76" s="2263">
        <v>76</v>
      </c>
    </row>
    <row r="77" spans="1:27" ht="4.25" customHeight="1">
      <c r="B77" s="17"/>
      <c r="C77" s="17"/>
      <c r="D77" s="17"/>
      <c r="E77" s="17"/>
      <c r="F77" s="17"/>
      <c r="G77" s="17"/>
      <c r="H77" s="17"/>
      <c r="I77" s="17"/>
      <c r="J77" s="17"/>
      <c r="K77" s="17"/>
      <c r="AA77" s="2263">
        <v>77</v>
      </c>
    </row>
    <row r="78" spans="1:27" ht="1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0" t="s">
        <v>2411</v>
      </c>
      <c r="O78" s="3550"/>
      <c r="AA78" s="2263">
        <v>78</v>
      </c>
    </row>
    <row r="79" spans="1:27" ht="13.25" customHeight="1">
      <c r="A79" s="18" t="s">
        <v>2216</v>
      </c>
      <c r="B79" s="19">
        <f t="shared" ref="B79:K79" si="33">$B$15*(1+$B$6)^(B78-1)</f>
        <v>670816.09244046826</v>
      </c>
      <c r="C79" s="19">
        <f t="shared" si="33"/>
        <v>684232.41428927751</v>
      </c>
      <c r="D79" s="19">
        <f t="shared" si="33"/>
        <v>697917.06257506309</v>
      </c>
      <c r="E79" s="19">
        <f t="shared" si="33"/>
        <v>711875.40382656432</v>
      </c>
      <c r="F79" s="19">
        <f t="shared" si="33"/>
        <v>726112.91190309555</v>
      </c>
      <c r="G79" s="19">
        <f t="shared" si="33"/>
        <v>740635.17014115746</v>
      </c>
      <c r="H79" s="19">
        <f t="shared" si="33"/>
        <v>755447.87354398076</v>
      </c>
      <c r="I79" s="19">
        <f t="shared" si="33"/>
        <v>770556.83101486019</v>
      </c>
      <c r="J79" s="19">
        <f t="shared" si="33"/>
        <v>785967.96763515763</v>
      </c>
      <c r="K79" s="20">
        <f t="shared" si="33"/>
        <v>801687.32698786061</v>
      </c>
      <c r="N79" s="3893"/>
      <c r="O79" s="3895"/>
      <c r="Z79" s="2259" t="s">
        <v>6467</v>
      </c>
      <c r="AA79" s="2263">
        <v>79</v>
      </c>
    </row>
    <row r="80" spans="1:27" ht="13.25" customHeight="1">
      <c r="A80" s="21" t="s">
        <v>953</v>
      </c>
      <c r="B80" s="22">
        <f t="shared" ref="B80:K80" si="34">$B$16*(1+$B$6)^(B78-1)</f>
        <v>13416.321848809366</v>
      </c>
      <c r="C80" s="22">
        <f t="shared" si="34"/>
        <v>13684.648285785554</v>
      </c>
      <c r="D80" s="22">
        <f t="shared" si="34"/>
        <v>13958.341251501264</v>
      </c>
      <c r="E80" s="22">
        <f t="shared" si="34"/>
        <v>14237.508076531287</v>
      </c>
      <c r="F80" s="22">
        <f t="shared" si="34"/>
        <v>14522.258238061913</v>
      </c>
      <c r="G80" s="22">
        <f t="shared" si="34"/>
        <v>14812.703402823152</v>
      </c>
      <c r="H80" s="22">
        <f t="shared" si="34"/>
        <v>15108.957470879617</v>
      </c>
      <c r="I80" s="22">
        <f t="shared" si="34"/>
        <v>15411.136620297206</v>
      </c>
      <c r="J80" s="22">
        <f t="shared" si="34"/>
        <v>15719.359352703153</v>
      </c>
      <c r="K80" s="23">
        <f t="shared" si="34"/>
        <v>16033.746539757214</v>
      </c>
      <c r="N80" s="3867"/>
      <c r="O80" s="3869"/>
      <c r="Z80" s="2259" t="s">
        <v>6467</v>
      </c>
      <c r="AA80" s="2263">
        <v>80</v>
      </c>
    </row>
    <row r="81" spans="1:27" ht="13.25" customHeight="1">
      <c r="A81" s="21" t="s">
        <v>2217</v>
      </c>
      <c r="B81" s="22">
        <f t="shared" ref="B81:K81" si="35">-(B79+B80)*$B$9</f>
        <v>-47896.269000249442</v>
      </c>
      <c r="C81" s="22">
        <f t="shared" si="35"/>
        <v>-48854.194380254419</v>
      </c>
      <c r="D81" s="22">
        <f t="shared" si="35"/>
        <v>-49831.27826785951</v>
      </c>
      <c r="E81" s="22">
        <f t="shared" si="35"/>
        <v>-50827.903833216697</v>
      </c>
      <c r="F81" s="22">
        <f t="shared" si="35"/>
        <v>-51844.461909881029</v>
      </c>
      <c r="G81" s="22">
        <f t="shared" si="35"/>
        <v>-52881.351148078647</v>
      </c>
      <c r="H81" s="22">
        <f t="shared" si="35"/>
        <v>-53938.978171040231</v>
      </c>
      <c r="I81" s="22">
        <f t="shared" si="35"/>
        <v>-55017.757734461025</v>
      </c>
      <c r="J81" s="22">
        <f t="shared" si="35"/>
        <v>-56118.112889150267</v>
      </c>
      <c r="K81" s="23">
        <f t="shared" si="35"/>
        <v>-57240.475146933255</v>
      </c>
      <c r="N81" s="3867"/>
      <c r="O81" s="3869"/>
      <c r="Z81" s="2259" t="s">
        <v>6467</v>
      </c>
      <c r="AA81" s="2263">
        <v>81</v>
      </c>
    </row>
    <row r="82" spans="1:27" ht="13.2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7"/>
      <c r="O82" s="3869"/>
      <c r="Z82" s="2259" t="s">
        <v>6467</v>
      </c>
      <c r="AA82" s="2261">
        <v>82</v>
      </c>
    </row>
    <row r="83" spans="1:27" ht="13.2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7"/>
      <c r="O83" s="3869"/>
      <c r="Z83" s="2259" t="s">
        <v>6467</v>
      </c>
      <c r="AA83" s="2262">
        <v>83</v>
      </c>
    </row>
    <row r="84" spans="1:27" ht="13.25" customHeight="1">
      <c r="A84" s="447" t="s">
        <v>3840</v>
      </c>
      <c r="B84" s="22">
        <f t="shared" ref="B84:K84" si="36">SUM(B79:B83)</f>
        <v>636336.14528902818</v>
      </c>
      <c r="C84" s="22">
        <f t="shared" si="36"/>
        <v>649062.86819480872</v>
      </c>
      <c r="D84" s="22">
        <f t="shared" si="36"/>
        <v>662044.12555870484</v>
      </c>
      <c r="E84" s="22">
        <f t="shared" si="36"/>
        <v>675285.00806987891</v>
      </c>
      <c r="F84" s="22">
        <f t="shared" si="36"/>
        <v>688790.70823127648</v>
      </c>
      <c r="G84" s="22">
        <f t="shared" si="36"/>
        <v>702566.52239590196</v>
      </c>
      <c r="H84" s="22">
        <f t="shared" si="36"/>
        <v>716617.85284382023</v>
      </c>
      <c r="I84" s="22">
        <f t="shared" si="36"/>
        <v>730950.20990069641</v>
      </c>
      <c r="J84" s="22">
        <f t="shared" si="36"/>
        <v>745569.21409871057</v>
      </c>
      <c r="K84" s="23">
        <f t="shared" si="36"/>
        <v>760480.59838068462</v>
      </c>
      <c r="N84" s="3867"/>
      <c r="O84" s="3869"/>
      <c r="Z84" s="2259" t="s">
        <v>6467</v>
      </c>
      <c r="AA84" s="2263">
        <v>84</v>
      </c>
    </row>
    <row r="85" spans="1:27" ht="13.25" customHeight="1">
      <c r="A85" s="21" t="s">
        <v>572</v>
      </c>
      <c r="B85" s="22">
        <f t="shared" ref="B85:K85" si="37">$B$21*(1+$B$7)^(B78-1)</f>
        <v>-466592.58247573092</v>
      </c>
      <c r="C85" s="22">
        <f t="shared" si="37"/>
        <v>-480590.35995000275</v>
      </c>
      <c r="D85" s="22">
        <f t="shared" si="37"/>
        <v>-495008.07074850291</v>
      </c>
      <c r="E85" s="22">
        <f t="shared" si="37"/>
        <v>-509858.31287095801</v>
      </c>
      <c r="F85" s="22">
        <f t="shared" si="37"/>
        <v>-525154.06225708663</v>
      </c>
      <c r="G85" s="22">
        <f t="shared" si="37"/>
        <v>-540908.68412479921</v>
      </c>
      <c r="H85" s="22">
        <f t="shared" si="37"/>
        <v>-557135.94464854337</v>
      </c>
      <c r="I85" s="22">
        <f t="shared" si="37"/>
        <v>-573850.0229879996</v>
      </c>
      <c r="J85" s="22">
        <f t="shared" si="37"/>
        <v>-591065.52367763955</v>
      </c>
      <c r="K85" s="23">
        <f t="shared" si="37"/>
        <v>-608797.48938796867</v>
      </c>
      <c r="N85" s="3867"/>
      <c r="O85" s="3869"/>
      <c r="Z85" s="2259" t="s">
        <v>6467</v>
      </c>
      <c r="AA85" s="2263">
        <v>85</v>
      </c>
    </row>
    <row r="86" spans="1:27" ht="13.25" customHeight="1">
      <c r="A86" s="21" t="s">
        <v>1051</v>
      </c>
      <c r="B86" s="22">
        <f>IF(AND('Part VI-Pro Forma'!$G$9="Yes",'Part VI-Pro Forma'!$G$10="Yes"),"Choose One!",IF('Part VI-Pro Forma'!$G$9="Yes",ROUND((-$K$9*(1+'Part VI-Pro Forma'!$B$7)^('Part VI-Pro Forma'!B78-1)),),IF('Part VI-Pro Forma'!$G$10="Yes",ROUND((-(SUM(B79:B82)*'Part VI-Pro Forma'!$K$10)),),"Choose mgt fee")))</f>
        <v>-38180</v>
      </c>
      <c r="C86" s="22">
        <f>IF(AND('Part VI-Pro Forma'!$G$9="Yes",'Part VI-Pro Forma'!$G$10="Yes"),"Choose One!",IF('Part VI-Pro Forma'!$G$9="Yes",ROUND((-$K$9*(1+'Part VI-Pro Forma'!$B$7)^('Part VI-Pro Forma'!C78-1)),),IF('Part VI-Pro Forma'!$G$10="Yes",ROUND((-(SUM(C79:C82)*'Part VI-Pro Forma'!$K$10)),),"Choose mgt fee")))</f>
        <v>-38944</v>
      </c>
      <c r="D86" s="22">
        <f>IF(AND('Part VI-Pro Forma'!$G$9="Yes",'Part VI-Pro Forma'!$G$10="Yes"),"Choose One!",IF('Part VI-Pro Forma'!$G$9="Yes",ROUND((-$K$9*(1+'Part VI-Pro Forma'!$B$7)^('Part VI-Pro Forma'!D78-1)),),IF('Part VI-Pro Forma'!$G$10="Yes",ROUND((-(SUM(D79:D82)*'Part VI-Pro Forma'!$K$10)),),"Choose mgt fee")))</f>
        <v>-39723</v>
      </c>
      <c r="E86" s="22">
        <f>IF(AND('Part VI-Pro Forma'!$G$9="Yes",'Part VI-Pro Forma'!$G$10="Yes"),"Choose One!",IF('Part VI-Pro Forma'!$G$9="Yes",ROUND((-$K$9*(1+'Part VI-Pro Forma'!$B$7)^('Part VI-Pro Forma'!E78-1)),),IF('Part VI-Pro Forma'!$G$10="Yes",ROUND((-(SUM(E79:E82)*'Part VI-Pro Forma'!$K$10)),),"Choose mgt fee")))</f>
        <v>-40517</v>
      </c>
      <c r="F86" s="22">
        <f>IF(AND('Part VI-Pro Forma'!$G$9="Yes",'Part VI-Pro Forma'!$G$10="Yes"),"Choose One!",IF('Part VI-Pro Forma'!$G$9="Yes",ROUND((-$K$9*(1+'Part VI-Pro Forma'!$B$7)^('Part VI-Pro Forma'!F78-1)),),IF('Part VI-Pro Forma'!$G$10="Yes",ROUND((-(SUM(F79:F82)*'Part VI-Pro Forma'!$K$10)),),"Choose mgt fee")))</f>
        <v>-41327</v>
      </c>
      <c r="G86" s="22">
        <f>IF(AND('Part VI-Pro Forma'!$G$9="Yes",'Part VI-Pro Forma'!$G$10="Yes"),"Choose One!",IF('Part VI-Pro Forma'!$G$9="Yes",ROUND((-$K$9*(1+'Part VI-Pro Forma'!$B$7)^('Part VI-Pro Forma'!G78-1)),),IF('Part VI-Pro Forma'!$G$10="Yes",ROUND((-(SUM(G79:G82)*'Part VI-Pro Forma'!$K$10)),),"Choose mgt fee")))</f>
        <v>-42154</v>
      </c>
      <c r="H86" s="22">
        <f>IF(AND('Part VI-Pro Forma'!$G$9="Yes",'Part VI-Pro Forma'!$G$10="Yes"),"Choose One!",IF('Part VI-Pro Forma'!$G$9="Yes",ROUND((-$K$9*(1+'Part VI-Pro Forma'!$B$7)^('Part VI-Pro Forma'!H78-1)),),IF('Part VI-Pro Forma'!$G$10="Yes",ROUND((-(SUM(H79:H82)*'Part VI-Pro Forma'!$K$10)),),"Choose mgt fee")))</f>
        <v>-42997</v>
      </c>
      <c r="I86" s="22">
        <f>IF(AND('Part VI-Pro Forma'!$G$9="Yes",'Part VI-Pro Forma'!$G$10="Yes"),"Choose One!",IF('Part VI-Pro Forma'!$G$9="Yes",ROUND((-$K$9*(1+'Part VI-Pro Forma'!$B$7)^('Part VI-Pro Forma'!I78-1)),),IF('Part VI-Pro Forma'!$G$10="Yes",ROUND((-(SUM(I79:I82)*'Part VI-Pro Forma'!$K$10)),),"Choose mgt fee")))</f>
        <v>-43857</v>
      </c>
      <c r="J86" s="22">
        <f>IF(AND('Part VI-Pro Forma'!$G$9="Yes",'Part VI-Pro Forma'!$G$10="Yes"),"Choose One!",IF('Part VI-Pro Forma'!$G$9="Yes",ROUND((-$K$9*(1+'Part VI-Pro Forma'!$B$7)^('Part VI-Pro Forma'!J78-1)),),IF('Part VI-Pro Forma'!$G$10="Yes",ROUND((-(SUM(J79:J82)*'Part VI-Pro Forma'!$K$10)),),"Choose mgt fee")))</f>
        <v>-44734</v>
      </c>
      <c r="K86" s="23">
        <f>IF(AND('Part VI-Pro Forma'!$G$9="Yes",'Part VI-Pro Forma'!$G$10="Yes"),"Choose One!",IF('Part VI-Pro Forma'!$G$9="Yes",ROUND((-$K$9*(1+'Part VI-Pro Forma'!$B$7)^('Part VI-Pro Forma'!K78-1)),),IF('Part VI-Pro Forma'!$G$10="Yes",ROUND((-(SUM(K79:K82)*'Part VI-Pro Forma'!$K$10)),),"Choose mgt fee")))</f>
        <v>-45629</v>
      </c>
      <c r="N86" s="3867"/>
      <c r="O86" s="3869"/>
      <c r="Z86" s="2259" t="s">
        <v>6467</v>
      </c>
      <c r="AA86" s="2263">
        <v>86</v>
      </c>
    </row>
    <row r="87" spans="1:27" ht="13.25" customHeight="1">
      <c r="A87" s="21" t="s">
        <v>1129</v>
      </c>
      <c r="B87" s="22">
        <f t="shared" ref="B87:K87" si="38">$B$23*(1+$B$8)^(B78-1)</f>
        <v>-23479.446050702372</v>
      </c>
      <c r="C87" s="22">
        <f t="shared" si="38"/>
        <v>-24183.82943222344</v>
      </c>
      <c r="D87" s="22">
        <f t="shared" si="38"/>
        <v>-24909.344315190145</v>
      </c>
      <c r="E87" s="22">
        <f t="shared" si="38"/>
        <v>-25656.624644645854</v>
      </c>
      <c r="F87" s="22">
        <f t="shared" si="38"/>
        <v>-26426.323383985222</v>
      </c>
      <c r="G87" s="22">
        <f t="shared" si="38"/>
        <v>-27219.113085504781</v>
      </c>
      <c r="H87" s="22">
        <f t="shared" si="38"/>
        <v>-28035.686478069929</v>
      </c>
      <c r="I87" s="22">
        <f t="shared" si="38"/>
        <v>-28876.757072412023</v>
      </c>
      <c r="J87" s="22">
        <f t="shared" si="38"/>
        <v>-29743.059784584384</v>
      </c>
      <c r="K87" s="23">
        <f t="shared" si="38"/>
        <v>-30635.35157812191</v>
      </c>
      <c r="N87" s="3867"/>
      <c r="O87" s="3869"/>
      <c r="Q87" s="958"/>
      <c r="R87" s="1105"/>
      <c r="S87" s="1105"/>
      <c r="Z87" s="2259" t="s">
        <v>6467</v>
      </c>
      <c r="AA87" s="2263">
        <v>87</v>
      </c>
    </row>
    <row r="88" spans="1:27" ht="13.25" customHeight="1">
      <c r="A88" s="447" t="s">
        <v>3839</v>
      </c>
      <c r="B88" s="1621">
        <f>IF(B78&lt;=+'Part V-Revenues &amp; Expenses'!$N$251,-'Part V-Revenues &amp; Expenses'!$K$251,0)</f>
        <v>-10</v>
      </c>
      <c r="C88" s="1621">
        <f>IF(C78&lt;=+'Part V-Revenues &amp; Expenses'!$N$251,-'Part V-Revenues &amp; Expenses'!$K$251,0)</f>
        <v>-10</v>
      </c>
      <c r="D88" s="1621">
        <f>IF(D78&lt;=+'Part V-Revenues &amp; Expenses'!$N$251,-'Part V-Revenues &amp; Expenses'!$K$251,0)</f>
        <v>-10</v>
      </c>
      <c r="E88" s="1621">
        <f>IF(E78&lt;=+'Part V-Revenues &amp; Expenses'!$N$251,-'Part V-Revenues &amp; Expenses'!$K$251,0)</f>
        <v>-10</v>
      </c>
      <c r="F88" s="1621">
        <f>IF(F78&lt;=+'Part V-Revenues &amp; Expenses'!$N$251,-'Part V-Revenues &amp; Expenses'!$K$251,0)</f>
        <v>-10</v>
      </c>
      <c r="G88" s="1621">
        <f>IF(G78&lt;=+'Part V-Revenues &amp; Expenses'!$N$251,-'Part V-Revenues &amp; Expenses'!$K$251,0)</f>
        <v>-10</v>
      </c>
      <c r="H88" s="1621">
        <f>IF(H78&lt;=+'Part V-Revenues &amp; Expenses'!$N$251,-'Part V-Revenues &amp; Expenses'!$K$251,0)</f>
        <v>-10</v>
      </c>
      <c r="I88" s="1621">
        <f>IF(I78&lt;=+'Part V-Revenues &amp; Expenses'!$N$251,-'Part V-Revenues &amp; Expenses'!$K$251,0)</f>
        <v>-10</v>
      </c>
      <c r="J88" s="1621">
        <f>IF(J78&lt;=+'Part V-Revenues &amp; Expenses'!$N$251,-'Part V-Revenues &amp; Expenses'!$K$251,0)</f>
        <v>-10</v>
      </c>
      <c r="K88" s="1621">
        <f>IF(K78&lt;=+'Part V-Revenues &amp; Expenses'!$N$251,-'Part V-Revenues &amp; Expenses'!$K$251,0)</f>
        <v>-10</v>
      </c>
      <c r="N88" s="3867"/>
      <c r="O88" s="3869"/>
      <c r="Z88" s="2259" t="s">
        <v>6467</v>
      </c>
      <c r="AA88" s="2263">
        <v>88</v>
      </c>
    </row>
    <row r="89" spans="1:27" ht="13.25" customHeight="1">
      <c r="A89" s="21" t="s">
        <v>1130</v>
      </c>
      <c r="B89" s="22">
        <f t="shared" ref="B89:K89" si="39">SUM(B84:B88)</f>
        <v>108074.11676259489</v>
      </c>
      <c r="C89" s="22">
        <f t="shared" si="39"/>
        <v>105334.67881258253</v>
      </c>
      <c r="D89" s="22">
        <f t="shared" si="39"/>
        <v>102393.71049501178</v>
      </c>
      <c r="E89" s="22">
        <f t="shared" si="39"/>
        <v>99243.070554275051</v>
      </c>
      <c r="F89" s="22">
        <f t="shared" si="39"/>
        <v>95873.32259020464</v>
      </c>
      <c r="G89" s="22">
        <f t="shared" si="39"/>
        <v>92274.72518559797</v>
      </c>
      <c r="H89" s="22">
        <f t="shared" si="39"/>
        <v>88439.221717206936</v>
      </c>
      <c r="I89" s="22">
        <f t="shared" si="39"/>
        <v>84356.429840284778</v>
      </c>
      <c r="J89" s="22">
        <f t="shared" si="39"/>
        <v>80016.630636486632</v>
      </c>
      <c r="K89" s="1538">
        <f t="shared" si="39"/>
        <v>75408.757414594031</v>
      </c>
      <c r="N89" s="3867"/>
      <c r="O89" s="3869"/>
      <c r="Z89" s="2259" t="s">
        <v>6467</v>
      </c>
      <c r="AA89" s="2263">
        <v>89</v>
      </c>
    </row>
    <row r="90" spans="1:27" ht="13.25" customHeight="1">
      <c r="A90" s="21" t="str">
        <f>$A58</f>
        <v>Mortgage A</v>
      </c>
      <c r="B90" s="448">
        <f>IF('Part II-Sources of Funds'!$P$40="", 0,-'Part II-Sources of Funds'!$P$40)</f>
        <v>-100119.57492128546</v>
      </c>
      <c r="C90" s="448">
        <f>IF('Part II-Sources of Funds'!$P$40="", 0,-'Part II-Sources of Funds'!$P$40)</f>
        <v>-100119.57492128546</v>
      </c>
      <c r="D90" s="448">
        <f>IF('Part II-Sources of Funds'!$P$40="", 0,-'Part II-Sources of Funds'!$P$40)</f>
        <v>-100119.57492128546</v>
      </c>
      <c r="E90" s="448">
        <f>IF('Part II-Sources of Funds'!$P$40="", 0,-'Part II-Sources of Funds'!$P$40)</f>
        <v>-100119.57492128546</v>
      </c>
      <c r="F90" s="448">
        <f>IF('Part II-Sources of Funds'!$P$40="", 0,-'Part II-Sources of Funds'!$P$40)</f>
        <v>-100119.57492128546</v>
      </c>
      <c r="G90" s="448">
        <f>IF('Part II-Sources of Funds'!$P$40="", 0,-'Part II-Sources of Funds'!$P$40)</f>
        <v>-100119.57492128546</v>
      </c>
      <c r="H90" s="448">
        <f>IF('Part II-Sources of Funds'!$P$40="", 0,-'Part II-Sources of Funds'!$P$40)</f>
        <v>-100119.57492128546</v>
      </c>
      <c r="I90" s="448">
        <f>IF('Part II-Sources of Funds'!$P$40="", 0,-'Part II-Sources of Funds'!$P$40)</f>
        <v>-100119.57492128546</v>
      </c>
      <c r="J90" s="448">
        <f>IF('Part II-Sources of Funds'!$P$40="", 0,-'Part II-Sources of Funds'!$P$40)</f>
        <v>-100119.57492128546</v>
      </c>
      <c r="K90" s="448">
        <f>IF('Part II-Sources of Funds'!$P$40="", 0,-'Part II-Sources of Funds'!$P$40)</f>
        <v>-100119.57492128546</v>
      </c>
      <c r="N90" s="3867"/>
      <c r="O90" s="3869"/>
      <c r="Z90" s="2259" t="s">
        <v>6467</v>
      </c>
      <c r="AA90" s="2263">
        <v>90</v>
      </c>
    </row>
    <row r="91" spans="1:27" ht="13.2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7"/>
      <c r="O91" s="3869"/>
      <c r="Z91" s="2259" t="s">
        <v>6467</v>
      </c>
      <c r="AA91" s="2261">
        <v>91</v>
      </c>
    </row>
    <row r="92" spans="1:27" ht="13.2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7"/>
      <c r="O92" s="3869"/>
      <c r="Z92" s="2259" t="s">
        <v>6467</v>
      </c>
      <c r="AA92" s="2262">
        <v>92</v>
      </c>
    </row>
    <row r="93" spans="1:27" ht="13.2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7"/>
      <c r="O93" s="3869"/>
      <c r="Z93" s="2259" t="s">
        <v>6467</v>
      </c>
      <c r="AA93" s="2263">
        <v>93</v>
      </c>
    </row>
    <row r="94" spans="1:27" ht="13.25" customHeight="1">
      <c r="A94" s="21" t="s">
        <v>711</v>
      </c>
      <c r="B94" s="173"/>
      <c r="C94" s="173"/>
      <c r="D94" s="173"/>
      <c r="E94" s="173"/>
      <c r="F94" s="173"/>
      <c r="G94" s="173"/>
      <c r="H94" s="173"/>
      <c r="I94" s="173"/>
      <c r="J94" s="173"/>
      <c r="K94" s="173"/>
      <c r="N94" s="3867"/>
      <c r="O94" s="3869"/>
      <c r="Z94" s="2259" t="s">
        <v>6467</v>
      </c>
      <c r="AA94" s="2263">
        <v>94</v>
      </c>
    </row>
    <row r="95" spans="1:27" ht="13.25" customHeight="1">
      <c r="A95" s="447" t="s">
        <v>1096</v>
      </c>
      <c r="B95" s="234">
        <f>+K63</f>
        <v>-5000</v>
      </c>
      <c r="C95" s="234">
        <f t="shared" ref="C95:K95" si="40">+B95</f>
        <v>-5000</v>
      </c>
      <c r="D95" s="234">
        <f t="shared" si="40"/>
        <v>-5000</v>
      </c>
      <c r="E95" s="234">
        <f t="shared" si="40"/>
        <v>-5000</v>
      </c>
      <c r="F95" s="234">
        <f t="shared" si="40"/>
        <v>-5000</v>
      </c>
      <c r="G95" s="234">
        <f t="shared" si="40"/>
        <v>-5000</v>
      </c>
      <c r="H95" s="234">
        <f t="shared" si="40"/>
        <v>-5000</v>
      </c>
      <c r="I95" s="234">
        <f t="shared" si="40"/>
        <v>-5000</v>
      </c>
      <c r="J95" s="234">
        <f t="shared" si="40"/>
        <v>-5000</v>
      </c>
      <c r="K95" s="234">
        <f t="shared" si="40"/>
        <v>-5000</v>
      </c>
      <c r="N95" s="3867"/>
      <c r="O95" s="3869"/>
      <c r="Z95" s="2259" t="s">
        <v>6467</v>
      </c>
      <c r="AA95" s="2263">
        <v>95</v>
      </c>
    </row>
    <row r="96" spans="1:27" ht="13.25" customHeight="1">
      <c r="A96" s="21" t="s">
        <v>1097</v>
      </c>
      <c r="B96" s="22">
        <f t="shared" ref="B96:K96" si="41">SUM(B89:B95)</f>
        <v>2954.5418413094303</v>
      </c>
      <c r="C96" s="22">
        <f t="shared" si="41"/>
        <v>215.10389129706891</v>
      </c>
      <c r="D96" s="22">
        <f t="shared" si="41"/>
        <v>-2725.864426273678</v>
      </c>
      <c r="E96" s="22">
        <f t="shared" si="41"/>
        <v>-5876.504367010406</v>
      </c>
      <c r="F96" s="22">
        <f t="shared" si="41"/>
        <v>-9246.2523310808174</v>
      </c>
      <c r="G96" s="22">
        <f t="shared" si="41"/>
        <v>-12844.849735687487</v>
      </c>
      <c r="H96" s="22">
        <f t="shared" si="41"/>
        <v>-16680.353204078521</v>
      </c>
      <c r="I96" s="22">
        <f t="shared" si="41"/>
        <v>-20763.145081000679</v>
      </c>
      <c r="J96" s="22">
        <f t="shared" si="41"/>
        <v>-25102.944284798825</v>
      </c>
      <c r="K96" s="23">
        <f t="shared" si="41"/>
        <v>-29710.817506691426</v>
      </c>
      <c r="N96" s="3867"/>
      <c r="O96" s="3869"/>
      <c r="Z96" s="2259" t="s">
        <v>6467</v>
      </c>
      <c r="AA96" s="2261">
        <v>96</v>
      </c>
    </row>
    <row r="97" spans="1:27" ht="13.25" customHeight="1">
      <c r="A97" s="21" t="str">
        <f>$A66</f>
        <v>DCR Mortgage A</v>
      </c>
      <c r="B97" s="24">
        <f t="shared" ref="B97:K97" si="42">IF(B90=0,"",-B89/B90)</f>
        <v>1.0794504156411304</v>
      </c>
      <c r="C97" s="24">
        <f t="shared" si="42"/>
        <v>1.052088753826584</v>
      </c>
      <c r="D97" s="24">
        <f t="shared" si="42"/>
        <v>1.0227141952561651</v>
      </c>
      <c r="E97" s="24">
        <f t="shared" si="42"/>
        <v>0.99124542460653153</v>
      </c>
      <c r="F97" s="24">
        <f t="shared" si="42"/>
        <v>0.95758819057692524</v>
      </c>
      <c r="G97" s="24">
        <f t="shared" si="42"/>
        <v>0.9216451953391217</v>
      </c>
      <c r="H97" s="24">
        <f t="shared" si="42"/>
        <v>0.88333596888259192</v>
      </c>
      <c r="I97" s="24">
        <f t="shared" si="42"/>
        <v>0.84255681175840247</v>
      </c>
      <c r="J97" s="24">
        <f t="shared" si="42"/>
        <v>0.79921065085819765</v>
      </c>
      <c r="K97" s="25">
        <f t="shared" si="42"/>
        <v>0.75318695144162162</v>
      </c>
      <c r="N97" s="3867"/>
      <c r="O97" s="3869"/>
      <c r="Z97" s="2259" t="s">
        <v>6467</v>
      </c>
      <c r="AA97" s="2262">
        <v>97</v>
      </c>
    </row>
    <row r="98" spans="1:27" ht="13.2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7"/>
      <c r="O98" s="3869"/>
      <c r="Z98" s="2259" t="s">
        <v>6467</v>
      </c>
      <c r="AA98" s="2263">
        <v>98</v>
      </c>
    </row>
    <row r="99" spans="1:27" ht="13.2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7"/>
      <c r="O99" s="3869"/>
      <c r="Z99" s="2259" t="s">
        <v>6467</v>
      </c>
      <c r="AA99" s="2261">
        <v>99</v>
      </c>
    </row>
    <row r="100" spans="1:27" ht="13.2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7"/>
      <c r="O100" s="3869"/>
      <c r="Z100" s="2259" t="s">
        <v>6467</v>
      </c>
      <c r="AA100" s="2262">
        <v>100</v>
      </c>
    </row>
    <row r="101" spans="1:27" ht="13.25" customHeight="1">
      <c r="A101" s="447" t="s">
        <v>3215</v>
      </c>
      <c r="B101" s="24">
        <f t="shared" ref="B101:K101" si="46">IF(AND(B90=0,B91=0,B92=0,B93=0),"",-B89/(B90+B91+B92+B93))</f>
        <v>1.0794504156411304</v>
      </c>
      <c r="C101" s="24">
        <f t="shared" si="46"/>
        <v>1.052088753826584</v>
      </c>
      <c r="D101" s="24">
        <f t="shared" si="46"/>
        <v>1.0227141952561651</v>
      </c>
      <c r="E101" s="24">
        <f t="shared" si="46"/>
        <v>0.99124542460653153</v>
      </c>
      <c r="F101" s="24">
        <f t="shared" si="46"/>
        <v>0.95758819057692524</v>
      </c>
      <c r="G101" s="24">
        <f t="shared" si="46"/>
        <v>0.9216451953391217</v>
      </c>
      <c r="H101" s="24">
        <f t="shared" si="46"/>
        <v>0.88333596888259192</v>
      </c>
      <c r="I101" s="24">
        <f t="shared" si="46"/>
        <v>0.84255681175840247</v>
      </c>
      <c r="J101" s="24">
        <f t="shared" si="46"/>
        <v>0.79921065085819765</v>
      </c>
      <c r="K101" s="25">
        <f t="shared" si="46"/>
        <v>0.75318695144162162</v>
      </c>
      <c r="N101" s="3867"/>
      <c r="O101" s="3869"/>
      <c r="Z101" s="2259" t="s">
        <v>6467</v>
      </c>
      <c r="AA101" s="2263">
        <v>101</v>
      </c>
    </row>
    <row r="102" spans="1:27" ht="13.25" customHeight="1">
      <c r="A102" s="21" t="s">
        <v>718</v>
      </c>
      <c r="B102" s="288">
        <f>IF(OR(B86="Choose mgt fee",B86="Choose One!"),"",(B79+B80+B81+B82+B83) / -(B85+B86+B87))</f>
        <v>1.2046071021517837</v>
      </c>
      <c r="C102" s="288">
        <f t="shared" ref="C102:K102" si="47">IF(OR(C86="Choose mgt fee",C86="Choose One!"),"",(C79+C80+C81+C82+C83) / -(C85+C86+C87))</f>
        <v>1.1937486750852961</v>
      </c>
      <c r="D102" s="288">
        <f t="shared" si="47"/>
        <v>1.182981263930621</v>
      </c>
      <c r="E102" s="288">
        <f t="shared" si="47"/>
        <v>1.1723048048036164</v>
      </c>
      <c r="F102" s="288">
        <f t="shared" si="47"/>
        <v>1.1617172005481637</v>
      </c>
      <c r="G102" s="288">
        <f t="shared" si="47"/>
        <v>1.1512165783207795</v>
      </c>
      <c r="H102" s="288">
        <f t="shared" si="47"/>
        <v>1.1408049006818028</v>
      </c>
      <c r="I102" s="288">
        <f t="shared" si="47"/>
        <v>1.1304802756301777</v>
      </c>
      <c r="J102" s="288">
        <f t="shared" si="47"/>
        <v>1.1202426901373908</v>
      </c>
      <c r="K102" s="289">
        <f t="shared" si="47"/>
        <v>1.1100904369571025</v>
      </c>
      <c r="N102" s="3867"/>
      <c r="O102" s="3869"/>
      <c r="Z102" s="2259" t="s">
        <v>6467</v>
      </c>
      <c r="AA102" s="2263">
        <v>102</v>
      </c>
    </row>
    <row r="103" spans="1:27" ht="13.25" customHeight="1">
      <c r="A103" s="447" t="s">
        <v>2406</v>
      </c>
      <c r="B103" s="232">
        <f>IF('Part II-Sources of Funds'!$I$40="","",-FV('Part II-Sources of Funds'!$K$40/12,12,B90/12,K72))</f>
        <v>680834.60207883932</v>
      </c>
      <c r="C103" s="232">
        <f>IF('Part II-Sources of Funds'!$I$40="","",-FV('Part II-Sources of Funds'!$K$40/12,12,C90/12,B103))</f>
        <v>623274.53545384516</v>
      </c>
      <c r="D103" s="232">
        <f>IF('Part II-Sources of Funds'!$I$40="","",-FV('Part II-Sources of Funds'!$K$40/12,12,D90/12,C103))</f>
        <v>561859.56456558534</v>
      </c>
      <c r="E103" s="232">
        <f>IF('Part II-Sources of Funds'!$I$40="","",-FV('Part II-Sources of Funds'!$K$40/12,12,E90/12,D103))</f>
        <v>496331.51933625655</v>
      </c>
      <c r="F103" s="232">
        <f>IF('Part II-Sources of Funds'!$I$40="","",-FV('Part II-Sources of Funds'!$K$40/12,12,F90/12,E103))</f>
        <v>426414.93955981312</v>
      </c>
      <c r="G103" s="232">
        <f>IF('Part II-Sources of Funds'!$I$40="","",-FV('Part II-Sources of Funds'!$K$40/12,12,G90/12,F103))</f>
        <v>351815.91695005773</v>
      </c>
      <c r="H103" s="232">
        <f>IF('Part II-Sources of Funds'!$I$40="","",-FV('Part II-Sources of Funds'!$K$40/12,12,H90/12,G103))</f>
        <v>272220.85963854752</v>
      </c>
      <c r="I103" s="232">
        <f>IF('Part II-Sources of Funds'!$I$40="","",-FV('Part II-Sources of Funds'!$K$40/12,12,I90/12,H103))</f>
        <v>187295.17392863685</v>
      </c>
      <c r="J103" s="232">
        <f>IF('Part II-Sources of Funds'!$I$40="","",-FV('Part II-Sources of Funds'!$K$40/12,12,J90/12,I103))</f>
        <v>96681.857764147571</v>
      </c>
      <c r="K103" s="232">
        <f>IF('Part II-Sources of Funds'!$I$40="","",-FV('Part II-Sources of Funds'!$K$40/12,12,K90/12,J103))</f>
        <v>3.0486262403428555E-8</v>
      </c>
      <c r="N103" s="3867"/>
      <c r="O103" s="3869"/>
      <c r="Z103" s="2259" t="s">
        <v>6467</v>
      </c>
      <c r="AA103" s="2263">
        <v>103</v>
      </c>
    </row>
    <row r="104" spans="1:27" ht="13.2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7"/>
      <c r="O104" s="3869"/>
      <c r="Z104" s="2259" t="s">
        <v>6467</v>
      </c>
      <c r="AA104" s="2263">
        <v>104</v>
      </c>
    </row>
    <row r="105" spans="1:27" ht="13.2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7"/>
      <c r="O105" s="3869"/>
      <c r="Z105" s="2259" t="s">
        <v>6467</v>
      </c>
      <c r="AA105" s="2263">
        <v>105</v>
      </c>
    </row>
    <row r="106" spans="1:27" ht="13.2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6467</v>
      </c>
      <c r="AA106" s="2263">
        <v>106</v>
      </c>
    </row>
    <row r="107" spans="1:27" ht="4.25" customHeight="1">
      <c r="B107" s="17"/>
      <c r="C107" s="17"/>
      <c r="D107" s="17"/>
      <c r="E107" s="17"/>
      <c r="F107" s="17"/>
      <c r="G107" s="17"/>
      <c r="H107" s="17"/>
      <c r="I107" s="17"/>
      <c r="J107" s="17"/>
      <c r="K107" s="17"/>
      <c r="AA107" s="2263">
        <v>107</v>
      </c>
    </row>
    <row r="108" spans="1:27" ht="14.5" customHeight="1">
      <c r="A108" s="13" t="s">
        <v>2285</v>
      </c>
      <c r="B108" s="15">
        <f>K78+1</f>
        <v>31</v>
      </c>
      <c r="C108" s="15">
        <f>B108+1</f>
        <v>32</v>
      </c>
      <c r="D108" s="15">
        <f>C108+1</f>
        <v>33</v>
      </c>
      <c r="E108" s="15">
        <f>D108+1</f>
        <v>34</v>
      </c>
      <c r="F108" s="15">
        <f>E108+1</f>
        <v>35</v>
      </c>
      <c r="G108" s="17"/>
      <c r="H108" s="17"/>
      <c r="I108" s="17"/>
      <c r="J108" s="17"/>
      <c r="K108" s="17"/>
      <c r="N108" s="3550" t="s">
        <v>3207</v>
      </c>
      <c r="O108" s="3550"/>
      <c r="AA108" s="2261">
        <v>108</v>
      </c>
    </row>
    <row r="109" spans="1:27" ht="13.25" customHeight="1">
      <c r="A109" s="18" t="s">
        <v>2216</v>
      </c>
      <c r="B109" s="19">
        <f>$B$15*(1+$B$6)^(B108-1)</f>
        <v>817721.07352761785</v>
      </c>
      <c r="C109" s="19">
        <f>$B$15*(1+$B$6)^(C108-1)</f>
        <v>834075.49499817006</v>
      </c>
      <c r="D109" s="19">
        <f>$B$15*(1+$B$6)^(D108-1)</f>
        <v>850757.00489813357</v>
      </c>
      <c r="E109" s="19">
        <f>$B$15*(1+$B$6)^(E108-1)</f>
        <v>867772.14499609638</v>
      </c>
      <c r="F109" s="642">
        <f>$B$15*(1+$B$6)^(F108-1)</f>
        <v>885127.58789601817</v>
      </c>
      <c r="G109" s="17"/>
      <c r="H109" s="17"/>
      <c r="I109" s="17"/>
      <c r="J109" s="17"/>
      <c r="K109" s="17"/>
      <c r="N109" s="3893"/>
      <c r="O109" s="3895"/>
      <c r="Z109" s="2259" t="s">
        <v>6468</v>
      </c>
      <c r="AA109" s="2262">
        <v>109</v>
      </c>
    </row>
    <row r="110" spans="1:27" ht="13.25" customHeight="1">
      <c r="A110" s="21" t="s">
        <v>953</v>
      </c>
      <c r="B110" s="22">
        <f>$B$16*(1+$B$6)^(B108-1)</f>
        <v>16354.421470552359</v>
      </c>
      <c r="C110" s="22">
        <f>$B$16*(1+$B$6)^(C108-1)</f>
        <v>16681.509899963403</v>
      </c>
      <c r="D110" s="22">
        <f>$B$16*(1+$B$6)^(D108-1)</f>
        <v>17015.140097962674</v>
      </c>
      <c r="E110" s="22">
        <f>$B$16*(1+$B$6)^(E108-1)</f>
        <v>17355.442899921931</v>
      </c>
      <c r="F110" s="23">
        <f>$B$16*(1+$B$6)^(F108-1)</f>
        <v>17702.551757920366</v>
      </c>
      <c r="G110" s="17"/>
      <c r="H110" s="17"/>
      <c r="I110" s="17"/>
      <c r="J110" s="17"/>
      <c r="K110" s="17"/>
      <c r="N110" s="3867"/>
      <c r="O110" s="3869"/>
      <c r="Z110" s="2259" t="s">
        <v>6468</v>
      </c>
      <c r="AA110" s="2263">
        <v>110</v>
      </c>
    </row>
    <row r="111" spans="1:27" ht="13.25" customHeight="1">
      <c r="A111" s="21" t="s">
        <v>2217</v>
      </c>
      <c r="B111" s="22">
        <f>-(B109+B110)*$B$9</f>
        <v>-58385.284649871915</v>
      </c>
      <c r="C111" s="22">
        <f>-(C109+C110)*$B$9</f>
        <v>-59552.990342869351</v>
      </c>
      <c r="D111" s="22">
        <f>-(D109+D110)*$B$9</f>
        <v>-60744.050149726747</v>
      </c>
      <c r="E111" s="22">
        <f>-(E109+E110)*$B$9</f>
        <v>-61958.931152721285</v>
      </c>
      <c r="F111" s="23">
        <f>-(F109+F110)*$B$9</f>
        <v>-63198.109775775709</v>
      </c>
      <c r="G111" s="17"/>
      <c r="H111" s="17"/>
      <c r="I111" s="17"/>
      <c r="J111" s="17"/>
      <c r="K111" s="17"/>
      <c r="N111" s="3867"/>
      <c r="O111" s="3869"/>
      <c r="Z111" s="2259" t="s">
        <v>6468</v>
      </c>
      <c r="AA111" s="2263">
        <v>111</v>
      </c>
    </row>
    <row r="112" spans="1:27" ht="13.2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7"/>
      <c r="O112" s="3869"/>
      <c r="Z112" s="2259" t="s">
        <v>6468</v>
      </c>
      <c r="AA112" s="2263">
        <v>112</v>
      </c>
    </row>
    <row r="113" spans="1:27" ht="13.2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7"/>
      <c r="O113" s="3869"/>
      <c r="Z113" s="2259" t="s">
        <v>6468</v>
      </c>
      <c r="AA113" s="2263">
        <v>113</v>
      </c>
    </row>
    <row r="114" spans="1:27" ht="13.25" customHeight="1">
      <c r="A114" s="447" t="s">
        <v>3840</v>
      </c>
      <c r="B114" s="22">
        <f>SUM(B109:B113)</f>
        <v>775690.21034829831</v>
      </c>
      <c r="C114" s="22">
        <f>SUM(C109:C113)</f>
        <v>791204.01455526415</v>
      </c>
      <c r="D114" s="22">
        <f>SUM(D109:D113)</f>
        <v>807028.09484636947</v>
      </c>
      <c r="E114" s="22">
        <f>SUM(E109:E113)</f>
        <v>823168.656743297</v>
      </c>
      <c r="F114" s="23">
        <f>SUM(F109:F113)</f>
        <v>839632.0298781629</v>
      </c>
      <c r="G114" s="17"/>
      <c r="H114" s="17"/>
      <c r="I114" s="17"/>
      <c r="J114" s="17"/>
      <c r="K114" s="17"/>
      <c r="N114" s="3867"/>
      <c r="O114" s="3869"/>
      <c r="Z114" s="2259" t="s">
        <v>6468</v>
      </c>
      <c r="AA114" s="2263">
        <v>114</v>
      </c>
    </row>
    <row r="115" spans="1:27" ht="13.25" customHeight="1">
      <c r="A115" s="21" t="s">
        <v>572</v>
      </c>
      <c r="B115" s="22">
        <f>$B$21*(1+$B$7)^(B108-1)</f>
        <v>-627061.41406960774</v>
      </c>
      <c r="C115" s="22">
        <f>$B$21*(1+$B$7)^(C108-1)</f>
        <v>-645873.25649169611</v>
      </c>
      <c r="D115" s="22">
        <f>$B$21*(1+$B$7)^(D108-1)</f>
        <v>-665249.45418644685</v>
      </c>
      <c r="E115" s="22">
        <f>$B$21*(1+$B$7)^(E108-1)</f>
        <v>-685206.93781204021</v>
      </c>
      <c r="F115" s="23">
        <f>$B$21*(1+$B$7)^(F108-1)</f>
        <v>-705763.14594640129</v>
      </c>
      <c r="G115" s="17"/>
      <c r="H115" s="17"/>
      <c r="I115" s="17"/>
      <c r="J115" s="17"/>
      <c r="K115" s="17"/>
      <c r="N115" s="3867"/>
      <c r="O115" s="3869"/>
      <c r="Z115" s="2259" t="s">
        <v>6468</v>
      </c>
      <c r="AA115" s="2263">
        <v>115</v>
      </c>
    </row>
    <row r="116" spans="1:27" ht="13.25" customHeight="1">
      <c r="A116" s="21" t="s">
        <v>1051</v>
      </c>
      <c r="B116" s="22">
        <f>IF(AND('Part VI-Pro Forma'!$G$9="Yes",'Part VI-Pro Forma'!$G$10="Yes"),"Choose One!",IF('Part VI-Pro Forma'!$G$9="Yes",ROUND((-$K$9*(1+'Part VI-Pro Forma'!$B$7)^('Part VI-Pro Forma'!B108-1)),),IF('Part VI-Pro Forma'!$G$10="Yes",ROUND((-(SUM(B109:B112)*'Part VI-Pro Forma'!$K$10)),),"Choose mgt fee")))</f>
        <v>-46541</v>
      </c>
      <c r="C116" s="22">
        <f>IF(AND('Part VI-Pro Forma'!$G$9="Yes",'Part VI-Pro Forma'!$G$10="Yes"),"Choose One!",IF('Part VI-Pro Forma'!$G$9="Yes",ROUND((-$K$9*(1+'Part VI-Pro Forma'!$B$7)^('Part VI-Pro Forma'!C108-1)),),IF('Part VI-Pro Forma'!$G$10="Yes",ROUND((-(SUM(C109:C112)*'Part VI-Pro Forma'!$K$10)),),"Choose mgt fee")))</f>
        <v>-47472</v>
      </c>
      <c r="D116" s="22">
        <f>IF(AND('Part VI-Pro Forma'!$G$9="Yes",'Part VI-Pro Forma'!$G$10="Yes"),"Choose One!",IF('Part VI-Pro Forma'!$G$9="Yes",ROUND((-$K$9*(1+'Part VI-Pro Forma'!$B$7)^('Part VI-Pro Forma'!D108-1)),),IF('Part VI-Pro Forma'!$G$10="Yes",ROUND((-(SUM(D109:D112)*'Part VI-Pro Forma'!$K$10)),),"Choose mgt fee")))</f>
        <v>-48422</v>
      </c>
      <c r="E116" s="22">
        <f>IF(AND('Part VI-Pro Forma'!$G$9="Yes",'Part VI-Pro Forma'!$G$10="Yes"),"Choose One!",IF('Part VI-Pro Forma'!$G$9="Yes",ROUND((-$K$9*(1+'Part VI-Pro Forma'!$B$7)^('Part VI-Pro Forma'!E108-1)),),IF('Part VI-Pro Forma'!$G$10="Yes",ROUND((-(SUM(E109:E112)*'Part VI-Pro Forma'!$K$10)),),"Choose mgt fee")))</f>
        <v>-49390</v>
      </c>
      <c r="F116" s="23">
        <f>IF(AND('Part VI-Pro Forma'!$G$9="Yes",'Part VI-Pro Forma'!$G$10="Yes"),"Choose One!",IF('Part VI-Pro Forma'!$G$9="Yes",ROUND((-$K$9*(1+'Part VI-Pro Forma'!$B$7)^('Part VI-Pro Forma'!F108-1)),),IF('Part VI-Pro Forma'!$G$10="Yes",ROUND((-(SUM(F109:F112)*'Part VI-Pro Forma'!$K$10)),),"Choose mgt fee")))</f>
        <v>-50378</v>
      </c>
      <c r="G116" s="17"/>
      <c r="H116" s="17"/>
      <c r="I116" s="17"/>
      <c r="J116" s="17"/>
      <c r="K116" s="17"/>
      <c r="N116" s="3867"/>
      <c r="O116" s="3869"/>
      <c r="Z116" s="2259" t="s">
        <v>6468</v>
      </c>
      <c r="AA116" s="2263">
        <v>116</v>
      </c>
    </row>
    <row r="117" spans="1:27" ht="13.25" customHeight="1">
      <c r="A117" s="21" t="s">
        <v>1129</v>
      </c>
      <c r="B117" s="22">
        <f>$B$23*(1+$B$8)^(B108-1)</f>
        <v>-31554.412125465569</v>
      </c>
      <c r="C117" s="22">
        <f>$B$23*(1+$B$8)^(C108-1)</f>
        <v>-32501.044489229542</v>
      </c>
      <c r="D117" s="22">
        <f>$B$23*(1+$B$8)^(D108-1)</f>
        <v>-33476.075823906423</v>
      </c>
      <c r="E117" s="22">
        <f>$B$23*(1+$B$8)^(E108-1)</f>
        <v>-34480.358098623612</v>
      </c>
      <c r="F117" s="23">
        <f>$B$23*(1+$B$8)^(F108-1)</f>
        <v>-35514.768841582314</v>
      </c>
      <c r="G117" s="17"/>
      <c r="H117" s="17"/>
      <c r="I117" s="17"/>
      <c r="J117" s="17"/>
      <c r="K117" s="17"/>
      <c r="N117" s="3867"/>
      <c r="O117" s="3869"/>
      <c r="Q117" s="958">
        <v>10</v>
      </c>
      <c r="R117" s="1105">
        <f>-SUM(B123:K123)</f>
        <v>0</v>
      </c>
      <c r="S117" s="1105">
        <f>SUM(B124:K124)+R117</f>
        <v>0</v>
      </c>
      <c r="Z117" s="2259" t="s">
        <v>6468</v>
      </c>
      <c r="AA117" s="2261">
        <v>117</v>
      </c>
    </row>
    <row r="118" spans="1:27" ht="13.25" customHeight="1">
      <c r="A118" s="447" t="s">
        <v>3839</v>
      </c>
      <c r="B118" s="1621">
        <f>IF(B108&lt;=+'Part V-Revenues &amp; Expenses'!$N$251,-'Part V-Revenues &amp; Expenses'!$K$251,0)</f>
        <v>-10</v>
      </c>
      <c r="C118" s="1621">
        <f>IF(C108&lt;=+'Part V-Revenues &amp; Expenses'!$N$251,-'Part V-Revenues &amp; Expenses'!$K$251,0)</f>
        <v>-10</v>
      </c>
      <c r="D118" s="1621">
        <f>IF(D108&lt;=+'Part V-Revenues &amp; Expenses'!$N$251,-'Part V-Revenues &amp; Expenses'!$K$251,0)</f>
        <v>-10</v>
      </c>
      <c r="E118" s="1621">
        <f>IF(E108&lt;=+'Part V-Revenues &amp; Expenses'!$N$251,-'Part V-Revenues &amp; Expenses'!$K$251,0)</f>
        <v>-10</v>
      </c>
      <c r="F118" s="1621">
        <f>IF(F108&lt;=+'Part V-Revenues &amp; Expenses'!$N$251,-'Part V-Revenues &amp; Expenses'!$K$251,0)</f>
        <v>-10</v>
      </c>
      <c r="G118" s="17"/>
      <c r="H118" s="17"/>
      <c r="I118" s="17"/>
      <c r="J118" s="17"/>
      <c r="K118" s="17"/>
      <c r="N118" s="3867"/>
      <c r="O118" s="3869"/>
      <c r="Z118" s="2259" t="s">
        <v>6468</v>
      </c>
      <c r="AA118" s="2262">
        <v>118</v>
      </c>
    </row>
    <row r="119" spans="1:27" ht="13.25" customHeight="1">
      <c r="A119" s="21" t="s">
        <v>1130</v>
      </c>
      <c r="B119" s="22">
        <f>SUM(B114:B118)</f>
        <v>70523.384153224993</v>
      </c>
      <c r="C119" s="22">
        <f>SUM(C114:C118)</f>
        <v>65347.713574338493</v>
      </c>
      <c r="D119" s="22">
        <f>SUM(D114:D118)</f>
        <v>59870.564836016194</v>
      </c>
      <c r="E119" s="22">
        <f>SUM(E114:E118)</f>
        <v>54081.360832633181</v>
      </c>
      <c r="F119" s="1538">
        <f>SUM(F114:F118)</f>
        <v>47966.115090179293</v>
      </c>
      <c r="G119" s="17"/>
      <c r="H119" s="17"/>
      <c r="I119" s="17"/>
      <c r="J119" s="17"/>
      <c r="K119" s="17"/>
      <c r="N119" s="3867"/>
      <c r="O119" s="3869"/>
      <c r="Z119" s="2259" t="s">
        <v>6468</v>
      </c>
      <c r="AA119" s="2263">
        <v>119</v>
      </c>
    </row>
    <row r="120" spans="1:27" ht="13.25" customHeight="1">
      <c r="A120" s="21" t="str">
        <f>$A90</f>
        <v>Mortgage A</v>
      </c>
      <c r="B120" s="448">
        <f>IF('Part II-Sources of Funds'!$P$40="", 0,-'Part II-Sources of Funds'!$P$40)</f>
        <v>-100119.57492128546</v>
      </c>
      <c r="C120" s="448">
        <f>IF('Part II-Sources of Funds'!$P$40="", 0,-'Part II-Sources of Funds'!$P$40)</f>
        <v>-100119.57492128546</v>
      </c>
      <c r="D120" s="448">
        <f>IF('Part II-Sources of Funds'!$P$40="", 0,-'Part II-Sources of Funds'!$P$40)</f>
        <v>-100119.57492128546</v>
      </c>
      <c r="E120" s="448">
        <f>IF('Part II-Sources of Funds'!$P$40="", 0,-'Part II-Sources of Funds'!$P$40)</f>
        <v>-100119.57492128546</v>
      </c>
      <c r="F120" s="448">
        <f>IF('Part II-Sources of Funds'!$P$40="", 0,-'Part II-Sources of Funds'!$P$40)</f>
        <v>-100119.57492128546</v>
      </c>
      <c r="G120" s="17"/>
      <c r="H120" s="17"/>
      <c r="I120" s="17"/>
      <c r="J120" s="17"/>
      <c r="K120" s="17"/>
      <c r="N120" s="3867"/>
      <c r="O120" s="3869"/>
      <c r="Z120" s="2259" t="s">
        <v>6468</v>
      </c>
      <c r="AA120" s="2263">
        <v>120</v>
      </c>
    </row>
    <row r="121" spans="1:27" ht="13.2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7"/>
      <c r="O121" s="3869"/>
      <c r="Z121" s="2259" t="s">
        <v>6468</v>
      </c>
      <c r="AA121" s="2263">
        <v>121</v>
      </c>
    </row>
    <row r="122" spans="1:27" ht="13.2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7"/>
      <c r="O122" s="3869"/>
      <c r="Z122" s="2259" t="s">
        <v>6468</v>
      </c>
      <c r="AA122" s="2261">
        <v>122</v>
      </c>
    </row>
    <row r="123" spans="1:27" ht="13.2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7"/>
      <c r="O123" s="3869"/>
      <c r="Z123" s="2259" t="s">
        <v>6468</v>
      </c>
      <c r="AA123" s="2262">
        <v>123</v>
      </c>
    </row>
    <row r="124" spans="1:27" ht="13.25" customHeight="1">
      <c r="A124" s="21" t="s">
        <v>711</v>
      </c>
      <c r="B124" s="173"/>
      <c r="C124" s="173"/>
      <c r="D124" s="173"/>
      <c r="E124" s="173"/>
      <c r="F124" s="173"/>
      <c r="G124" s="17"/>
      <c r="H124" s="17"/>
      <c r="I124" s="17"/>
      <c r="J124" s="17"/>
      <c r="K124" s="17"/>
      <c r="N124" s="3867"/>
      <c r="O124" s="3869"/>
      <c r="Z124" s="2259" t="s">
        <v>6468</v>
      </c>
      <c r="AA124" s="2263">
        <v>124</v>
      </c>
    </row>
    <row r="125" spans="1:27" ht="13.25" customHeight="1">
      <c r="A125" s="21" t="s">
        <v>1096</v>
      </c>
      <c r="B125" s="234">
        <f>+K95</f>
        <v>-5000</v>
      </c>
      <c r="C125" s="234">
        <f>+B125</f>
        <v>-5000</v>
      </c>
      <c r="D125" s="234">
        <f>+C125</f>
        <v>-5000</v>
      </c>
      <c r="E125" s="234">
        <f>+D125</f>
        <v>-5000</v>
      </c>
      <c r="F125" s="234">
        <f>+E125</f>
        <v>-5000</v>
      </c>
      <c r="G125" s="17"/>
      <c r="H125" s="17"/>
      <c r="I125" s="17"/>
      <c r="J125" s="17"/>
      <c r="K125" s="17"/>
      <c r="N125" s="3867"/>
      <c r="O125" s="3869"/>
      <c r="Z125" s="2259" t="s">
        <v>6468</v>
      </c>
      <c r="AA125" s="2263">
        <v>125</v>
      </c>
    </row>
    <row r="126" spans="1:27" ht="13.25" customHeight="1">
      <c r="A126" s="21" t="s">
        <v>1097</v>
      </c>
      <c r="B126" s="22">
        <f>SUM(B119:B125)</f>
        <v>-34596.190768060464</v>
      </c>
      <c r="C126" s="22">
        <f>SUM(C119:C125)</f>
        <v>-39771.861346946964</v>
      </c>
      <c r="D126" s="22">
        <f>SUM(D119:D125)</f>
        <v>-45249.010085269263</v>
      </c>
      <c r="E126" s="22">
        <f>SUM(E119:E125)</f>
        <v>-51038.214088652276</v>
      </c>
      <c r="F126" s="23">
        <f>SUM(F119:F125)</f>
        <v>-57153.459831106164</v>
      </c>
      <c r="G126" s="17"/>
      <c r="H126" s="17"/>
      <c r="I126" s="17"/>
      <c r="J126" s="17"/>
      <c r="K126" s="17"/>
      <c r="N126" s="3867"/>
      <c r="O126" s="3869"/>
      <c r="Z126" s="2259" t="s">
        <v>6468</v>
      </c>
      <c r="AA126" s="2263">
        <v>126</v>
      </c>
    </row>
    <row r="127" spans="1:27" ht="13.25" customHeight="1">
      <c r="A127" s="21" t="str">
        <f>$A97</f>
        <v>DCR Mortgage A</v>
      </c>
      <c r="B127" s="24">
        <f>IF(B120=0,"",-B119/B120)</f>
        <v>0.70439156587181728</v>
      </c>
      <c r="C127" s="24">
        <f>IF(C120=0,"",-C119/C120)</f>
        <v>0.65269667420896682</v>
      </c>
      <c r="D127" s="24">
        <f>IF(D120=0,"",-D119/D120)</f>
        <v>0.59799060156904138</v>
      </c>
      <c r="E127" s="24">
        <f>IF(E120=0,"",-E119/E120)</f>
        <v>0.54016770322039653</v>
      </c>
      <c r="F127" s="25">
        <f>IF(F120=0,"",-F119/F120)</f>
        <v>0.47908828146634169</v>
      </c>
      <c r="G127" s="17"/>
      <c r="H127" s="17"/>
      <c r="I127" s="17"/>
      <c r="J127" s="17"/>
      <c r="K127" s="17"/>
      <c r="N127" s="3867"/>
      <c r="O127" s="3869"/>
      <c r="Z127" s="2259" t="s">
        <v>6468</v>
      </c>
      <c r="AA127" s="2263">
        <v>127</v>
      </c>
    </row>
    <row r="128" spans="1:27" ht="13.2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7"/>
      <c r="O128" s="3869"/>
      <c r="Z128" s="2259" t="s">
        <v>6468</v>
      </c>
      <c r="AA128" s="2263">
        <v>128</v>
      </c>
    </row>
    <row r="129" spans="1:27" ht="13.2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7"/>
      <c r="O129" s="3869"/>
      <c r="Z129" s="2259" t="s">
        <v>6468</v>
      </c>
      <c r="AA129" s="2263">
        <v>129</v>
      </c>
    </row>
    <row r="130" spans="1:27" ht="13.2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7"/>
      <c r="O130" s="3869"/>
      <c r="Z130" s="2259" t="s">
        <v>6468</v>
      </c>
      <c r="AA130" s="2263">
        <v>130</v>
      </c>
    </row>
    <row r="131" spans="1:27" ht="13.25" customHeight="1">
      <c r="A131" s="447" t="s">
        <v>3215</v>
      </c>
      <c r="B131" s="24">
        <f>IF(AND(B120=0,B121=0,B122=0,B123=0),"",-B119/(B120+B121+B122+B123))</f>
        <v>0.70439156587181728</v>
      </c>
      <c r="C131" s="24">
        <f>IF(AND(C120=0,C121=0,C122=0,C123=0),"",-C119/(C120+C121+C122+C123))</f>
        <v>0.65269667420896682</v>
      </c>
      <c r="D131" s="24">
        <f>IF(AND(D120=0,D121=0,D122=0,D123=0),"",-D119/(D120+D121+D122+D123))</f>
        <v>0.59799060156904138</v>
      </c>
      <c r="E131" s="24">
        <f>IF(AND(E120=0,E121=0,E122=0,E123=0),"",-E119/(E120+E121+E122+E123))</f>
        <v>0.54016770322039653</v>
      </c>
      <c r="F131" s="25">
        <f>IF(AND(F120=0,F121=0,F122=0,F123=0),"",-F119/(F120+F121+F122+F123))</f>
        <v>0.47908828146634169</v>
      </c>
      <c r="G131" s="17"/>
      <c r="H131" s="17"/>
      <c r="I131" s="17"/>
      <c r="J131" s="17"/>
      <c r="K131" s="17"/>
      <c r="N131" s="3867"/>
      <c r="O131" s="3869"/>
      <c r="Z131" s="2259" t="s">
        <v>6468</v>
      </c>
      <c r="AA131" s="2261">
        <v>131</v>
      </c>
    </row>
    <row r="132" spans="1:27" ht="13.25" customHeight="1">
      <c r="A132" s="21" t="s">
        <v>718</v>
      </c>
      <c r="B132" s="288">
        <f>IF(OR(B116="Choose mgt fee",B116="Choose One!"),"",(B109+B110+B111+B112+B113) / -(B115+B116+B117))</f>
        <v>1.1000251029743457</v>
      </c>
      <c r="C132" s="288">
        <f>IF(OR(C116="Choose mgt fee",C116="Choose One!"),"",(C109+C110+C111+C112+C113) / -(C115+C116+C117))</f>
        <v>1.0900434616612533</v>
      </c>
      <c r="D132" s="288">
        <f>IF(OR(D116="Choose mgt fee",D116="Choose One!"),"",(D109+D110+D111+D112+D113) / -(D115+D116+D117))</f>
        <v>1.0801455702265206</v>
      </c>
      <c r="E132" s="288">
        <f>IF(OR(E116="Choose mgt fee",E116="Choose One!"),"",(E109+E110+E111+E112+E113) / -(E115+E116+E117))</f>
        <v>1.07033280155356</v>
      </c>
      <c r="F132" s="643">
        <f>IF(OR(F116="Choose mgt fee",F116="Choose One!"),"",(F109+F110+F111+F112+F113) / -(F115+F116+F117))</f>
        <v>1.0606022315932899</v>
      </c>
      <c r="G132" s="17"/>
      <c r="H132" s="17"/>
      <c r="I132" s="17"/>
      <c r="J132" s="17"/>
      <c r="K132" s="17"/>
      <c r="N132" s="3867"/>
      <c r="O132" s="3869"/>
      <c r="Z132" s="2259" t="s">
        <v>6468</v>
      </c>
      <c r="AA132" s="2262">
        <v>132</v>
      </c>
    </row>
    <row r="133" spans="1:27" ht="13.25" customHeight="1">
      <c r="A133" s="447" t="s">
        <v>2406</v>
      </c>
      <c r="B133" s="232">
        <f>IF('Part II-Sources of Funds'!$I$40="","",-FV('Part II-Sources of Funds'!$K$40/12,12,B120/12,K103))</f>
        <v>-103156.82083359598</v>
      </c>
      <c r="C133" s="232">
        <f>IF('Part II-Sources of Funds'!$I$40="","",-FV('Part II-Sources of Funds'!$K$40/12,12,C120/12,B133))</f>
        <v>-213222.24500514491</v>
      </c>
      <c r="D133" s="232">
        <f>IF('Part II-Sources of Funds'!$I$40="","",-FV('Part II-Sources of Funds'!$K$40/12,12,D120/12,C133))</f>
        <v>-330658.95447490795</v>
      </c>
      <c r="E133" s="232">
        <f>IF('Part II-Sources of Funds'!$I$40="","",-FV('Part II-Sources of Funds'!$K$40/12,12,E120/12,D133))</f>
        <v>-455960.6178709456</v>
      </c>
      <c r="F133" s="232">
        <f>IF('Part II-Sources of Funds'!$I$40="","",-FV('Part II-Sources of Funds'!$K$40/12,12,F120/12,E133))</f>
        <v>-589653.96572361514</v>
      </c>
      <c r="G133" s="17"/>
      <c r="H133" s="17"/>
      <c r="I133" s="17"/>
      <c r="J133" s="17"/>
      <c r="K133" s="17"/>
      <c r="N133" s="3867"/>
      <c r="O133" s="3869"/>
      <c r="Z133" s="2259" t="s">
        <v>6468</v>
      </c>
      <c r="AA133" s="2263">
        <v>133</v>
      </c>
    </row>
    <row r="134" spans="1:27" ht="13.2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7"/>
      <c r="O134" s="3869"/>
      <c r="Z134" s="2259" t="s">
        <v>6468</v>
      </c>
      <c r="AA134" s="2263">
        <v>134</v>
      </c>
    </row>
    <row r="135" spans="1:27" ht="13.2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7"/>
      <c r="O135" s="3869"/>
      <c r="Z135" s="2259" t="s">
        <v>6468</v>
      </c>
      <c r="AA135" s="2263">
        <v>135</v>
      </c>
    </row>
    <row r="136" spans="1:27" ht="13.2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6468</v>
      </c>
      <c r="AA136" s="2263">
        <v>136</v>
      </c>
    </row>
    <row r="137" spans="1:27" ht="4.25" customHeight="1"/>
    <row r="138" spans="1:27" ht="12" customHeight="1">
      <c r="A138" s="13" t="s">
        <v>529</v>
      </c>
      <c r="B138" s="13"/>
      <c r="G138" s="13" t="s">
        <v>968</v>
      </c>
    </row>
    <row r="139" spans="1:27" ht="12" customHeight="1">
      <c r="B139" s="31"/>
    </row>
    <row r="140" spans="1:27" ht="409.5" customHeight="1">
      <c r="A140" s="3451" t="s">
        <v>6996</v>
      </c>
      <c r="B140" s="3980"/>
      <c r="C140" s="3980"/>
      <c r="D140" s="3980"/>
      <c r="E140" s="3980"/>
      <c r="F140" s="3981"/>
      <c r="G140" s="3982"/>
      <c r="H140" s="3983"/>
      <c r="I140" s="3983"/>
      <c r="J140" s="3983"/>
      <c r="K140" s="3984"/>
      <c r="N140" s="3488" t="s">
        <v>2453</v>
      </c>
      <c r="O140" s="348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140" zoomScaleNormal="140" workbookViewId="0">
      <selection activeCell="A30" sqref="A30:Q30"/>
    </sheetView>
  </sheetViews>
  <sheetFormatPr baseColWidth="10" defaultColWidth="9.1640625" defaultRowHeight="13"/>
  <cols>
    <col min="1" max="1" width="5.1640625" style="35" customWidth="1"/>
    <col min="2" max="2" width="2.5" style="35" customWidth="1"/>
    <col min="3" max="3" width="2.1640625" style="35" customWidth="1"/>
    <col min="4" max="10" width="8.83203125" style="35" customWidth="1"/>
    <col min="11" max="11" width="7.5" style="35" customWidth="1"/>
    <col min="12" max="15" width="9.1640625" style="35" customWidth="1"/>
    <col min="16" max="16" width="8.83203125" style="35" customWidth="1"/>
    <col min="17" max="17" width="9.1640625" style="35" customWidth="1"/>
    <col min="18" max="30" width="9.1640625" style="35"/>
    <col min="31" max="32" width="9.1640625" style="128"/>
    <col min="33" max="16384" width="9.1640625" style="35"/>
  </cols>
  <sheetData>
    <row r="1" spans="1:32" ht="14" customHeight="1">
      <c r="A1" s="3620" t="str">
        <f>CONCATENATE("PART SEVEN - THRESHOLD CRITERIA","  -  ",'Part I-Project Identification'!$O$7," ",'Part I-Project Identification'!$F$29,", ",'Part I-Project Identification'!F30,", ",'Part I-Project Identification'!J30," County")</f>
        <v>PART SEVEN - THRESHOLD CRITERIA  -  2022-0 Cave Spring Townhomes, Cave Spring, Floyd County</v>
      </c>
      <c r="B1" s="3621"/>
      <c r="C1" s="3621"/>
      <c r="D1" s="3621"/>
      <c r="E1" s="3621"/>
      <c r="F1" s="3621"/>
      <c r="G1" s="3621"/>
      <c r="H1" s="3621"/>
      <c r="I1" s="3621"/>
      <c r="J1" s="3621"/>
      <c r="K1" s="3621"/>
      <c r="L1" s="3621"/>
      <c r="M1" s="3621"/>
      <c r="N1" s="3621"/>
      <c r="O1" s="3621"/>
      <c r="P1" s="3621"/>
      <c r="Q1" s="3621"/>
      <c r="R1" s="2384"/>
      <c r="S1" s="2384"/>
    </row>
    <row r="2" spans="1:32" s="27" customFormat="1" ht="3" customHeight="1">
      <c r="R2" s="2384"/>
      <c r="S2" s="2384"/>
      <c r="AE2" s="117"/>
      <c r="AF2" s="117"/>
    </row>
    <row r="3" spans="1:32" ht="13.5" customHeight="1">
      <c r="A3" s="407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6"/>
      <c r="C3" s="4076"/>
      <c r="D3" s="4076"/>
      <c r="E3" s="4076"/>
      <c r="F3" s="4076"/>
      <c r="G3" s="4076"/>
      <c r="H3" s="40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7"/>
      <c r="J3" s="4077"/>
      <c r="K3" s="4077"/>
      <c r="L3" s="4077"/>
      <c r="M3" s="4077"/>
      <c r="N3" s="4077"/>
      <c r="P3" s="4087" t="s">
        <v>876</v>
      </c>
      <c r="Q3" s="3997" t="s">
        <v>6536</v>
      </c>
      <c r="R3" s="2384"/>
      <c r="S3" s="2384"/>
    </row>
    <row r="4" spans="1:32" ht="3" customHeight="1">
      <c r="A4" s="1132"/>
      <c r="B4" s="4078"/>
      <c r="C4" s="4078"/>
      <c r="D4" s="4078"/>
      <c r="E4" s="1132"/>
      <c r="F4" s="1132"/>
      <c r="G4" s="1132"/>
      <c r="H4" s="1132"/>
      <c r="J4" s="633"/>
      <c r="K4" s="1132"/>
      <c r="L4" s="1132"/>
      <c r="M4" s="1132"/>
      <c r="N4" s="1132"/>
      <c r="P4" s="4088"/>
      <c r="Q4" s="3998"/>
      <c r="R4" s="2384"/>
      <c r="S4" s="2384"/>
    </row>
    <row r="5" spans="1:32">
      <c r="E5" s="4086" t="str">
        <f>'Part I-Project Identification'!$A$6</f>
        <v>May 12 2022 Core Application</v>
      </c>
      <c r="F5" s="4086"/>
      <c r="G5" s="4086"/>
      <c r="H5" s="4086"/>
      <c r="I5" s="4086"/>
      <c r="J5" s="633"/>
      <c r="K5" s="2385"/>
      <c r="L5" s="2386" t="s">
        <v>6535</v>
      </c>
      <c r="M5" s="2387" t="str">
        <f>'Part I-Project Identification'!$F$12</f>
        <v>9% Credit Competitive Round only</v>
      </c>
      <c r="N5" s="2388"/>
      <c r="O5" s="2389"/>
      <c r="P5" s="4089"/>
      <c r="Q5" s="3999"/>
      <c r="R5" s="2383"/>
      <c r="S5" s="2383"/>
    </row>
    <row r="6" spans="1:32" ht="17.25" customHeight="1">
      <c r="A6" s="126" t="s">
        <v>6534</v>
      </c>
      <c r="I6" s="633"/>
      <c r="J6" s="633"/>
      <c r="K6" s="4084" t="s">
        <v>3282</v>
      </c>
      <c r="L6" s="4084"/>
      <c r="M6" s="4084"/>
      <c r="N6" s="4084"/>
      <c r="O6" s="4085"/>
      <c r="P6" s="4079"/>
      <c r="Q6" s="4080"/>
      <c r="R6" s="2381"/>
      <c r="S6" s="2381"/>
    </row>
    <row r="7" spans="1:32" ht="12.5" customHeight="1">
      <c r="A7" s="127" t="s">
        <v>3069</v>
      </c>
      <c r="C7" s="128"/>
      <c r="D7" s="128"/>
      <c r="H7" s="1274"/>
      <c r="I7" s="2382"/>
      <c r="J7" s="2382"/>
      <c r="K7" s="1274"/>
      <c r="L7" s="1274"/>
      <c r="M7" s="1132"/>
      <c r="N7" s="1132"/>
    </row>
    <row r="8" spans="1:32" ht="23.25" customHeight="1">
      <c r="A8" s="4081" t="s">
        <v>1330</v>
      </c>
      <c r="B8" s="4082"/>
      <c r="C8" s="4082"/>
      <c r="D8" s="4082"/>
      <c r="E8" s="4082"/>
      <c r="F8" s="4082"/>
      <c r="G8" s="4082"/>
      <c r="H8" s="4082"/>
      <c r="I8" s="4082"/>
      <c r="J8" s="4082"/>
      <c r="K8" s="4082"/>
      <c r="L8" s="4082"/>
      <c r="M8" s="4082"/>
      <c r="N8" s="4082"/>
      <c r="O8" s="4082"/>
      <c r="P8" s="4082"/>
      <c r="Q8" s="4083"/>
      <c r="R8" s="3298" t="s">
        <v>1884</v>
      </c>
      <c r="S8" s="3297"/>
    </row>
    <row r="9" spans="1:32" ht="23.25" customHeight="1">
      <c r="A9" s="4059" t="s">
        <v>218</v>
      </c>
      <c r="B9" s="4060"/>
      <c r="C9" s="4060"/>
      <c r="D9" s="4060"/>
      <c r="E9" s="4060"/>
      <c r="F9" s="4060"/>
      <c r="G9" s="4060"/>
      <c r="H9" s="4060"/>
      <c r="I9" s="4060"/>
      <c r="J9" s="4060"/>
      <c r="K9" s="4060"/>
      <c r="L9" s="4060"/>
      <c r="M9" s="4060"/>
      <c r="N9" s="4060"/>
      <c r="O9" s="4060"/>
      <c r="P9" s="4060"/>
      <c r="Q9" s="4061"/>
      <c r="R9" s="3298"/>
      <c r="S9" s="3297"/>
    </row>
    <row r="10" spans="1:32" ht="23.25" customHeight="1">
      <c r="A10" s="4059" t="s">
        <v>1326</v>
      </c>
      <c r="B10" s="4060"/>
      <c r="C10" s="4060"/>
      <c r="D10" s="4060"/>
      <c r="E10" s="4060"/>
      <c r="F10" s="4060"/>
      <c r="G10" s="4060"/>
      <c r="H10" s="4060"/>
      <c r="I10" s="4060"/>
      <c r="J10" s="4060"/>
      <c r="K10" s="4060"/>
      <c r="L10" s="4060"/>
      <c r="M10" s="4060"/>
      <c r="N10" s="4060"/>
      <c r="O10" s="4060"/>
      <c r="P10" s="4060"/>
      <c r="Q10" s="4061"/>
      <c r="R10" s="3298"/>
      <c r="S10" s="3297"/>
    </row>
    <row r="11" spans="1:32" ht="23.25" customHeight="1">
      <c r="A11" s="4059" t="s">
        <v>1327</v>
      </c>
      <c r="B11" s="4060"/>
      <c r="C11" s="4060"/>
      <c r="D11" s="4060"/>
      <c r="E11" s="4060"/>
      <c r="F11" s="4060"/>
      <c r="G11" s="4060"/>
      <c r="H11" s="4060"/>
      <c r="I11" s="4060"/>
      <c r="J11" s="4060"/>
      <c r="K11" s="4060"/>
      <c r="L11" s="4060"/>
      <c r="M11" s="4060"/>
      <c r="N11" s="4060"/>
      <c r="O11" s="4060"/>
      <c r="P11" s="4060"/>
      <c r="Q11" s="4061"/>
      <c r="R11" s="3298"/>
      <c r="S11" s="3297"/>
    </row>
    <row r="12" spans="1:32" ht="23.25" customHeight="1">
      <c r="A12" s="4059" t="s">
        <v>1328</v>
      </c>
      <c r="B12" s="4060"/>
      <c r="C12" s="4060"/>
      <c r="D12" s="4060"/>
      <c r="E12" s="4060"/>
      <c r="F12" s="4060"/>
      <c r="G12" s="4060"/>
      <c r="H12" s="4060"/>
      <c r="I12" s="4060"/>
      <c r="J12" s="4060"/>
      <c r="K12" s="4060"/>
      <c r="L12" s="4060"/>
      <c r="M12" s="4060"/>
      <c r="N12" s="4060"/>
      <c r="O12" s="4060"/>
      <c r="P12" s="4060"/>
      <c r="Q12" s="4061"/>
      <c r="R12" s="1129"/>
      <c r="S12" s="1129"/>
    </row>
    <row r="13" spans="1:32" ht="23.25" customHeight="1">
      <c r="A13" s="4059" t="s">
        <v>1329</v>
      </c>
      <c r="B13" s="4060"/>
      <c r="C13" s="4060"/>
      <c r="D13" s="4060"/>
      <c r="E13" s="4060"/>
      <c r="F13" s="4060"/>
      <c r="G13" s="4060"/>
      <c r="H13" s="4060"/>
      <c r="I13" s="4060"/>
      <c r="J13" s="4060"/>
      <c r="K13" s="4060"/>
      <c r="L13" s="4060"/>
      <c r="M13" s="4060"/>
      <c r="N13" s="4060"/>
      <c r="O13" s="4060"/>
      <c r="P13" s="4060"/>
      <c r="Q13" s="4061"/>
      <c r="R13" s="1129"/>
      <c r="S13" s="1129"/>
    </row>
    <row r="14" spans="1:32" ht="23.25" customHeight="1">
      <c r="A14" s="4059" t="s">
        <v>1331</v>
      </c>
      <c r="B14" s="4060"/>
      <c r="C14" s="4060"/>
      <c r="D14" s="4060"/>
      <c r="E14" s="4060"/>
      <c r="F14" s="4060"/>
      <c r="G14" s="4060"/>
      <c r="H14" s="4060"/>
      <c r="I14" s="4060"/>
      <c r="J14" s="4060"/>
      <c r="K14" s="4060"/>
      <c r="L14" s="4060"/>
      <c r="M14" s="4060"/>
      <c r="N14" s="4060"/>
      <c r="O14" s="4060"/>
      <c r="P14" s="4060"/>
      <c r="Q14" s="4061"/>
    </row>
    <row r="15" spans="1:32" ht="11.25" customHeight="1">
      <c r="A15" s="4059" t="s">
        <v>1873</v>
      </c>
      <c r="B15" s="4060"/>
      <c r="C15" s="4060"/>
      <c r="D15" s="4060"/>
      <c r="E15" s="4060"/>
      <c r="F15" s="4060"/>
      <c r="G15" s="4060"/>
      <c r="H15" s="4060"/>
      <c r="I15" s="4060"/>
      <c r="J15" s="4060"/>
      <c r="K15" s="4060"/>
      <c r="L15" s="4060"/>
      <c r="M15" s="4060"/>
      <c r="N15" s="4060"/>
      <c r="O15" s="4060"/>
      <c r="P15" s="4060"/>
      <c r="Q15" s="4061"/>
      <c r="R15" s="3298"/>
      <c r="S15" s="3299"/>
    </row>
    <row r="16" spans="1:32" ht="11.25" customHeight="1">
      <c r="A16" s="4059" t="s">
        <v>1874</v>
      </c>
      <c r="B16" s="4060"/>
      <c r="C16" s="4060"/>
      <c r="D16" s="4060"/>
      <c r="E16" s="4060"/>
      <c r="F16" s="4060"/>
      <c r="G16" s="4060"/>
      <c r="H16" s="4060"/>
      <c r="I16" s="4060"/>
      <c r="J16" s="4060"/>
      <c r="K16" s="4060"/>
      <c r="L16" s="4060"/>
      <c r="M16" s="4060"/>
      <c r="N16" s="4060"/>
      <c r="O16" s="4060"/>
      <c r="P16" s="4060"/>
      <c r="Q16" s="4061"/>
      <c r="R16" s="3298"/>
      <c r="S16" s="3299"/>
    </row>
    <row r="17" spans="1:31" ht="11.25" customHeight="1">
      <c r="A17" s="4059" t="s">
        <v>1875</v>
      </c>
      <c r="B17" s="4060"/>
      <c r="C17" s="4060"/>
      <c r="D17" s="4060"/>
      <c r="E17" s="4060"/>
      <c r="F17" s="4060"/>
      <c r="G17" s="4060"/>
      <c r="H17" s="4060"/>
      <c r="I17" s="4060"/>
      <c r="J17" s="4060"/>
      <c r="K17" s="4060"/>
      <c r="L17" s="4060"/>
      <c r="M17" s="4060"/>
      <c r="N17" s="4060"/>
      <c r="O17" s="4060"/>
      <c r="P17" s="4060"/>
      <c r="Q17" s="4061"/>
      <c r="R17" s="3298"/>
      <c r="S17" s="3299"/>
    </row>
    <row r="18" spans="1:31" ht="11.25" customHeight="1">
      <c r="A18" s="4059" t="s">
        <v>1876</v>
      </c>
      <c r="B18" s="4060"/>
      <c r="C18" s="4060"/>
      <c r="D18" s="4060"/>
      <c r="E18" s="4060"/>
      <c r="F18" s="4060"/>
      <c r="G18" s="4060"/>
      <c r="H18" s="4060"/>
      <c r="I18" s="4060"/>
      <c r="J18" s="4060"/>
      <c r="K18" s="4060"/>
      <c r="L18" s="4060"/>
      <c r="M18" s="4060"/>
      <c r="N18" s="4060"/>
      <c r="O18" s="4060"/>
      <c r="P18" s="4060"/>
      <c r="Q18" s="4061"/>
      <c r="R18" s="3298"/>
      <c r="S18" s="3299"/>
    </row>
    <row r="19" spans="1:31" ht="11.25" customHeight="1">
      <c r="A19" s="4059" t="s">
        <v>1877</v>
      </c>
      <c r="B19" s="4060"/>
      <c r="C19" s="4060"/>
      <c r="D19" s="4060"/>
      <c r="E19" s="4060"/>
      <c r="F19" s="4060"/>
      <c r="G19" s="4060"/>
      <c r="H19" s="4060"/>
      <c r="I19" s="4060"/>
      <c r="J19" s="4060"/>
      <c r="K19" s="4060"/>
      <c r="L19" s="4060"/>
      <c r="M19" s="4060"/>
      <c r="N19" s="4060"/>
      <c r="O19" s="4060"/>
      <c r="P19" s="4060"/>
      <c r="Q19" s="4061"/>
      <c r="R19" s="3298"/>
      <c r="S19" s="3299"/>
    </row>
    <row r="20" spans="1:31" ht="11.25" customHeight="1">
      <c r="A20" s="4059" t="s">
        <v>1878</v>
      </c>
      <c r="B20" s="4060"/>
      <c r="C20" s="4060"/>
      <c r="D20" s="4060"/>
      <c r="E20" s="4060"/>
      <c r="F20" s="4060"/>
      <c r="G20" s="4060"/>
      <c r="H20" s="4060"/>
      <c r="I20" s="4060"/>
      <c r="J20" s="4060"/>
      <c r="K20" s="4060"/>
      <c r="L20" s="4060"/>
      <c r="M20" s="4060"/>
      <c r="N20" s="4060"/>
      <c r="O20" s="4060"/>
      <c r="P20" s="4060"/>
      <c r="Q20" s="4061"/>
      <c r="R20" s="3298"/>
      <c r="S20" s="3299"/>
    </row>
    <row r="21" spans="1:31" ht="11.25" customHeight="1">
      <c r="A21" s="4059" t="s">
        <v>1879</v>
      </c>
      <c r="B21" s="4060"/>
      <c r="C21" s="4060"/>
      <c r="D21" s="4060"/>
      <c r="E21" s="4060"/>
      <c r="F21" s="4060"/>
      <c r="G21" s="4060"/>
      <c r="H21" s="4060"/>
      <c r="I21" s="4060"/>
      <c r="J21" s="4060"/>
      <c r="K21" s="4060"/>
      <c r="L21" s="4060"/>
      <c r="M21" s="4060"/>
      <c r="N21" s="4060"/>
      <c r="O21" s="4060"/>
      <c r="P21" s="4060"/>
      <c r="Q21" s="4061"/>
    </row>
    <row r="22" spans="1:31" ht="11.25" customHeight="1">
      <c r="A22" s="4059" t="s">
        <v>1880</v>
      </c>
      <c r="B22" s="4060"/>
      <c r="C22" s="4060"/>
      <c r="D22" s="4060"/>
      <c r="E22" s="4060"/>
      <c r="F22" s="4060"/>
      <c r="G22" s="4060"/>
      <c r="H22" s="4060"/>
      <c r="I22" s="4060"/>
      <c r="J22" s="4060"/>
      <c r="K22" s="4060"/>
      <c r="L22" s="4060"/>
      <c r="M22" s="4060"/>
      <c r="N22" s="4060"/>
      <c r="O22" s="4060"/>
      <c r="P22" s="4060"/>
      <c r="Q22" s="4061"/>
      <c r="R22" s="3298"/>
      <c r="S22" s="3299"/>
    </row>
    <row r="23" spans="1:31" ht="11.25" customHeight="1">
      <c r="A23" s="4059" t="s">
        <v>1881</v>
      </c>
      <c r="B23" s="4060"/>
      <c r="C23" s="4060"/>
      <c r="D23" s="4060"/>
      <c r="E23" s="4060"/>
      <c r="F23" s="4060"/>
      <c r="G23" s="4060"/>
      <c r="H23" s="4060"/>
      <c r="I23" s="4060"/>
      <c r="J23" s="4060"/>
      <c r="K23" s="4060"/>
      <c r="L23" s="4060"/>
      <c r="M23" s="4060"/>
      <c r="N23" s="4060"/>
      <c r="O23" s="4060"/>
      <c r="P23" s="4060"/>
      <c r="Q23" s="4061"/>
      <c r="R23" s="3298"/>
      <c r="S23" s="3299"/>
    </row>
    <row r="24" spans="1:31" ht="11.25" customHeight="1">
      <c r="A24" s="4059" t="s">
        <v>1882</v>
      </c>
      <c r="B24" s="4060"/>
      <c r="C24" s="4060"/>
      <c r="D24" s="4060"/>
      <c r="E24" s="4060"/>
      <c r="F24" s="4060"/>
      <c r="G24" s="4060"/>
      <c r="H24" s="4060"/>
      <c r="I24" s="4060"/>
      <c r="J24" s="4060"/>
      <c r="K24" s="4060"/>
      <c r="L24" s="4060"/>
      <c r="M24" s="4060"/>
      <c r="N24" s="4060"/>
      <c r="O24" s="4060"/>
      <c r="P24" s="4060"/>
      <c r="Q24" s="4061"/>
      <c r="R24" s="3298"/>
      <c r="S24" s="3299"/>
    </row>
    <row r="25" spans="1:31" ht="11.25" customHeight="1">
      <c r="A25" s="4090" t="s">
        <v>1883</v>
      </c>
      <c r="B25" s="4091"/>
      <c r="C25" s="4091"/>
      <c r="D25" s="4091"/>
      <c r="E25" s="4091"/>
      <c r="F25" s="4091"/>
      <c r="G25" s="4091"/>
      <c r="H25" s="4091"/>
      <c r="I25" s="4091"/>
      <c r="J25" s="4091"/>
      <c r="K25" s="4091"/>
      <c r="L25" s="4091"/>
      <c r="M25" s="4091"/>
      <c r="N25" s="4091"/>
      <c r="O25" s="4091"/>
      <c r="P25" s="4091"/>
      <c r="Q25" s="4092"/>
      <c r="R25" s="3298"/>
      <c r="S25" s="3299"/>
    </row>
    <row r="26" spans="1:31" ht="6" customHeight="1"/>
    <row r="27" spans="1:31" ht="14" customHeight="1">
      <c r="A27" s="129" t="s">
        <v>689</v>
      </c>
      <c r="B27" s="130" t="s">
        <v>6640</v>
      </c>
      <c r="C27" s="131"/>
      <c r="D27" s="87"/>
      <c r="E27" s="87"/>
      <c r="F27" s="87"/>
      <c r="G27" s="87"/>
      <c r="I27" s="1139"/>
      <c r="J27" s="1139"/>
      <c r="K27" s="1139"/>
      <c r="L27" s="1132"/>
      <c r="M27" s="1132"/>
      <c r="O27" s="132" t="s">
        <v>1731</v>
      </c>
      <c r="P27" s="4021"/>
      <c r="Q27" s="4010"/>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00" t="s">
        <v>6993</v>
      </c>
      <c r="B30" s="4001"/>
      <c r="C30" s="4001"/>
      <c r="D30" s="4001"/>
      <c r="E30" s="4001"/>
      <c r="F30" s="4001"/>
      <c r="G30" s="4001"/>
      <c r="H30" s="4001"/>
      <c r="I30" s="4001"/>
      <c r="J30" s="4001"/>
      <c r="K30" s="4001"/>
      <c r="L30" s="4001"/>
      <c r="M30" s="4001"/>
      <c r="N30" s="4001"/>
      <c r="O30" s="4001"/>
      <c r="P30" s="4001"/>
      <c r="Q30" s="4002"/>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2"/>
      <c r="B32" s="4102"/>
      <c r="C32" s="4102"/>
      <c r="D32" s="4102"/>
      <c r="E32" s="4102"/>
      <c r="F32" s="4102"/>
      <c r="G32" s="4102"/>
      <c r="H32" s="4102"/>
      <c r="I32" s="4102"/>
      <c r="J32" s="4102"/>
      <c r="K32" s="4102"/>
      <c r="L32" s="4102"/>
      <c r="M32" s="4102"/>
      <c r="N32" s="4102"/>
      <c r="O32" s="4102"/>
      <c r="P32" s="4102"/>
      <c r="Q32" s="4102"/>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21"/>
      <c r="Q34" s="4010"/>
    </row>
    <row r="35" spans="1:31" ht="12.75" customHeight="1">
      <c r="A35" s="2044"/>
      <c r="B35" s="140" t="s">
        <v>6648</v>
      </c>
      <c r="C35" s="4"/>
      <c r="D35" s="4"/>
      <c r="E35" s="2046"/>
      <c r="F35" s="2046"/>
      <c r="H35" s="1133"/>
      <c r="J35" s="3366" t="s">
        <v>2582</v>
      </c>
      <c r="K35" s="3367"/>
      <c r="L35" s="3368"/>
      <c r="M35" s="509" t="s">
        <v>1648</v>
      </c>
      <c r="N35" s="4177"/>
      <c r="O35" s="4178"/>
      <c r="P35" s="4178"/>
      <c r="Q35" s="4179"/>
    </row>
    <row r="36" spans="1:31" ht="12.75" customHeight="1">
      <c r="A36" s="2197"/>
      <c r="B36" s="140" t="s">
        <v>6647</v>
      </c>
      <c r="C36" s="4"/>
      <c r="D36" s="4"/>
      <c r="E36" s="2198"/>
      <c r="F36" s="2198"/>
      <c r="G36" s="2195"/>
      <c r="H36" s="2046"/>
      <c r="J36" s="3366" t="s">
        <v>2582</v>
      </c>
      <c r="K36" s="3367"/>
      <c r="L36" s="3368"/>
      <c r="M36" s="509" t="s">
        <v>1648</v>
      </c>
      <c r="N36" s="4177"/>
      <c r="O36" s="4178"/>
      <c r="P36" s="4178"/>
      <c r="Q36" s="4179"/>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4000" t="s">
        <v>6946</v>
      </c>
      <c r="B38" s="4001"/>
      <c r="C38" s="4001"/>
      <c r="D38" s="4001"/>
      <c r="E38" s="4001"/>
      <c r="F38" s="4001"/>
      <c r="G38" s="4001"/>
      <c r="H38" s="4001"/>
      <c r="I38" s="4001"/>
      <c r="J38" s="4002"/>
      <c r="K38" s="4004"/>
      <c r="L38" s="4005"/>
      <c r="M38" s="4005"/>
      <c r="N38" s="4005"/>
      <c r="O38" s="4005"/>
      <c r="P38" s="4005"/>
      <c r="Q38" s="4006"/>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3791</v>
      </c>
      <c r="M40" s="1672" t="s">
        <v>3792</v>
      </c>
      <c r="O40" s="132" t="s">
        <v>1731</v>
      </c>
      <c r="P40" s="4021"/>
      <c r="Q40" s="4010"/>
    </row>
    <row r="41" spans="1:31" ht="1.5" customHeight="1"/>
    <row r="42" spans="1:31" ht="12" customHeight="1">
      <c r="A42" s="142" t="s">
        <v>1842</v>
      </c>
      <c r="B42" s="4094" t="s">
        <v>3786</v>
      </c>
      <c r="C42" s="4094"/>
      <c r="D42" s="4094"/>
      <c r="E42" s="4094"/>
      <c r="F42" s="4094"/>
      <c r="G42" s="4094"/>
      <c r="H42" s="4094"/>
      <c r="I42" s="4094"/>
      <c r="J42" s="4094"/>
      <c r="K42" s="148"/>
      <c r="L42" s="459" t="s">
        <v>2582</v>
      </c>
      <c r="M42" s="1522">
        <v>2</v>
      </c>
      <c r="N42" s="416" t="s">
        <v>4023</v>
      </c>
      <c r="P42" s="4043" t="s">
        <v>6928</v>
      </c>
      <c r="Q42" s="4055"/>
    </row>
    <row r="43" spans="1:31" ht="12" customHeight="1">
      <c r="A43" s="142"/>
      <c r="B43" s="4094"/>
      <c r="C43" s="4094"/>
      <c r="D43" s="4094"/>
      <c r="E43" s="4094"/>
      <c r="F43" s="4094"/>
      <c r="G43" s="4094"/>
      <c r="H43" s="4094"/>
      <c r="I43" s="4094"/>
      <c r="J43" s="4094"/>
      <c r="K43" s="148"/>
      <c r="L43" s="459" t="s">
        <v>3790</v>
      </c>
      <c r="M43" s="1523">
        <v>4</v>
      </c>
      <c r="O43" s="143"/>
      <c r="P43" s="4044"/>
      <c r="Q43" s="4056"/>
    </row>
    <row r="44" spans="1:31" ht="12" customHeight="1">
      <c r="A44" s="142"/>
      <c r="D44" s="1985"/>
      <c r="E44" s="1985"/>
      <c r="F44" s="1985"/>
      <c r="G44" s="1985"/>
      <c r="H44" s="1985"/>
      <c r="I44" s="1985"/>
      <c r="J44" s="1985"/>
      <c r="K44" s="148"/>
      <c r="L44" s="491" t="s">
        <v>6165</v>
      </c>
      <c r="M44" s="1523"/>
      <c r="O44" s="143"/>
      <c r="P44" s="1997">
        <v>2</v>
      </c>
      <c r="Q44" s="1998"/>
    </row>
    <row r="45" spans="1:31" ht="12" customHeight="1">
      <c r="A45" s="47" t="s">
        <v>1844</v>
      </c>
      <c r="B45" s="416" t="s">
        <v>3793</v>
      </c>
      <c r="C45" s="416"/>
      <c r="D45" s="416"/>
      <c r="E45" s="416"/>
      <c r="F45" s="416"/>
      <c r="G45" s="416"/>
      <c r="H45" s="416"/>
      <c r="I45" s="416"/>
      <c r="J45" s="416"/>
      <c r="K45" s="597"/>
      <c r="L45" s="416"/>
      <c r="M45" s="148"/>
      <c r="N45" s="918"/>
      <c r="O45" s="918"/>
      <c r="P45" s="918"/>
    </row>
    <row r="46" spans="1:31" ht="12.75" customHeight="1">
      <c r="A46" s="1482"/>
      <c r="B46" s="1546" t="s">
        <v>1615</v>
      </c>
      <c r="C46" s="416" t="s">
        <v>3797</v>
      </c>
      <c r="D46" s="1486"/>
      <c r="E46" s="1486"/>
      <c r="F46" s="1486"/>
      <c r="G46" s="1486"/>
      <c r="H46" s="1486"/>
      <c r="I46" s="1486"/>
      <c r="J46" s="1486"/>
      <c r="K46" s="1485"/>
      <c r="L46" s="917"/>
      <c r="N46" s="416" t="s">
        <v>4024</v>
      </c>
      <c r="O46" s="918"/>
      <c r="P46" s="230" t="s">
        <v>6928</v>
      </c>
      <c r="Q46" s="549"/>
    </row>
    <row r="47" spans="1:31" ht="12.75" customHeight="1">
      <c r="A47" s="1482"/>
      <c r="B47" s="1546" t="s">
        <v>1616</v>
      </c>
      <c r="C47" s="416" t="s">
        <v>3794</v>
      </c>
      <c r="D47" s="1486"/>
      <c r="E47" s="1486"/>
      <c r="F47" s="1486"/>
      <c r="G47" s="1486"/>
      <c r="H47" s="1486"/>
      <c r="I47" s="1486"/>
      <c r="J47" s="1486"/>
      <c r="K47" s="1485"/>
      <c r="L47" s="917"/>
      <c r="N47" s="416" t="s">
        <v>4025</v>
      </c>
      <c r="O47" s="918"/>
      <c r="P47" s="389" t="s">
        <v>6928</v>
      </c>
      <c r="Q47" s="550"/>
    </row>
    <row r="48" spans="1:31" ht="12.75" customHeight="1">
      <c r="A48" s="1481"/>
      <c r="B48" s="491" t="s">
        <v>1617</v>
      </c>
      <c r="C48" s="416" t="s">
        <v>3795</v>
      </c>
      <c r="E48" s="1486"/>
      <c r="F48" s="1486"/>
      <c r="G48" s="1486"/>
      <c r="H48" s="1486"/>
      <c r="I48" s="1486"/>
      <c r="J48" s="1486"/>
      <c r="K48" s="1485"/>
      <c r="L48" s="917"/>
      <c r="M48" s="918"/>
      <c r="N48" s="416" t="s">
        <v>4026</v>
      </c>
      <c r="O48" s="918"/>
      <c r="P48" s="389" t="s">
        <v>6928</v>
      </c>
      <c r="Q48" s="550"/>
    </row>
    <row r="49" spans="1:31" ht="12.75" customHeight="1">
      <c r="A49" s="144"/>
      <c r="B49" s="491" t="s">
        <v>2183</v>
      </c>
      <c r="C49" s="491" t="s">
        <v>3798</v>
      </c>
      <c r="D49" s="134"/>
      <c r="E49" s="134"/>
      <c r="F49" s="134"/>
      <c r="G49" s="134"/>
      <c r="H49" s="134"/>
      <c r="I49" s="42"/>
      <c r="J49" s="42"/>
      <c r="N49" s="416" t="s">
        <v>4027</v>
      </c>
      <c r="O49" s="918"/>
      <c r="P49" s="231" t="s">
        <v>6929</v>
      </c>
      <c r="Q49" s="551"/>
    </row>
    <row r="50" spans="1:31" ht="12.75" customHeight="1">
      <c r="A50" s="144"/>
      <c r="B50" s="491"/>
      <c r="C50" s="416" t="s">
        <v>3799</v>
      </c>
      <c r="D50" s="134"/>
      <c r="E50" s="134"/>
      <c r="F50" s="134"/>
      <c r="G50" s="134"/>
      <c r="H50" s="134"/>
      <c r="I50" s="42"/>
      <c r="J50" s="42"/>
      <c r="L50" s="4066"/>
      <c r="M50" s="4067"/>
      <c r="N50" s="4067"/>
      <c r="O50" s="4067"/>
      <c r="P50" s="4067"/>
      <c r="Q50" s="4068"/>
    </row>
    <row r="51" spans="1:31" ht="12.75" customHeight="1">
      <c r="A51" s="144"/>
      <c r="B51" s="491" t="s">
        <v>1449</v>
      </c>
      <c r="C51" s="4094" t="s">
        <v>3796</v>
      </c>
      <c r="D51" s="4094"/>
      <c r="E51" s="4094"/>
      <c r="F51" s="4094"/>
      <c r="G51" s="4094"/>
      <c r="H51" s="4094"/>
      <c r="I51" s="4094"/>
      <c r="J51" s="4094"/>
      <c r="K51" s="4094"/>
      <c r="L51" s="4094"/>
      <c r="M51" s="543"/>
      <c r="N51" s="416" t="s">
        <v>4028</v>
      </c>
      <c r="O51" s="918"/>
      <c r="P51" s="492" t="s">
        <v>6928</v>
      </c>
      <c r="Q51" s="548"/>
    </row>
    <row r="52" spans="1:31" ht="12.75" customHeight="1">
      <c r="A52" s="47"/>
      <c r="C52" s="4094"/>
      <c r="D52" s="4094"/>
      <c r="E52" s="4094"/>
      <c r="F52" s="4094"/>
      <c r="G52" s="4094"/>
      <c r="H52" s="4094"/>
      <c r="I52" s="4094"/>
      <c r="J52" s="4094"/>
      <c r="K52" s="4094"/>
      <c r="L52" s="4094"/>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10.5" customHeight="1">
      <c r="A54" s="4000" t="s">
        <v>6979</v>
      </c>
      <c r="B54" s="4001"/>
      <c r="C54" s="4001"/>
      <c r="D54" s="4001"/>
      <c r="E54" s="4001"/>
      <c r="F54" s="4001"/>
      <c r="G54" s="4001"/>
      <c r="H54" s="4001"/>
      <c r="I54" s="4001"/>
      <c r="J54" s="4002"/>
      <c r="K54" s="4004"/>
      <c r="L54" s="4005"/>
      <c r="M54" s="4005"/>
      <c r="N54" s="4005"/>
      <c r="O54" s="4005"/>
      <c r="P54" s="4005"/>
      <c r="Q54" s="4006"/>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 customHeight="1">
      <c r="A56" s="1138" t="s">
        <v>1669</v>
      </c>
      <c r="B56" s="1138" t="s">
        <v>4021</v>
      </c>
      <c r="C56" s="1138"/>
      <c r="D56" s="1133"/>
      <c r="E56" s="1133"/>
      <c r="F56" s="1133"/>
      <c r="G56" s="1133"/>
      <c r="H56" s="1690" t="str">
        <f>'Part I-Project Identification'!$K$32</f>
        <v>Rural</v>
      </c>
      <c r="J56" s="2390" t="s">
        <v>6641</v>
      </c>
      <c r="K56" s="967" t="str">
        <f>'Part VIII Scoring Criteria'!$M$59</f>
        <v>Rural</v>
      </c>
      <c r="L56" s="2391" t="s">
        <v>3823</v>
      </c>
      <c r="M56" s="2115" t="str">
        <f>J35</f>
        <v>Family</v>
      </c>
      <c r="O56" s="132" t="s">
        <v>1731</v>
      </c>
      <c r="P56" s="4021"/>
      <c r="Q56" s="4010"/>
    </row>
    <row r="57" spans="1:31" ht="3" customHeight="1"/>
    <row r="58" spans="1:31" ht="12.75" customHeight="1">
      <c r="A58" s="47" t="s">
        <v>1842</v>
      </c>
      <c r="B58" s="39" t="s">
        <v>2265</v>
      </c>
      <c r="D58" s="134"/>
      <c r="E58" s="134"/>
      <c r="F58" s="134"/>
      <c r="G58" s="134"/>
      <c r="H58" s="134"/>
      <c r="I58" s="42"/>
      <c r="J58" s="42"/>
      <c r="K58" s="42"/>
      <c r="L58" s="478" t="s">
        <v>1842</v>
      </c>
      <c r="M58" s="4099" t="s">
        <v>6930</v>
      </c>
      <c r="N58" s="4100"/>
      <c r="O58" s="4100"/>
      <c r="P58" s="4101"/>
      <c r="Q58" s="549"/>
    </row>
    <row r="59" spans="1:31" ht="12.75" customHeight="1">
      <c r="A59" s="47" t="s">
        <v>1844</v>
      </c>
      <c r="B59" s="52" t="s">
        <v>3948</v>
      </c>
      <c r="D59" s="134"/>
      <c r="E59" s="134"/>
      <c r="F59" s="134"/>
      <c r="L59" s="478" t="s">
        <v>1844</v>
      </c>
      <c r="M59" s="4040" t="s">
        <v>6967</v>
      </c>
      <c r="N59" s="4041"/>
      <c r="O59" s="4041"/>
      <c r="P59" s="3596"/>
      <c r="Q59" s="550"/>
    </row>
    <row r="60" spans="1:31" ht="12.75" customHeight="1">
      <c r="A60" s="47" t="s">
        <v>698</v>
      </c>
      <c r="B60" s="52" t="s">
        <v>2559</v>
      </c>
      <c r="D60" s="134"/>
      <c r="E60" s="134"/>
      <c r="F60" s="134"/>
      <c r="L60" s="478" t="s">
        <v>698</v>
      </c>
      <c r="M60" s="4036">
        <v>1</v>
      </c>
      <c r="N60" s="4037"/>
      <c r="O60" s="4037"/>
      <c r="P60" s="4038"/>
      <c r="Q60" s="550"/>
    </row>
    <row r="61" spans="1:31" ht="12.75" customHeight="1">
      <c r="A61" s="47" t="s">
        <v>1963</v>
      </c>
      <c r="B61" s="52" t="s">
        <v>3305</v>
      </c>
      <c r="D61" s="134"/>
      <c r="E61" s="134"/>
      <c r="F61" s="134"/>
      <c r="J61" s="478" t="s">
        <v>3306</v>
      </c>
      <c r="K61" s="1957">
        <v>0.16900000000000001</v>
      </c>
      <c r="L61" s="1954"/>
      <c r="M61" s="1956"/>
      <c r="N61" s="1955"/>
      <c r="O61" s="1115" t="s">
        <v>3391</v>
      </c>
      <c r="P61" s="1116">
        <v>0</v>
      </c>
      <c r="Q61" s="1953"/>
    </row>
    <row r="62" spans="1:31" ht="12.75" customHeight="1">
      <c r="A62" s="47" t="s">
        <v>1613</v>
      </c>
      <c r="B62" s="52" t="s">
        <v>3949</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6972</v>
      </c>
      <c r="E64" s="4042" t="s">
        <v>6968</v>
      </c>
      <c r="F64" s="4042"/>
      <c r="G64" s="4042"/>
      <c r="H64" s="478" t="s">
        <v>2183</v>
      </c>
      <c r="I64" s="505" t="s">
        <v>6974</v>
      </c>
      <c r="J64" s="4042" t="s">
        <v>6971</v>
      </c>
      <c r="K64" s="4042"/>
      <c r="L64" s="4042"/>
      <c r="M64" s="64" t="s">
        <v>93</v>
      </c>
      <c r="N64" s="505"/>
      <c r="O64" s="4042"/>
      <c r="P64" s="4042"/>
      <c r="Q64" s="4042"/>
    </row>
    <row r="65" spans="1:32" ht="12.75" customHeight="1">
      <c r="C65" s="65" t="s">
        <v>1616</v>
      </c>
      <c r="D65" s="2330" t="s">
        <v>6973</v>
      </c>
      <c r="E65" s="4154" t="s">
        <v>6970</v>
      </c>
      <c r="F65" s="4154"/>
      <c r="G65" s="4154"/>
      <c r="H65" s="64" t="s">
        <v>1449</v>
      </c>
      <c r="I65" s="2330"/>
      <c r="J65" s="4154"/>
      <c r="K65" s="4154"/>
      <c r="L65" s="4154"/>
      <c r="M65" s="64" t="s">
        <v>481</v>
      </c>
      <c r="N65" s="2330"/>
      <c r="O65" s="4154"/>
      <c r="P65" s="4154"/>
      <c r="Q65" s="4154"/>
    </row>
    <row r="66" spans="1:32" ht="12.75" customHeight="1">
      <c r="C66" s="65" t="s">
        <v>1617</v>
      </c>
      <c r="D66" s="506" t="s">
        <v>6975</v>
      </c>
      <c r="E66" s="4093" t="s">
        <v>6969</v>
      </c>
      <c r="F66" s="4093"/>
      <c r="G66" s="4093"/>
      <c r="H66" s="64" t="s">
        <v>1450</v>
      </c>
      <c r="I66" s="506"/>
      <c r="J66" s="4093"/>
      <c r="K66" s="4093"/>
      <c r="L66" s="4093"/>
      <c r="M66" s="64" t="s">
        <v>482</v>
      </c>
      <c r="N66" s="506"/>
      <c r="O66" s="4093"/>
      <c r="P66" s="4093"/>
      <c r="Q66" s="4093"/>
    </row>
    <row r="67" spans="1:32" ht="12.75" customHeight="1">
      <c r="A67" s="47" t="s">
        <v>1614</v>
      </c>
      <c r="B67" s="52" t="s">
        <v>6108</v>
      </c>
      <c r="D67" s="134"/>
      <c r="E67" s="134"/>
      <c r="F67" s="134"/>
      <c r="G67" s="134"/>
      <c r="H67" s="134"/>
      <c r="I67" s="42"/>
      <c r="J67" s="42"/>
      <c r="K67" s="134"/>
      <c r="L67" s="1135"/>
      <c r="M67" s="1135"/>
      <c r="O67" s="478" t="s">
        <v>1614</v>
      </c>
      <c r="P67" s="1622" t="s">
        <v>2651</v>
      </c>
      <c r="Q67" s="1623"/>
    </row>
    <row r="68" spans="1:32" ht="12.75" customHeight="1">
      <c r="A68" s="47" t="s">
        <v>1808</v>
      </c>
      <c r="B68" s="52" t="s">
        <v>6109</v>
      </c>
      <c r="D68" s="134"/>
      <c r="E68" s="134"/>
      <c r="F68" s="134"/>
      <c r="G68" s="134"/>
      <c r="H68" s="134"/>
      <c r="I68" s="42"/>
      <c r="J68" s="42"/>
      <c r="K68" s="134"/>
      <c r="L68" s="1935"/>
      <c r="M68" s="1935"/>
      <c r="O68" s="478" t="s">
        <v>1808</v>
      </c>
      <c r="P68" s="389" t="s">
        <v>2651</v>
      </c>
      <c r="Q68" s="550"/>
    </row>
    <row r="69" spans="1:32" ht="10.5" customHeight="1">
      <c r="A69" s="47" t="s">
        <v>3006</v>
      </c>
      <c r="B69" s="52" t="s">
        <v>6110</v>
      </c>
      <c r="D69" s="134"/>
      <c r="E69" s="134"/>
      <c r="F69" s="134"/>
      <c r="G69" s="134"/>
      <c r="H69" s="134"/>
      <c r="I69" s="42"/>
      <c r="J69" s="42"/>
      <c r="K69" s="134"/>
      <c r="L69" s="1935"/>
      <c r="M69" s="1935"/>
      <c r="O69" s="478" t="s">
        <v>3006</v>
      </c>
      <c r="P69" s="1116">
        <v>0.93</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33" customHeight="1">
      <c r="A71" s="4000" t="s">
        <v>6981</v>
      </c>
      <c r="B71" s="4001"/>
      <c r="C71" s="4001"/>
      <c r="D71" s="4001"/>
      <c r="E71" s="4001"/>
      <c r="F71" s="4001"/>
      <c r="G71" s="4001"/>
      <c r="H71" s="4001"/>
      <c r="I71" s="4001"/>
      <c r="J71" s="4001"/>
      <c r="K71" s="4001"/>
      <c r="L71" s="4001"/>
      <c r="M71" s="4001"/>
      <c r="N71" s="4001"/>
      <c r="O71" s="4001"/>
      <c r="P71" s="4001"/>
      <c r="Q71" s="4002"/>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4"/>
      <c r="B73" s="4005"/>
      <c r="C73" s="4005"/>
      <c r="D73" s="4005"/>
      <c r="E73" s="4005"/>
      <c r="F73" s="4005"/>
      <c r="G73" s="4005"/>
      <c r="H73" s="4005"/>
      <c r="I73" s="4005"/>
      <c r="J73" s="4005"/>
      <c r="K73" s="4005"/>
      <c r="L73" s="4005"/>
      <c r="M73" s="4005"/>
      <c r="N73" s="4005"/>
      <c r="O73" s="4005"/>
      <c r="P73" s="4005"/>
      <c r="Q73" s="4006"/>
    </row>
    <row r="74" spans="1:32" ht="14" customHeight="1">
      <c r="A74" s="1138" t="s">
        <v>496</v>
      </c>
      <c r="B74" s="1138" t="s">
        <v>2424</v>
      </c>
      <c r="C74" s="1138"/>
      <c r="D74" s="1133"/>
      <c r="E74" s="1133"/>
      <c r="F74" s="1133"/>
      <c r="G74" s="1133"/>
      <c r="H74" s="1133"/>
      <c r="I74" s="1133"/>
      <c r="J74" s="1133"/>
      <c r="K74" s="1133"/>
      <c r="L74" s="1133"/>
      <c r="M74" s="1133"/>
      <c r="O74" s="132" t="s">
        <v>1731</v>
      </c>
      <c r="P74" s="4021"/>
      <c r="Q74" s="4010"/>
    </row>
    <row r="75" spans="1:32" ht="3" customHeight="1"/>
    <row r="76" spans="1:32" ht="12.75" customHeight="1">
      <c r="A76" s="47" t="s">
        <v>1842</v>
      </c>
      <c r="B76" s="52" t="s">
        <v>4029</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66"/>
      <c r="N77" s="4067"/>
      <c r="O77" s="4067"/>
      <c r="P77" s="4163"/>
      <c r="Q77" s="550"/>
    </row>
    <row r="78" spans="1:32" s="42" customFormat="1" ht="12.75" customHeight="1">
      <c r="B78" s="146" t="s">
        <v>1616</v>
      </c>
      <c r="C78" s="36" t="s">
        <v>3838</v>
      </c>
      <c r="O78" s="65" t="s">
        <v>1616</v>
      </c>
      <c r="P78" s="1622"/>
      <c r="Q78" s="1623"/>
      <c r="AE78" s="50"/>
      <c r="AF78" s="50"/>
    </row>
    <row r="79" spans="1:32" s="42" customFormat="1" ht="12.75" customHeight="1">
      <c r="B79" s="1546" t="s">
        <v>1617</v>
      </c>
      <c r="C79" s="36" t="s">
        <v>4056</v>
      </c>
      <c r="O79" s="150" t="s">
        <v>1617</v>
      </c>
      <c r="P79" s="1776"/>
      <c r="Q79" s="1777"/>
      <c r="AE79" s="50"/>
      <c r="AF79" s="50"/>
    </row>
    <row r="80" spans="1:32" ht="12.75" customHeight="1">
      <c r="A80" s="1478"/>
      <c r="B80" s="491" t="s">
        <v>2183</v>
      </c>
      <c r="C80" s="878" t="s">
        <v>3800</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3951</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1844</v>
      </c>
      <c r="B85" s="52" t="s">
        <v>3950</v>
      </c>
      <c r="C85" s="52"/>
      <c r="E85" s="52"/>
      <c r="F85" s="52"/>
      <c r="G85" s="52"/>
      <c r="H85" s="52"/>
      <c r="I85" s="52"/>
      <c r="J85" s="52"/>
      <c r="K85" s="52"/>
      <c r="L85" s="52"/>
      <c r="M85" s="52"/>
      <c r="O85" s="478" t="s">
        <v>1844</v>
      </c>
      <c r="P85" s="1622"/>
      <c r="Q85" s="1623"/>
    </row>
    <row r="86" spans="1:32" ht="12.75" customHeight="1">
      <c r="B86" s="1546" t="s">
        <v>1615</v>
      </c>
      <c r="C86" s="52" t="s">
        <v>4075</v>
      </c>
      <c r="D86" s="52"/>
      <c r="E86" s="52"/>
      <c r="F86" s="52"/>
      <c r="G86" s="52"/>
      <c r="H86" s="52"/>
      <c r="I86" s="52"/>
      <c r="J86" s="52"/>
      <c r="K86" s="52"/>
      <c r="L86" s="52"/>
      <c r="M86" s="52"/>
      <c r="O86" s="150" t="s">
        <v>1615</v>
      </c>
      <c r="P86" s="1622"/>
      <c r="Q86" s="1623"/>
    </row>
    <row r="87" spans="1:32" ht="12.75" customHeight="1">
      <c r="A87" s="47"/>
      <c r="B87" s="146" t="s">
        <v>1616</v>
      </c>
      <c r="C87" s="52" t="s">
        <v>4074</v>
      </c>
      <c r="D87" s="52"/>
      <c r="E87" s="52"/>
      <c r="F87" s="52"/>
      <c r="G87" s="52"/>
      <c r="H87" s="52"/>
      <c r="I87" s="52"/>
      <c r="J87" s="52"/>
      <c r="K87" s="52"/>
      <c r="L87" s="52"/>
      <c r="M87" s="52"/>
      <c r="O87" s="65" t="s">
        <v>1616</v>
      </c>
      <c r="P87" s="1773"/>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00" t="s">
        <v>6982</v>
      </c>
      <c r="B89" s="4001"/>
      <c r="C89" s="4001"/>
      <c r="D89" s="4001"/>
      <c r="E89" s="4001"/>
      <c r="F89" s="4001"/>
      <c r="G89" s="4001"/>
      <c r="H89" s="4001"/>
      <c r="I89" s="4001"/>
      <c r="J89" s="4001"/>
      <c r="K89" s="4001"/>
      <c r="L89" s="4001"/>
      <c r="M89" s="4001"/>
      <c r="N89" s="4001"/>
      <c r="O89" s="4001"/>
      <c r="P89" s="4001"/>
      <c r="Q89" s="4002"/>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4"/>
      <c r="B91" s="4005"/>
      <c r="C91" s="4005"/>
      <c r="D91" s="4005"/>
      <c r="E91" s="4005"/>
      <c r="F91" s="4005"/>
      <c r="G91" s="4005"/>
      <c r="H91" s="4005"/>
      <c r="I91" s="4005"/>
      <c r="J91" s="4005"/>
      <c r="K91" s="4005"/>
      <c r="L91" s="4005"/>
      <c r="M91" s="4005"/>
      <c r="N91" s="4005"/>
      <c r="O91" s="4005"/>
      <c r="P91" s="4005"/>
      <c r="Q91" s="4006"/>
    </row>
    <row r="92" spans="1:32" ht="14" customHeight="1">
      <c r="A92" s="1138" t="s">
        <v>720</v>
      </c>
      <c r="B92" s="1138" t="s">
        <v>2425</v>
      </c>
      <c r="C92" s="40"/>
      <c r="D92" s="1133"/>
      <c r="E92" s="1133"/>
      <c r="F92" s="1133"/>
      <c r="G92" s="1133"/>
      <c r="H92" s="1133"/>
      <c r="I92" s="1133"/>
      <c r="J92" s="1133"/>
      <c r="K92" s="1133"/>
      <c r="L92" s="1133"/>
      <c r="M92" s="1133"/>
      <c r="N92" s="1091" t="s">
        <v>6537</v>
      </c>
      <c r="O92" s="132" t="s">
        <v>1731</v>
      </c>
      <c r="P92" s="4021"/>
      <c r="Q92" s="4010"/>
      <c r="R92" s="1147" t="s">
        <v>6524</v>
      </c>
    </row>
    <row r="93" spans="1:32" ht="6.5" customHeight="1"/>
    <row r="94" spans="1:32">
      <c r="A94" s="47" t="s">
        <v>1842</v>
      </c>
      <c r="B94" s="52" t="s">
        <v>6190</v>
      </c>
      <c r="D94" s="134"/>
      <c r="E94" s="134"/>
      <c r="F94" s="134"/>
      <c r="G94" s="134"/>
      <c r="H94" s="134"/>
      <c r="I94" s="42"/>
      <c r="J94" s="42"/>
      <c r="K94" s="478" t="s">
        <v>1842</v>
      </c>
      <c r="L94" s="4155" t="s">
        <v>6931</v>
      </c>
      <c r="M94" s="4155"/>
      <c r="N94" s="4155"/>
      <c r="O94" s="4155"/>
      <c r="P94" s="4156"/>
      <c r="Q94" s="2365"/>
    </row>
    <row r="95" spans="1:32" ht="12" customHeight="1">
      <c r="B95" s="55" t="s">
        <v>6631</v>
      </c>
      <c r="O95" s="65" t="s">
        <v>1616</v>
      </c>
      <c r="P95" s="2360" t="s">
        <v>2654</v>
      </c>
      <c r="Q95" s="550"/>
    </row>
    <row r="96" spans="1:32" ht="12" customHeight="1">
      <c r="B96" s="55" t="s">
        <v>6525</v>
      </c>
      <c r="I96" s="55" t="s">
        <v>6527</v>
      </c>
      <c r="K96" s="2373">
        <v>44684</v>
      </c>
      <c r="L96" s="2374"/>
      <c r="N96" s="55" t="s">
        <v>6526</v>
      </c>
      <c r="P96" s="2371" t="s">
        <v>7000</v>
      </c>
      <c r="Q96" s="2372"/>
    </row>
    <row r="97" spans="1:17" ht="12" customHeight="1">
      <c r="A97" s="47" t="s">
        <v>1844</v>
      </c>
      <c r="B97" s="52" t="s">
        <v>6638</v>
      </c>
      <c r="D97" s="134"/>
      <c r="E97" s="134"/>
      <c r="F97" s="134"/>
      <c r="G97" s="134"/>
      <c r="H97" s="134"/>
      <c r="I97" s="42"/>
      <c r="J97" s="42"/>
      <c r="K97" s="134"/>
      <c r="L97" s="1135"/>
      <c r="O97" s="478" t="s">
        <v>1844</v>
      </c>
      <c r="P97" s="492" t="s">
        <v>2651</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057" t="s">
        <v>6997</v>
      </c>
      <c r="M99" s="4057"/>
      <c r="N99" s="4057"/>
      <c r="O99" s="4057"/>
      <c r="P99" s="4058"/>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v>65</v>
      </c>
      <c r="Q100" s="921"/>
    </row>
    <row r="101" spans="1:17" ht="12" customHeight="1">
      <c r="A101" s="139"/>
      <c r="B101" s="40" t="s">
        <v>1617</v>
      </c>
      <c r="C101" s="36" t="s">
        <v>3787</v>
      </c>
      <c r="D101" s="148"/>
      <c r="E101" s="42"/>
      <c r="F101" s="42"/>
      <c r="G101" s="42"/>
      <c r="H101" s="52"/>
      <c r="I101" s="42"/>
      <c r="J101" s="42"/>
      <c r="K101" s="134"/>
      <c r="L101" s="1475"/>
      <c r="M101" s="1475"/>
      <c r="O101" s="478" t="s">
        <v>1617</v>
      </c>
      <c r="P101" s="231" t="s">
        <v>6929</v>
      </c>
      <c r="Q101" s="551"/>
    </row>
    <row r="102" spans="1:17" s="1822" customFormat="1" ht="12" customHeight="1">
      <c r="A102" s="2058" t="s">
        <v>1963</v>
      </c>
      <c r="B102" s="2140" t="s">
        <v>6624</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6625</v>
      </c>
      <c r="E104" s="2449"/>
      <c r="F104" s="2449"/>
      <c r="G104" s="2449"/>
      <c r="H104" s="2060"/>
      <c r="I104" s="2060"/>
      <c r="J104" s="2060"/>
      <c r="K104" s="2449"/>
      <c r="L104" s="2141"/>
      <c r="M104" s="2141"/>
      <c r="O104" s="2056" t="s">
        <v>1616</v>
      </c>
      <c r="P104" s="2422" t="s">
        <v>2651</v>
      </c>
      <c r="Q104" s="2143"/>
    </row>
    <row r="105" spans="1:17" s="1822" customFormat="1" ht="12" customHeight="1">
      <c r="A105" s="2058"/>
      <c r="B105" s="2059"/>
      <c r="C105" s="2140" t="s">
        <v>6626</v>
      </c>
      <c r="E105" s="2056" t="s">
        <v>2241</v>
      </c>
      <c r="F105" s="2140" t="s">
        <v>6627</v>
      </c>
      <c r="G105" s="2060"/>
      <c r="H105" s="2140"/>
      <c r="I105" s="2060"/>
      <c r="J105" s="2060"/>
      <c r="K105" s="2449"/>
      <c r="L105" s="2141"/>
      <c r="M105" s="2141"/>
      <c r="O105" s="2056" t="s">
        <v>2241</v>
      </c>
      <c r="P105" s="2483">
        <v>0.02</v>
      </c>
      <c r="Q105" s="2484"/>
    </row>
    <row r="106" spans="1:17" s="1822" customFormat="1" ht="12" customHeight="1">
      <c r="A106" s="2058"/>
      <c r="B106" s="2059"/>
      <c r="E106" s="2056" t="s">
        <v>2242</v>
      </c>
      <c r="F106" s="2140" t="s">
        <v>6628</v>
      </c>
      <c r="G106" s="2060"/>
      <c r="H106" s="2140"/>
      <c r="I106" s="2060"/>
      <c r="J106" s="2060"/>
      <c r="K106" s="2449"/>
      <c r="L106" s="2141"/>
      <c r="M106" s="2141"/>
      <c r="O106" s="2056" t="s">
        <v>2242</v>
      </c>
      <c r="P106" s="2422" t="s">
        <v>2654</v>
      </c>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6626</v>
      </c>
      <c r="E108" s="2056" t="s">
        <v>2241</v>
      </c>
      <c r="F108" s="2140" t="s">
        <v>6629</v>
      </c>
      <c r="G108" s="2060"/>
      <c r="H108" s="2140"/>
      <c r="I108" s="2060"/>
      <c r="J108" s="2060"/>
      <c r="K108" s="2449"/>
      <c r="L108" s="2141"/>
      <c r="O108" s="2056" t="s">
        <v>2241</v>
      </c>
      <c r="P108" s="2483"/>
      <c r="Q108" s="2484"/>
    </row>
    <row r="109" spans="1:17" s="1822" customFormat="1" ht="12" customHeight="1">
      <c r="A109" s="2058"/>
      <c r="B109" s="2056"/>
      <c r="E109" s="2056" t="s">
        <v>2242</v>
      </c>
      <c r="F109" s="2140" t="s">
        <v>6630</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3860</v>
      </c>
      <c r="I111" s="52" t="s">
        <v>2502</v>
      </c>
      <c r="J111" s="2362" t="s">
        <v>2654</v>
      </c>
      <c r="K111" s="1623"/>
      <c r="L111" s="478" t="s">
        <v>3864</v>
      </c>
      <c r="M111" s="140" t="s">
        <v>6195</v>
      </c>
      <c r="P111" s="2362" t="s">
        <v>2654</v>
      </c>
      <c r="Q111" s="1623"/>
    </row>
    <row r="112" spans="1:17" ht="12.75" customHeight="1">
      <c r="B112" s="146" t="s">
        <v>1616</v>
      </c>
      <c r="C112" s="52" t="s">
        <v>6191</v>
      </c>
      <c r="E112" s="134"/>
      <c r="F112" s="2360" t="s">
        <v>2654</v>
      </c>
      <c r="G112" s="550"/>
      <c r="H112" s="478" t="s">
        <v>3861</v>
      </c>
      <c r="I112" s="52" t="s">
        <v>6111</v>
      </c>
      <c r="J112" s="2360" t="s">
        <v>2651</v>
      </c>
      <c r="K112" s="550"/>
      <c r="L112" s="478" t="s">
        <v>3865</v>
      </c>
      <c r="M112" s="55" t="s">
        <v>3283</v>
      </c>
      <c r="O112" s="2045"/>
      <c r="P112" s="2360" t="s">
        <v>2654</v>
      </c>
      <c r="Q112" s="550"/>
    </row>
    <row r="113" spans="1:32" ht="12" customHeight="1">
      <c r="A113" s="36"/>
      <c r="B113" s="146" t="s">
        <v>1617</v>
      </c>
      <c r="C113" s="52" t="s">
        <v>6192</v>
      </c>
      <c r="E113" s="134"/>
      <c r="F113" s="2360" t="s">
        <v>2654</v>
      </c>
      <c r="G113" s="550"/>
      <c r="H113" s="478" t="s">
        <v>3862</v>
      </c>
      <c r="I113" s="52" t="s">
        <v>6112</v>
      </c>
      <c r="J113" s="2360" t="s">
        <v>2651</v>
      </c>
      <c r="K113" s="550"/>
      <c r="L113" s="478" t="s">
        <v>3866</v>
      </c>
      <c r="M113" s="52" t="s">
        <v>1451</v>
      </c>
      <c r="P113" s="2422" t="s">
        <v>2654</v>
      </c>
      <c r="Q113" s="550"/>
    </row>
    <row r="114" spans="1:32" ht="12" customHeight="1">
      <c r="A114" s="36"/>
      <c r="B114" s="146" t="s">
        <v>2183</v>
      </c>
      <c r="C114" s="55" t="s">
        <v>2416</v>
      </c>
      <c r="E114" s="134"/>
      <c r="F114" s="2363" t="s">
        <v>2654</v>
      </c>
      <c r="G114" s="551"/>
      <c r="H114" s="478" t="s">
        <v>3863</v>
      </c>
      <c r="I114" s="55" t="s">
        <v>6193</v>
      </c>
      <c r="J114" s="2363" t="s">
        <v>2651</v>
      </c>
      <c r="K114" s="551"/>
      <c r="L114" s="478" t="s">
        <v>6194</v>
      </c>
      <c r="M114" s="55" t="s">
        <v>6113</v>
      </c>
      <c r="P114" s="2363" t="s">
        <v>2654</v>
      </c>
      <c r="Q114" s="551"/>
    </row>
    <row r="115" spans="1:32" ht="12" customHeight="1">
      <c r="A115" s="36"/>
      <c r="B115" s="478" t="s">
        <v>6528</v>
      </c>
      <c r="C115" s="52" t="s">
        <v>2503</v>
      </c>
      <c r="E115" s="134"/>
      <c r="F115" s="134"/>
      <c r="G115" s="134"/>
      <c r="H115" s="134"/>
      <c r="I115" s="134"/>
      <c r="J115" s="134"/>
      <c r="K115" s="134"/>
      <c r="L115" s="134"/>
      <c r="M115" s="52"/>
      <c r="O115" s="65"/>
      <c r="P115" s="65"/>
    </row>
    <row r="116" spans="1:32" ht="12" customHeight="1">
      <c r="A116" s="36"/>
      <c r="C116" s="4039"/>
      <c r="D116" s="4039"/>
      <c r="E116" s="4039"/>
      <c r="F116" s="4039"/>
      <c r="G116" s="4039"/>
      <c r="H116" s="4039"/>
      <c r="I116" s="4039"/>
      <c r="J116" s="4039"/>
      <c r="K116" s="4039"/>
      <c r="L116" s="4039"/>
      <c r="M116" s="4039"/>
      <c r="N116" s="4039"/>
      <c r="O116" s="4039"/>
      <c r="P116" s="4039"/>
      <c r="Q116" s="4039"/>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6632</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3848</v>
      </c>
      <c r="E121" s="52"/>
      <c r="F121" s="52"/>
      <c r="G121" s="52"/>
      <c r="H121" s="52"/>
      <c r="I121" s="42"/>
      <c r="J121" s="42"/>
      <c r="K121" s="52"/>
      <c r="L121" s="52"/>
      <c r="M121" s="52"/>
      <c r="O121" s="478" t="s">
        <v>2183</v>
      </c>
      <c r="P121" s="231"/>
      <c r="Q121" s="551"/>
    </row>
    <row r="122" spans="1:32" ht="12" customHeight="1">
      <c r="A122" s="434" t="s">
        <v>3952</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017" t="s">
        <v>1647</v>
      </c>
      <c r="O123" s="4018"/>
      <c r="P123" s="4019" t="s">
        <v>1647</v>
      </c>
      <c r="Q123" s="4020"/>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4000" t="s">
        <v>6998</v>
      </c>
      <c r="B125" s="4001"/>
      <c r="C125" s="4001"/>
      <c r="D125" s="4001"/>
      <c r="E125" s="4001"/>
      <c r="F125" s="4001"/>
      <c r="G125" s="4001"/>
      <c r="H125" s="4001"/>
      <c r="I125" s="4001"/>
      <c r="J125" s="4001"/>
      <c r="K125" s="4001"/>
      <c r="L125" s="4001"/>
      <c r="M125" s="4001"/>
      <c r="N125" s="4001"/>
      <c r="O125" s="4001"/>
      <c r="P125" s="4001"/>
      <c r="Q125" s="4002"/>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4"/>
      <c r="B128" s="4005"/>
      <c r="C128" s="4005"/>
      <c r="D128" s="4005"/>
      <c r="E128" s="4005"/>
      <c r="F128" s="4005"/>
      <c r="G128" s="4005"/>
      <c r="H128" s="4005"/>
      <c r="I128" s="4005"/>
      <c r="J128" s="4005"/>
      <c r="K128" s="4005"/>
      <c r="L128" s="4005"/>
      <c r="M128" s="4005"/>
      <c r="N128" s="4005"/>
      <c r="O128" s="4005"/>
      <c r="P128" s="4005"/>
      <c r="Q128" s="4006"/>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 customHeight="1">
      <c r="A130" s="1138" t="s">
        <v>280</v>
      </c>
      <c r="B130" s="1138" t="s">
        <v>2426</v>
      </c>
      <c r="C130" s="1138"/>
      <c r="D130" s="1133"/>
      <c r="E130" s="1133"/>
      <c r="F130" s="1133"/>
      <c r="G130" s="1133"/>
      <c r="H130" s="1133"/>
      <c r="I130" s="1133"/>
      <c r="J130" s="1133"/>
      <c r="K130" s="1133"/>
      <c r="N130" s="1091" t="s">
        <v>6537</v>
      </c>
      <c r="O130" s="132" t="s">
        <v>1731</v>
      </c>
      <c r="P130" s="4021"/>
      <c r="Q130" s="4010"/>
      <c r="R130" s="1147" t="s">
        <v>6524</v>
      </c>
    </row>
    <row r="131" spans="1:31" ht="12" customHeight="1">
      <c r="A131" s="47" t="s">
        <v>1842</v>
      </c>
      <c r="B131" s="146" t="s">
        <v>1615</v>
      </c>
      <c r="C131" s="52" t="s">
        <v>6539</v>
      </c>
      <c r="D131" s="52"/>
      <c r="E131" s="52"/>
      <c r="F131" s="52"/>
      <c r="G131" s="52"/>
      <c r="K131" s="52" t="s">
        <v>2461</v>
      </c>
      <c r="M131" s="4045">
        <v>44926</v>
      </c>
      <c r="N131" s="4046"/>
      <c r="O131" s="65" t="s">
        <v>1615</v>
      </c>
      <c r="P131" s="96" t="s">
        <v>2651</v>
      </c>
      <c r="Q131" s="547"/>
    </row>
    <row r="132" spans="1:31" ht="12" customHeight="1">
      <c r="A132" s="47"/>
      <c r="B132" s="146" t="s">
        <v>1616</v>
      </c>
      <c r="C132" s="52" t="s">
        <v>4057</v>
      </c>
      <c r="D132" s="52"/>
      <c r="E132" s="52"/>
      <c r="F132" s="52"/>
      <c r="G132" s="52"/>
      <c r="K132" s="52" t="s">
        <v>2461</v>
      </c>
      <c r="M132" s="4045"/>
      <c r="N132" s="4046"/>
      <c r="O132" s="65" t="s">
        <v>1616</v>
      </c>
      <c r="P132" s="96" t="s">
        <v>907</v>
      </c>
      <c r="Q132" s="547"/>
    </row>
    <row r="133" spans="1:31" ht="12" customHeight="1">
      <c r="A133" s="47" t="s">
        <v>1844</v>
      </c>
      <c r="B133" s="140" t="s">
        <v>143</v>
      </c>
      <c r="D133" s="140"/>
      <c r="E133" s="140"/>
      <c r="F133" s="52" t="str">
        <f>IF(M133="Ground lease/Option","Ground lease/Option:","")</f>
        <v>Ground lease/Option:</v>
      </c>
      <c r="H133" s="36" t="str">
        <f>IF(M133="Ground lease/Option","Annual Pymt:","")</f>
        <v>Annual Pymt:</v>
      </c>
      <c r="I133" s="1564">
        <f>IF(M133="Ground lease/Option",'Part V-Revenues &amp; Expenses'!$K$251,"")</f>
        <v>10</v>
      </c>
      <c r="J133" s="478" t="str">
        <f>IF(M133="Ground lease/Option","Term:","")</f>
        <v>Term:</v>
      </c>
      <c r="K133" s="2088">
        <f>IF(M133="Ground lease/Option",'Part V-Revenues &amp; Expenses'!$N$251,"")</f>
        <v>75</v>
      </c>
      <c r="L133" s="478" t="s">
        <v>1844</v>
      </c>
      <c r="M133" s="4095" t="s">
        <v>6964</v>
      </c>
      <c r="N133" s="4096"/>
      <c r="P133" s="4097" t="s">
        <v>1647</v>
      </c>
      <c r="Q133" s="4098"/>
    </row>
    <row r="134" spans="1:31" ht="12" customHeight="1">
      <c r="A134" s="47" t="s">
        <v>698</v>
      </c>
      <c r="B134" s="140" t="s">
        <v>636</v>
      </c>
      <c r="D134" s="140"/>
      <c r="E134" s="140"/>
      <c r="F134" s="140"/>
      <c r="G134" s="140"/>
      <c r="H134" s="140"/>
      <c r="J134" s="478" t="s">
        <v>698</v>
      </c>
      <c r="K134" s="4066" t="s">
        <v>6937</v>
      </c>
      <c r="L134" s="4067"/>
      <c r="M134" s="4067"/>
      <c r="N134" s="4067"/>
      <c r="O134" s="4067"/>
      <c r="P134" s="4068"/>
      <c r="Q134" s="547"/>
    </row>
    <row r="135" spans="1:31" ht="21.75" customHeight="1">
      <c r="A135" s="142" t="s">
        <v>1963</v>
      </c>
      <c r="B135" s="4003" t="s">
        <v>6196</v>
      </c>
      <c r="C135" s="4003"/>
      <c r="D135" s="4003"/>
      <c r="E135" s="4003"/>
      <c r="F135" s="4003"/>
      <c r="G135" s="4003"/>
      <c r="H135" s="4003"/>
      <c r="I135" s="4003"/>
      <c r="J135" s="4003"/>
      <c r="K135" s="4003"/>
      <c r="L135" s="4003"/>
      <c r="M135" s="4003"/>
      <c r="N135" s="4003"/>
      <c r="O135" s="163" t="s">
        <v>1963</v>
      </c>
      <c r="P135" s="1937" t="s">
        <v>6926</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11.5" customHeight="1">
      <c r="A137" s="4000" t="s">
        <v>6983</v>
      </c>
      <c r="B137" s="4001"/>
      <c r="C137" s="4001"/>
      <c r="D137" s="4001"/>
      <c r="E137" s="4001"/>
      <c r="F137" s="4001"/>
      <c r="G137" s="4001"/>
      <c r="H137" s="4001"/>
      <c r="I137" s="4001"/>
      <c r="J137" s="4001"/>
      <c r="K137" s="4001"/>
      <c r="L137" s="4001"/>
      <c r="M137" s="4001"/>
      <c r="N137" s="4001"/>
      <c r="O137" s="4001"/>
      <c r="P137" s="4001"/>
      <c r="Q137" s="4002"/>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5" customHeight="1">
      <c r="A139" s="4004"/>
      <c r="B139" s="4005"/>
      <c r="C139" s="4005"/>
      <c r="D139" s="4005"/>
      <c r="E139" s="4005"/>
      <c r="F139" s="4005"/>
      <c r="G139" s="4005"/>
      <c r="H139" s="4005"/>
      <c r="I139" s="4005"/>
      <c r="J139" s="4005"/>
      <c r="K139" s="4005"/>
      <c r="L139" s="4005"/>
      <c r="M139" s="4005"/>
      <c r="N139" s="4005"/>
      <c r="O139" s="4005"/>
      <c r="P139" s="4005"/>
      <c r="Q139" s="4006"/>
    </row>
    <row r="140" spans="1:31" ht="3" customHeight="1">
      <c r="A140" s="1132"/>
      <c r="B140" s="1139"/>
      <c r="C140" s="1133"/>
      <c r="D140" s="1133"/>
      <c r="E140" s="1133"/>
      <c r="F140" s="1133"/>
      <c r="G140" s="1133"/>
      <c r="H140" s="1133"/>
      <c r="I140" s="1133"/>
      <c r="J140" s="1133"/>
      <c r="K140" s="1133"/>
      <c r="L140" s="1133"/>
      <c r="M140" s="1133"/>
      <c r="Q140" s="1132"/>
    </row>
    <row r="141" spans="1:31" ht="14" customHeight="1">
      <c r="A141" s="1138" t="s">
        <v>401</v>
      </c>
      <c r="B141" s="1138" t="s">
        <v>2427</v>
      </c>
      <c r="C141" s="1138"/>
      <c r="D141" s="1133"/>
      <c r="E141" s="1133"/>
      <c r="F141" s="1133"/>
      <c r="G141" s="1133"/>
      <c r="H141" s="1133"/>
      <c r="I141" s="1133"/>
      <c r="J141" s="1133"/>
      <c r="K141" s="1133"/>
      <c r="L141" s="1133"/>
      <c r="M141" s="1133"/>
      <c r="O141" s="132" t="s">
        <v>1731</v>
      </c>
      <c r="P141" s="4021"/>
      <c r="Q141" s="4010"/>
    </row>
    <row r="142" spans="1:31" ht="21.75" customHeight="1">
      <c r="A142" s="142" t="s">
        <v>1842</v>
      </c>
      <c r="B142" s="4003" t="s">
        <v>3234</v>
      </c>
      <c r="C142" s="4003"/>
      <c r="D142" s="4003"/>
      <c r="E142" s="4003"/>
      <c r="F142" s="4003"/>
      <c r="G142" s="4003"/>
      <c r="H142" s="4003"/>
      <c r="I142" s="4003"/>
      <c r="J142" s="4003"/>
      <c r="K142" s="4003"/>
      <c r="L142" s="4003"/>
      <c r="M142" s="4003"/>
      <c r="N142" s="4003"/>
      <c r="O142" s="163" t="s">
        <v>1842</v>
      </c>
      <c r="P142" s="1158" t="s">
        <v>2651</v>
      </c>
      <c r="Q142" s="1157"/>
    </row>
    <row r="143" spans="1:31" ht="22.25" customHeight="1">
      <c r="A143" s="142" t="s">
        <v>1844</v>
      </c>
      <c r="B143" s="4003" t="s">
        <v>3801</v>
      </c>
      <c r="C143" s="4003"/>
      <c r="D143" s="4003"/>
      <c r="E143" s="4003"/>
      <c r="F143" s="4003"/>
      <c r="G143" s="4003"/>
      <c r="H143" s="4003"/>
      <c r="I143" s="4003"/>
      <c r="J143" s="4003"/>
      <c r="K143" s="4003"/>
      <c r="L143" s="4003"/>
      <c r="M143" s="4003"/>
      <c r="N143" s="4003"/>
      <c r="O143" s="163" t="s">
        <v>1844</v>
      </c>
      <c r="P143" s="561" t="s">
        <v>907</v>
      </c>
      <c r="Q143" s="552"/>
    </row>
    <row r="144" spans="1:31" ht="22.25" customHeight="1">
      <c r="A144" s="142" t="s">
        <v>698</v>
      </c>
      <c r="B144" s="4003" t="s">
        <v>3235</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3834</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1.5" customHeight="1">
      <c r="A147" s="4000" t="s">
        <v>6965</v>
      </c>
      <c r="B147" s="4001"/>
      <c r="C147" s="4001"/>
      <c r="D147" s="4001"/>
      <c r="E147" s="4001"/>
      <c r="F147" s="4001"/>
      <c r="G147" s="4001"/>
      <c r="H147" s="4001"/>
      <c r="I147" s="4001"/>
      <c r="J147" s="4001"/>
      <c r="K147" s="4001"/>
      <c r="L147" s="4001"/>
      <c r="M147" s="4001"/>
      <c r="N147" s="4001"/>
      <c r="O147" s="4001"/>
      <c r="P147" s="4001"/>
      <c r="Q147" s="4002"/>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5" customHeight="1">
      <c r="A149" s="4004"/>
      <c r="B149" s="4005"/>
      <c r="C149" s="4005"/>
      <c r="D149" s="4005"/>
      <c r="E149" s="4005"/>
      <c r="F149" s="4005"/>
      <c r="G149" s="4005"/>
      <c r="H149" s="4005"/>
      <c r="I149" s="4005"/>
      <c r="J149" s="4005"/>
      <c r="K149" s="4005"/>
      <c r="L149" s="4005"/>
      <c r="M149" s="4005"/>
      <c r="N149" s="4005"/>
      <c r="O149" s="4005"/>
      <c r="P149" s="4005"/>
      <c r="Q149" s="4006"/>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 customHeight="1">
      <c r="A151" s="1131" t="s">
        <v>342</v>
      </c>
      <c r="B151" s="3947" t="s">
        <v>2428</v>
      </c>
      <c r="C151" s="3947"/>
      <c r="D151" s="3947"/>
      <c r="E151" s="414"/>
      <c r="N151" s="1091" t="s">
        <v>6537</v>
      </c>
      <c r="O151" s="132" t="s">
        <v>1731</v>
      </c>
      <c r="P151" s="4021"/>
      <c r="Q151" s="4010"/>
      <c r="R151" s="1147" t="s">
        <v>6524</v>
      </c>
    </row>
    <row r="152" spans="1:44" s="27" customFormat="1" ht="11.5" customHeight="1">
      <c r="B152" s="55" t="s">
        <v>6662</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6114</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3836</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3236</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6929</v>
      </c>
      <c r="Q160" s="552"/>
      <c r="AE160" s="481"/>
      <c r="AF160" s="481"/>
    </row>
    <row r="161" spans="1:44" s="133" customFormat="1" ht="21.75" customHeight="1">
      <c r="A161" s="142"/>
      <c r="B161" s="491" t="s">
        <v>1450</v>
      </c>
      <c r="C161" s="4003" t="s">
        <v>3307</v>
      </c>
      <c r="D161" s="4003"/>
      <c r="E161" s="4003"/>
      <c r="F161" s="4003"/>
      <c r="G161" s="4003"/>
      <c r="H161" s="4003"/>
      <c r="I161" s="4003"/>
      <c r="J161" s="4003"/>
      <c r="K161" s="4003"/>
      <c r="L161" s="4003"/>
      <c r="M161" s="4003"/>
      <c r="N161" s="4003"/>
      <c r="O161" s="163" t="s">
        <v>1450</v>
      </c>
      <c r="P161" s="561" t="s">
        <v>6929</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11.5" customHeight="1">
      <c r="A165" s="4000" t="s">
        <v>6984</v>
      </c>
      <c r="B165" s="4001"/>
      <c r="C165" s="4001"/>
      <c r="D165" s="4001"/>
      <c r="E165" s="4001"/>
      <c r="F165" s="4001"/>
      <c r="G165" s="4001"/>
      <c r="H165" s="4001"/>
      <c r="I165" s="4001"/>
      <c r="J165" s="4001"/>
      <c r="K165" s="4001"/>
      <c r="L165" s="4001"/>
      <c r="M165" s="4001"/>
      <c r="N165" s="4001"/>
      <c r="O165" s="4001"/>
      <c r="P165" s="4001"/>
      <c r="Q165" s="4002"/>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5" customHeight="1">
      <c r="A167" s="4004"/>
      <c r="B167" s="4005"/>
      <c r="C167" s="4005"/>
      <c r="D167" s="4005"/>
      <c r="E167" s="4005"/>
      <c r="F167" s="4005"/>
      <c r="G167" s="4005"/>
      <c r="H167" s="4005"/>
      <c r="I167" s="4005"/>
      <c r="J167" s="4005"/>
      <c r="K167" s="4005"/>
      <c r="L167" s="4005"/>
      <c r="M167" s="4005"/>
      <c r="N167" s="4005"/>
      <c r="O167" s="4005"/>
      <c r="P167" s="4005"/>
      <c r="Q167" s="4006"/>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 customHeight="1">
      <c r="A169" s="1138" t="s">
        <v>343</v>
      </c>
      <c r="B169" s="1138" t="s">
        <v>2429</v>
      </c>
      <c r="C169" s="1138"/>
      <c r="D169" s="1133"/>
      <c r="E169" s="147"/>
      <c r="F169" s="414"/>
      <c r="G169" s="1973"/>
      <c r="J169" s="879"/>
      <c r="K169" s="879"/>
      <c r="L169" s="879"/>
      <c r="M169" s="879"/>
      <c r="N169" s="1091" t="s">
        <v>6537</v>
      </c>
      <c r="O169" s="132" t="s">
        <v>1731</v>
      </c>
      <c r="P169" s="4021"/>
      <c r="Q169" s="4010"/>
      <c r="R169" s="1147" t="s">
        <v>6524</v>
      </c>
    </row>
    <row r="170" spans="1:44" s="27" customFormat="1" ht="12.75" customHeight="1">
      <c r="B170" s="55" t="s">
        <v>6662</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99" t="s">
        <v>907</v>
      </c>
      <c r="K171" s="4100"/>
      <c r="L171" s="4100"/>
      <c r="M171" s="4100"/>
      <c r="N171" s="4107"/>
      <c r="O171" s="65" t="s">
        <v>1615</v>
      </c>
      <c r="P171" s="230" t="s">
        <v>2654</v>
      </c>
      <c r="Q171" s="549"/>
    </row>
    <row r="172" spans="1:44" ht="12.75" customHeight="1">
      <c r="A172" s="139"/>
      <c r="B172" s="141" t="s">
        <v>3241</v>
      </c>
      <c r="C172" s="105"/>
      <c r="D172" s="105"/>
      <c r="E172" s="105"/>
      <c r="F172" s="105"/>
      <c r="H172" s="65" t="s">
        <v>1616</v>
      </c>
      <c r="I172" s="52" t="s">
        <v>1492</v>
      </c>
      <c r="J172" s="4011" t="s">
        <v>6932</v>
      </c>
      <c r="K172" s="4012"/>
      <c r="L172" s="4012"/>
      <c r="M172" s="4012"/>
      <c r="N172" s="4013"/>
      <c r="O172" s="65" t="s">
        <v>1616</v>
      </c>
      <c r="P172" s="231" t="s">
        <v>2651</v>
      </c>
      <c r="Q172" s="551"/>
    </row>
    <row r="173" spans="1:44" ht="12.75" customHeight="1">
      <c r="A173" s="4000" t="s">
        <v>6947</v>
      </c>
      <c r="B173" s="4001"/>
      <c r="C173" s="4001"/>
      <c r="D173" s="4001"/>
      <c r="E173" s="4001"/>
      <c r="F173" s="4001"/>
      <c r="G173" s="4001"/>
      <c r="H173" s="4001"/>
      <c r="I173" s="4001"/>
      <c r="J173" s="4001"/>
      <c r="K173" s="4001"/>
      <c r="L173" s="4001"/>
      <c r="M173" s="4001"/>
      <c r="N173" s="4001"/>
      <c r="O173" s="4001"/>
      <c r="P173" s="4001"/>
      <c r="Q173" s="4002"/>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4"/>
      <c r="B175" s="4005"/>
      <c r="C175" s="4005"/>
      <c r="D175" s="4005"/>
      <c r="E175" s="4005"/>
      <c r="F175" s="4005"/>
      <c r="G175" s="4005"/>
      <c r="H175" s="4005"/>
      <c r="I175" s="4005"/>
      <c r="J175" s="4005"/>
      <c r="K175" s="4005"/>
      <c r="L175" s="4005"/>
      <c r="M175" s="4005"/>
      <c r="N175" s="4005"/>
      <c r="O175" s="4005"/>
      <c r="P175" s="4005"/>
      <c r="Q175" s="4006"/>
    </row>
    <row r="176" spans="1:44" ht="4.25" customHeight="1">
      <c r="B176" s="1139"/>
      <c r="C176" s="1133"/>
      <c r="D176" s="1133"/>
      <c r="E176" s="1133"/>
      <c r="F176" s="1133"/>
      <c r="G176" s="1133"/>
      <c r="H176" s="1133"/>
      <c r="I176" s="1133"/>
      <c r="J176" s="1133"/>
      <c r="K176" s="1133"/>
      <c r="L176" s="1133"/>
      <c r="M176" s="1133"/>
      <c r="Q176" s="877"/>
    </row>
    <row r="177" spans="1:44" ht="14" customHeight="1">
      <c r="A177" s="1138" t="s">
        <v>344</v>
      </c>
      <c r="B177" s="4" t="s">
        <v>2430</v>
      </c>
      <c r="C177" s="4"/>
      <c r="D177" s="87"/>
      <c r="E177" s="87"/>
      <c r="F177" s="87"/>
      <c r="G177" s="1133"/>
      <c r="H177" s="1133"/>
      <c r="I177" s="1975"/>
      <c r="J177" s="1133"/>
      <c r="K177" s="1133"/>
      <c r="L177" s="1133"/>
      <c r="M177" s="1133"/>
      <c r="N177" s="1091" t="s">
        <v>6537</v>
      </c>
      <c r="O177" s="132" t="s">
        <v>1731</v>
      </c>
      <c r="P177" s="4021"/>
      <c r="Q177" s="4010"/>
      <c r="R177" s="1147" t="s">
        <v>6524</v>
      </c>
    </row>
    <row r="178" spans="1:44" s="27" customFormat="1" ht="12.75" customHeight="1">
      <c r="B178" s="55" t="s">
        <v>6662</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99" t="s">
        <v>6933</v>
      </c>
      <c r="K179" s="4100"/>
      <c r="L179" s="4100"/>
      <c r="M179" s="4100"/>
      <c r="N179" s="4107"/>
      <c r="O179" s="163" t="s">
        <v>1392</v>
      </c>
      <c r="P179" s="1622" t="s">
        <v>2651</v>
      </c>
      <c r="Q179" s="1623"/>
    </row>
    <row r="180" spans="1:44" ht="12.75" customHeight="1">
      <c r="A180" s="151"/>
      <c r="B180" s="4003"/>
      <c r="C180" s="4003"/>
      <c r="D180" s="4003"/>
      <c r="E180" s="4003"/>
      <c r="F180" s="4003"/>
      <c r="G180" s="4003"/>
      <c r="H180" s="65" t="s">
        <v>1616</v>
      </c>
      <c r="I180" s="52" t="s">
        <v>110</v>
      </c>
      <c r="J180" s="4011" t="s">
        <v>6933</v>
      </c>
      <c r="K180" s="4012"/>
      <c r="L180" s="4012"/>
      <c r="M180" s="4012"/>
      <c r="N180" s="4013"/>
      <c r="O180" s="163" t="s">
        <v>1616</v>
      </c>
      <c r="P180" s="2315" t="s">
        <v>2651</v>
      </c>
      <c r="Q180" s="880"/>
    </row>
    <row r="181" spans="1:44" ht="12.75" customHeight="1">
      <c r="A181" s="47" t="s">
        <v>1844</v>
      </c>
      <c r="B181" s="146" t="s">
        <v>1615</v>
      </c>
      <c r="C181" s="52" t="s">
        <v>6506</v>
      </c>
      <c r="E181" s="52"/>
      <c r="F181" s="52"/>
      <c r="G181" s="52"/>
      <c r="H181" s="52"/>
      <c r="I181" s="52"/>
      <c r="J181" s="52"/>
      <c r="K181" s="42"/>
      <c r="L181" s="52"/>
      <c r="M181" s="52"/>
      <c r="O181" s="163" t="s">
        <v>6507</v>
      </c>
      <c r="P181" s="2356" t="s">
        <v>2651</v>
      </c>
      <c r="Q181" s="1623"/>
    </row>
    <row r="182" spans="1:44" ht="12.75" customHeight="1">
      <c r="A182" s="47"/>
      <c r="B182" s="146" t="s">
        <v>1616</v>
      </c>
      <c r="C182" s="52" t="s">
        <v>6505</v>
      </c>
      <c r="D182" s="52"/>
      <c r="E182" s="52"/>
      <c r="F182" s="52"/>
      <c r="G182" s="52"/>
      <c r="H182" s="52"/>
      <c r="I182" s="52"/>
      <c r="J182" s="52"/>
      <c r="K182" s="42"/>
      <c r="L182" s="52"/>
      <c r="M182" s="52"/>
      <c r="O182" s="163" t="s">
        <v>1616</v>
      </c>
      <c r="P182" s="2355" t="s">
        <v>2651</v>
      </c>
      <c r="Q182" s="551"/>
    </row>
    <row r="183" spans="1:44" ht="12.75" customHeight="1">
      <c r="A183" s="47" t="s">
        <v>698</v>
      </c>
      <c r="B183" s="52" t="s">
        <v>6531</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12.75" customHeight="1">
      <c r="A185" s="4000" t="s">
        <v>6985</v>
      </c>
      <c r="B185" s="4001"/>
      <c r="C185" s="4001"/>
      <c r="D185" s="4001"/>
      <c r="E185" s="4001"/>
      <c r="F185" s="4001"/>
      <c r="G185" s="4001"/>
      <c r="H185" s="4001"/>
      <c r="I185" s="4001"/>
      <c r="J185" s="4001"/>
      <c r="K185" s="4001"/>
      <c r="L185" s="4001"/>
      <c r="M185" s="4001"/>
      <c r="N185" s="4001"/>
      <c r="O185" s="4001"/>
      <c r="P185" s="4001"/>
      <c r="Q185" s="4002"/>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4"/>
      <c r="B187" s="4005"/>
      <c r="C187" s="4005"/>
      <c r="D187" s="4005"/>
      <c r="E187" s="4005"/>
      <c r="F187" s="4005"/>
      <c r="G187" s="4005"/>
      <c r="H187" s="4005"/>
      <c r="I187" s="4005"/>
      <c r="J187" s="4005"/>
      <c r="K187" s="4005"/>
      <c r="L187" s="4005"/>
      <c r="M187" s="4005"/>
      <c r="N187" s="4005"/>
      <c r="O187" s="4005"/>
      <c r="P187" s="4005"/>
      <c r="Q187" s="4006"/>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 customHeight="1">
      <c r="A189" s="1138" t="s">
        <v>1605</v>
      </c>
      <c r="B189" s="1138" t="s">
        <v>2431</v>
      </c>
      <c r="C189" s="114"/>
      <c r="D189" s="1133"/>
      <c r="E189" s="1133"/>
      <c r="F189" s="1133"/>
      <c r="G189" s="1133"/>
      <c r="H189" s="1133"/>
      <c r="I189" s="1133"/>
      <c r="J189" s="1133"/>
      <c r="K189" s="1133"/>
      <c r="L189" s="1133"/>
      <c r="M189" s="1133"/>
      <c r="O189" s="132" t="s">
        <v>1731</v>
      </c>
      <c r="P189" s="4021"/>
      <c r="Q189" s="4010"/>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4030</v>
      </c>
      <c r="D191" s="42"/>
      <c r="E191" s="42"/>
      <c r="F191" s="42"/>
      <c r="G191" s="42"/>
      <c r="H191" s="42"/>
      <c r="I191" s="42"/>
      <c r="J191" s="42"/>
      <c r="K191" s="42"/>
      <c r="L191" s="42"/>
      <c r="M191" s="42"/>
      <c r="O191" s="478" t="s">
        <v>1842</v>
      </c>
      <c r="P191" s="96" t="s">
        <v>6928</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99" t="s">
        <v>6934</v>
      </c>
      <c r="L192" s="4107"/>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6723</v>
      </c>
      <c r="E193" s="878"/>
      <c r="F193" s="878"/>
      <c r="G193" s="878"/>
      <c r="H193" s="878"/>
      <c r="I193" s="42"/>
      <c r="J193" s="65" t="s">
        <v>1393</v>
      </c>
      <c r="K193" s="4050" t="s">
        <v>6935</v>
      </c>
      <c r="L193" s="4051"/>
      <c r="Q193" s="4028"/>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5" t="s">
        <v>6197</v>
      </c>
      <c r="D194" s="4026"/>
      <c r="E194" s="4026"/>
      <c r="F194" s="4026"/>
      <c r="G194" s="4026"/>
      <c r="H194" s="4026"/>
      <c r="I194" s="4026"/>
      <c r="J194" s="4026"/>
      <c r="K194" s="4026"/>
      <c r="L194" s="4026"/>
      <c r="M194" s="4026"/>
      <c r="N194" s="4026"/>
      <c r="O194" s="4027"/>
      <c r="Q194" s="4029"/>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3788</v>
      </c>
      <c r="D195" s="148"/>
      <c r="E195" s="878"/>
      <c r="F195" s="878"/>
      <c r="G195" s="878"/>
      <c r="H195" s="878"/>
      <c r="I195" s="94"/>
      <c r="J195" s="478" t="s">
        <v>1394</v>
      </c>
      <c r="K195" s="4047" t="s">
        <v>6936</v>
      </c>
      <c r="L195" s="4048"/>
      <c r="M195" s="4048"/>
      <c r="N195" s="4049"/>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4031</v>
      </c>
      <c r="D196" s="52"/>
      <c r="E196" s="52"/>
      <c r="F196" s="52"/>
      <c r="G196" s="52"/>
      <c r="H196" s="52"/>
      <c r="I196" s="52"/>
      <c r="J196" s="52"/>
      <c r="K196" s="42"/>
      <c r="L196" s="42"/>
      <c r="M196" s="42"/>
      <c r="N196" s="42"/>
      <c r="O196" s="478" t="s">
        <v>1844</v>
      </c>
      <c r="P196" s="96" t="s">
        <v>6928</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3855</v>
      </c>
      <c r="D197" s="52"/>
      <c r="E197" s="52"/>
      <c r="F197" s="52"/>
      <c r="G197" s="52"/>
      <c r="H197" s="52"/>
      <c r="I197" s="52"/>
      <c r="J197" s="52"/>
      <c r="K197" s="42"/>
      <c r="L197" s="42"/>
      <c r="M197" s="42"/>
      <c r="N197" s="478" t="s">
        <v>3154</v>
      </c>
      <c r="O197" s="1560">
        <f>'Part V-Revenues &amp; Expenses'!$P$67</f>
        <v>52</v>
      </c>
      <c r="P197" s="4030" t="s">
        <v>3857</v>
      </c>
      <c r="Q197" s="403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3858</v>
      </c>
      <c r="D198" s="52"/>
      <c r="E198" s="52"/>
      <c r="F198" s="52"/>
      <c r="H198" s="478" t="s">
        <v>3859</v>
      </c>
      <c r="I198" s="52" t="s">
        <v>3868</v>
      </c>
      <c r="M198" s="42"/>
      <c r="N198" s="42"/>
      <c r="O198" s="314"/>
      <c r="P198" s="1544" t="s">
        <v>721</v>
      </c>
      <c r="Q198" s="1545" t="s">
        <v>3856</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032" t="s">
        <v>1541</v>
      </c>
      <c r="D199" s="4033"/>
      <c r="E199" s="4033"/>
      <c r="F199" s="4033"/>
      <c r="G199" s="4034"/>
      <c r="H199" s="478" t="s">
        <v>1964</v>
      </c>
      <c r="I199" s="4007" t="s">
        <v>3402</v>
      </c>
      <c r="J199" s="4008"/>
      <c r="K199" s="4008"/>
      <c r="L199" s="4008"/>
      <c r="M199" s="4008"/>
      <c r="N199" s="4008"/>
      <c r="O199" s="4035"/>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022" t="s">
        <v>3852</v>
      </c>
      <c r="D200" s="4023"/>
      <c r="E200" s="4023"/>
      <c r="F200" s="4023"/>
      <c r="G200" s="4024"/>
      <c r="H200" s="478" t="s">
        <v>1965</v>
      </c>
      <c r="I200" s="3408"/>
      <c r="J200" s="3409"/>
      <c r="K200" s="3409"/>
      <c r="L200" s="3409"/>
      <c r="M200" s="3409"/>
      <c r="N200" s="3409"/>
      <c r="O200" s="341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2" t="s">
        <v>951</v>
      </c>
      <c r="D201" s="4023"/>
      <c r="E201" s="4023"/>
      <c r="F201" s="4023"/>
      <c r="G201" s="4024"/>
      <c r="H201" s="478" t="s">
        <v>1612</v>
      </c>
      <c r="I201" s="3408" t="s">
        <v>3402</v>
      </c>
      <c r="J201" s="3409"/>
      <c r="K201" s="3409"/>
      <c r="L201" s="3409"/>
      <c r="M201" s="3409"/>
      <c r="N201" s="3409"/>
      <c r="O201" s="341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3867</v>
      </c>
      <c r="C202" s="4052" t="s">
        <v>951</v>
      </c>
      <c r="D202" s="4053"/>
      <c r="E202" s="4053"/>
      <c r="F202" s="4053"/>
      <c r="G202" s="4054"/>
      <c r="H202" s="478" t="s">
        <v>3867</v>
      </c>
      <c r="I202" s="3447"/>
      <c r="J202" s="3448"/>
      <c r="K202" s="3448"/>
      <c r="L202" s="3448"/>
      <c r="M202" s="3448"/>
      <c r="N202" s="3448"/>
      <c r="O202" s="3450"/>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6928</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6115</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6750</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6099</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3802</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00" t="s">
        <v>6948</v>
      </c>
      <c r="B214" s="4001"/>
      <c r="C214" s="4001"/>
      <c r="D214" s="4001"/>
      <c r="E214" s="4001"/>
      <c r="F214" s="4001"/>
      <c r="G214" s="4001"/>
      <c r="H214" s="4001"/>
      <c r="I214" s="4001"/>
      <c r="J214" s="4001"/>
      <c r="K214" s="4001"/>
      <c r="L214" s="4001"/>
      <c r="M214" s="4001"/>
      <c r="N214" s="4001"/>
      <c r="O214" s="4001"/>
      <c r="P214" s="4001"/>
      <c r="Q214" s="4002"/>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4"/>
      <c r="B216" s="4005"/>
      <c r="C216" s="4005"/>
      <c r="D216" s="4005"/>
      <c r="E216" s="4005"/>
      <c r="F216" s="4005"/>
      <c r="G216" s="4005"/>
      <c r="H216" s="4005"/>
      <c r="I216" s="4005"/>
      <c r="J216" s="4005"/>
      <c r="K216" s="4005"/>
      <c r="L216" s="4005"/>
      <c r="M216" s="4005"/>
      <c r="N216" s="4005"/>
      <c r="O216" s="4005"/>
      <c r="P216" s="4005"/>
      <c r="Q216" s="4006"/>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 customHeight="1">
      <c r="A217" s="1931" t="s">
        <v>2497</v>
      </c>
      <c r="B217" s="1931" t="s">
        <v>6116</v>
      </c>
      <c r="C217" s="40"/>
      <c r="D217" s="1932"/>
      <c r="E217" s="1932"/>
      <c r="F217" s="1932"/>
      <c r="G217" s="1932"/>
      <c r="H217" s="1932"/>
      <c r="I217" s="1932"/>
      <c r="J217" s="1932"/>
      <c r="K217" s="2659" t="s">
        <v>6745</v>
      </c>
      <c r="L217" s="1690" t="str">
        <f>'Part I-Project Identification'!$P$29</f>
        <v>No</v>
      </c>
      <c r="M217" s="1932"/>
      <c r="O217" s="132" t="s">
        <v>1731</v>
      </c>
      <c r="P217" s="4021"/>
      <c r="Q217" s="4010"/>
    </row>
    <row r="218" spans="1:44" ht="11.25" customHeight="1">
      <c r="A218" s="142" t="s">
        <v>1842</v>
      </c>
      <c r="B218" s="140" t="s">
        <v>6119</v>
      </c>
    </row>
    <row r="219" spans="1:44" ht="10.5" customHeight="1">
      <c r="A219" s="142"/>
      <c r="B219" s="52" t="s">
        <v>6121</v>
      </c>
      <c r="C219" s="42"/>
      <c r="D219" s="42"/>
      <c r="E219" s="42"/>
      <c r="F219" s="42"/>
      <c r="G219" s="42"/>
      <c r="H219" s="42"/>
      <c r="I219" s="42"/>
      <c r="J219" s="1930" t="s">
        <v>6120</v>
      </c>
      <c r="K219" s="52" t="s">
        <v>6121</v>
      </c>
      <c r="L219" s="42"/>
      <c r="M219" s="42"/>
      <c r="N219" s="42"/>
      <c r="O219" s="42"/>
      <c r="P219" s="42"/>
      <c r="Q219" s="1930" t="s">
        <v>6120</v>
      </c>
    </row>
    <row r="220" spans="1:44" s="133" customFormat="1" ht="11.25" customHeight="1">
      <c r="B220" s="4007"/>
      <c r="C220" s="4008"/>
      <c r="D220" s="4008"/>
      <c r="E220" s="4008"/>
      <c r="F220" s="4008"/>
      <c r="G220" s="4008"/>
      <c r="H220" s="4008"/>
      <c r="I220" s="4008"/>
      <c r="J220" s="2667"/>
      <c r="K220" s="4007"/>
      <c r="L220" s="4008"/>
      <c r="M220" s="4008"/>
      <c r="N220" s="4008"/>
      <c r="O220" s="4008"/>
      <c r="P220" s="4008"/>
      <c r="Q220" s="2667"/>
      <c r="AE220" s="481"/>
      <c r="AF220" s="481"/>
    </row>
    <row r="221" spans="1:44" s="133" customFormat="1" ht="11.25" customHeight="1">
      <c r="A221" s="142"/>
      <c r="B221" s="3408"/>
      <c r="C221" s="3409"/>
      <c r="D221" s="3409"/>
      <c r="E221" s="3409"/>
      <c r="F221" s="3409"/>
      <c r="G221" s="3409"/>
      <c r="H221" s="3409"/>
      <c r="I221" s="3409"/>
      <c r="J221" s="2668"/>
      <c r="K221" s="3408"/>
      <c r="L221" s="3409"/>
      <c r="M221" s="3409"/>
      <c r="N221" s="3409"/>
      <c r="O221" s="3409"/>
      <c r="P221" s="3409"/>
      <c r="Q221" s="2668"/>
      <c r="AE221" s="481"/>
      <c r="AF221" s="481"/>
    </row>
    <row r="222" spans="1:44" s="133" customFormat="1" ht="11.25" customHeight="1">
      <c r="A222" s="142"/>
      <c r="B222" s="3408"/>
      <c r="C222" s="3409"/>
      <c r="D222" s="3409"/>
      <c r="E222" s="3409"/>
      <c r="F222" s="3409"/>
      <c r="G222" s="3409"/>
      <c r="H222" s="3409"/>
      <c r="I222" s="3409"/>
      <c r="J222" s="2668"/>
      <c r="K222" s="3408"/>
      <c r="L222" s="3409"/>
      <c r="M222" s="3409"/>
      <c r="N222" s="3409"/>
      <c r="O222" s="3409"/>
      <c r="P222" s="3409"/>
      <c r="Q222" s="2668"/>
      <c r="AE222" s="481"/>
      <c r="AF222" s="481"/>
    </row>
    <row r="223" spans="1:44" s="133" customFormat="1" ht="11.25" customHeight="1">
      <c r="A223" s="142"/>
      <c r="B223" s="3408"/>
      <c r="C223" s="3409"/>
      <c r="D223" s="3409"/>
      <c r="E223" s="3409"/>
      <c r="F223" s="3409"/>
      <c r="G223" s="3409"/>
      <c r="H223" s="3409"/>
      <c r="I223" s="3409"/>
      <c r="J223" s="2668"/>
      <c r="K223" s="3408"/>
      <c r="L223" s="3409"/>
      <c r="M223" s="3409"/>
      <c r="N223" s="3409"/>
      <c r="O223" s="3409"/>
      <c r="P223" s="3409"/>
      <c r="Q223" s="2668"/>
      <c r="AE223" s="481"/>
      <c r="AF223" s="481"/>
    </row>
    <row r="224" spans="1:44" s="133" customFormat="1" ht="11.25" customHeight="1">
      <c r="A224" s="142"/>
      <c r="B224" s="3408"/>
      <c r="C224" s="3409"/>
      <c r="D224" s="3409"/>
      <c r="E224" s="3409"/>
      <c r="F224" s="3409"/>
      <c r="G224" s="3409"/>
      <c r="H224" s="3409"/>
      <c r="I224" s="3409"/>
      <c r="J224" s="2668"/>
      <c r="K224" s="3408"/>
      <c r="L224" s="3409"/>
      <c r="M224" s="3409"/>
      <c r="N224" s="3409"/>
      <c r="O224" s="3409"/>
      <c r="P224" s="3409"/>
      <c r="Q224" s="2668"/>
      <c r="AE224" s="481"/>
      <c r="AF224" s="481"/>
    </row>
    <row r="225" spans="1:44" s="133" customFormat="1" ht="11.25" customHeight="1">
      <c r="A225" s="142"/>
      <c r="B225" s="3408"/>
      <c r="C225" s="3409"/>
      <c r="D225" s="3409"/>
      <c r="E225" s="3409"/>
      <c r="F225" s="3409"/>
      <c r="G225" s="3409"/>
      <c r="H225" s="3409"/>
      <c r="I225" s="3409"/>
      <c r="J225" s="2668"/>
      <c r="K225" s="3408"/>
      <c r="L225" s="3409"/>
      <c r="M225" s="3409"/>
      <c r="N225" s="3409"/>
      <c r="O225" s="3409"/>
      <c r="P225" s="3409"/>
      <c r="Q225" s="2668"/>
      <c r="AE225" s="481"/>
      <c r="AF225" s="481"/>
    </row>
    <row r="226" spans="1:44" s="133" customFormat="1" ht="11.25" customHeight="1">
      <c r="A226" s="142"/>
      <c r="B226" s="3408"/>
      <c r="C226" s="3409"/>
      <c r="D226" s="3409"/>
      <c r="E226" s="3409"/>
      <c r="F226" s="3409"/>
      <c r="G226" s="3409"/>
      <c r="H226" s="3409"/>
      <c r="I226" s="3409"/>
      <c r="J226" s="2668"/>
      <c r="K226" s="3408"/>
      <c r="L226" s="3409"/>
      <c r="M226" s="3409"/>
      <c r="N226" s="3409"/>
      <c r="O226" s="3409"/>
      <c r="P226" s="3409"/>
      <c r="Q226" s="2668"/>
      <c r="AE226" s="481"/>
      <c r="AF226" s="481"/>
    </row>
    <row r="227" spans="1:44" s="133" customFormat="1" ht="11.25" customHeight="1">
      <c r="B227" s="3447"/>
      <c r="C227" s="3448"/>
      <c r="D227" s="3448"/>
      <c r="E227" s="3448"/>
      <c r="F227" s="3448"/>
      <c r="G227" s="3448"/>
      <c r="H227" s="3448"/>
      <c r="I227" s="3448"/>
      <c r="J227" s="2669"/>
      <c r="K227" s="3447"/>
      <c r="L227" s="3448"/>
      <c r="M227" s="3448"/>
      <c r="N227" s="3448"/>
      <c r="O227" s="3448"/>
      <c r="P227" s="3448"/>
      <c r="Q227" s="2669"/>
      <c r="AE227" s="481"/>
      <c r="AF227" s="481"/>
    </row>
    <row r="228" spans="1:44" ht="12" customHeight="1">
      <c r="A228" s="142" t="s">
        <v>1844</v>
      </c>
      <c r="B228" s="1958" t="s">
        <v>6122</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6118</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6117</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0" t="s">
        <v>907</v>
      </c>
      <c r="B232" s="4001"/>
      <c r="C232" s="4001"/>
      <c r="D232" s="4001"/>
      <c r="E232" s="4001"/>
      <c r="F232" s="4001"/>
      <c r="G232" s="4001"/>
      <c r="H232" s="4001"/>
      <c r="I232" s="4001"/>
      <c r="J232" s="4001"/>
      <c r="K232" s="4001"/>
      <c r="L232" s="4001"/>
      <c r="M232" s="4001"/>
      <c r="N232" s="4001"/>
      <c r="O232" s="4001"/>
      <c r="P232" s="4001"/>
      <c r="Q232" s="4002"/>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4"/>
      <c r="B234" s="4005"/>
      <c r="C234" s="4005"/>
      <c r="D234" s="4005"/>
      <c r="E234" s="4005"/>
      <c r="F234" s="4005"/>
      <c r="G234" s="4005"/>
      <c r="H234" s="4005"/>
      <c r="I234" s="4005"/>
      <c r="J234" s="4005"/>
      <c r="K234" s="4005"/>
      <c r="L234" s="4005"/>
      <c r="M234" s="4005"/>
      <c r="N234" s="4005"/>
      <c r="O234" s="4005"/>
      <c r="P234" s="4005"/>
      <c r="Q234" s="4006"/>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 customHeight="1">
      <c r="A236" s="1931" t="s">
        <v>2081</v>
      </c>
      <c r="B236" s="4" t="s">
        <v>3953</v>
      </c>
      <c r="C236" s="4"/>
      <c r="D236" s="87"/>
      <c r="E236" s="87"/>
      <c r="F236" s="87"/>
      <c r="G236" s="87"/>
      <c r="H236" s="1133"/>
      <c r="I236" s="1133"/>
      <c r="J236" s="1133"/>
      <c r="K236" s="1133"/>
      <c r="L236" s="1596"/>
      <c r="M236" s="1597"/>
      <c r="O236" s="132" t="s">
        <v>1731</v>
      </c>
      <c r="P236" s="4021"/>
      <c r="Q236" s="4010"/>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6198</v>
      </c>
      <c r="N237" s="121"/>
      <c r="P237" s="96" t="s">
        <v>2654</v>
      </c>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5" customHeight="1">
      <c r="A238" s="47" t="s">
        <v>1842</v>
      </c>
      <c r="B238" s="52" t="s">
        <v>1193</v>
      </c>
      <c r="D238" s="42"/>
      <c r="E238" s="52"/>
      <c r="F238" s="52"/>
      <c r="J238" s="478" t="s">
        <v>1842</v>
      </c>
      <c r="K238" s="4066" t="s">
        <v>1647</v>
      </c>
      <c r="L238" s="4067"/>
      <c r="M238" s="4067"/>
      <c r="N238" s="4067"/>
      <c r="O238" s="4068"/>
      <c r="P238" s="4064" t="s">
        <v>1647</v>
      </c>
      <c r="Q238" s="4065"/>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4" t="s">
        <v>6199</v>
      </c>
      <c r="C239" s="4094"/>
      <c r="D239" s="4094"/>
      <c r="E239" s="4094"/>
      <c r="F239" s="4094"/>
      <c r="G239" s="4094"/>
      <c r="H239" s="4094"/>
      <c r="I239" s="4094"/>
      <c r="J239" s="4094"/>
      <c r="K239" s="4094"/>
      <c r="L239" s="4094"/>
      <c r="M239" s="4094"/>
      <c r="N239" s="4094"/>
      <c r="O239" s="407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112"/>
      <c r="L240" s="4113"/>
      <c r="M240" s="4113"/>
      <c r="N240" s="4113"/>
      <c r="O240" s="4114"/>
      <c r="P240" s="4108"/>
      <c r="Q240" s="4109"/>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11"/>
      <c r="L241" s="4012"/>
      <c r="M241" s="4012"/>
      <c r="N241" s="4012"/>
      <c r="O241" s="4013"/>
      <c r="P241" s="4110"/>
      <c r="Q241" s="4111"/>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6200</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6210</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6211</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3310</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5" t="s">
        <v>3246</v>
      </c>
      <c r="C246" s="4165"/>
      <c r="D246" s="4165"/>
      <c r="E246" s="457" t="s">
        <v>3383</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5"/>
      <c r="C247" s="4165"/>
      <c r="D247" s="4165"/>
      <c r="E247" s="55" t="s">
        <v>3384</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5"/>
      <c r="C248" s="4165"/>
      <c r="D248" s="4165"/>
      <c r="E248" s="55" t="s">
        <v>3385</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5"/>
      <c r="C249" s="4165"/>
      <c r="D249" s="4165"/>
      <c r="E249" s="55" t="s">
        <v>3386</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6504</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00" t="s">
        <v>907</v>
      </c>
      <c r="B252" s="4001"/>
      <c r="C252" s="4001"/>
      <c r="D252" s="4001"/>
      <c r="E252" s="4001"/>
      <c r="F252" s="4001"/>
      <c r="G252" s="4001"/>
      <c r="H252" s="4001"/>
      <c r="I252" s="4001"/>
      <c r="J252" s="4001"/>
      <c r="K252" s="4001"/>
      <c r="L252" s="4001"/>
      <c r="M252" s="4001"/>
      <c r="N252" s="4001"/>
      <c r="O252" s="4001"/>
      <c r="P252" s="4001"/>
      <c r="Q252" s="4002"/>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4"/>
      <c r="B254" s="4005"/>
      <c r="C254" s="4005"/>
      <c r="D254" s="4005"/>
      <c r="E254" s="4005"/>
      <c r="F254" s="4005"/>
      <c r="G254" s="4005"/>
      <c r="H254" s="4005"/>
      <c r="I254" s="4005"/>
      <c r="J254" s="4005"/>
      <c r="K254" s="4005"/>
      <c r="L254" s="4005"/>
      <c r="M254" s="4005"/>
      <c r="N254" s="4005"/>
      <c r="O254" s="4005"/>
      <c r="P254" s="4005"/>
      <c r="Q254" s="4006"/>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 customHeight="1">
      <c r="A256" s="1931" t="s">
        <v>3371</v>
      </c>
      <c r="B256" s="4" t="s">
        <v>2432</v>
      </c>
      <c r="C256" s="4"/>
      <c r="D256" s="87"/>
      <c r="E256" s="87"/>
      <c r="F256" s="87"/>
      <c r="G256" s="87"/>
      <c r="H256" s="1133"/>
      <c r="I256" s="1133"/>
      <c r="J256" s="1133"/>
      <c r="K256" s="1133"/>
      <c r="L256" s="1133"/>
      <c r="M256" s="1133"/>
      <c r="O256" s="132" t="s">
        <v>1731</v>
      </c>
      <c r="P256" s="4021"/>
      <c r="Q256" s="4010"/>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4032</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4058</v>
      </c>
      <c r="D260" s="4003"/>
      <c r="E260" s="4003"/>
      <c r="F260" s="4003"/>
      <c r="G260" s="4003"/>
      <c r="H260" s="4003"/>
      <c r="I260" s="4003"/>
      <c r="J260" s="4003"/>
      <c r="K260" s="4003"/>
      <c r="L260" s="4003"/>
      <c r="M260" s="4003"/>
      <c r="N260" s="4003"/>
      <c r="O260" s="1778" t="s">
        <v>4059</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6123</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25" customHeight="1">
      <c r="A264" s="4000" t="s">
        <v>6986</v>
      </c>
      <c r="B264" s="4001"/>
      <c r="C264" s="4001"/>
      <c r="D264" s="4001"/>
      <c r="E264" s="4001"/>
      <c r="F264" s="4001"/>
      <c r="G264" s="4001"/>
      <c r="H264" s="4001"/>
      <c r="I264" s="4001"/>
      <c r="J264" s="4001"/>
      <c r="K264" s="4001"/>
      <c r="L264" s="4001"/>
      <c r="M264" s="4001"/>
      <c r="N264" s="4001"/>
      <c r="O264" s="4001"/>
      <c r="P264" s="4001"/>
      <c r="Q264" s="4002"/>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25" customHeight="1">
      <c r="A266" s="4004"/>
      <c r="B266" s="4005"/>
      <c r="C266" s="4005"/>
      <c r="D266" s="4005"/>
      <c r="E266" s="4005"/>
      <c r="F266" s="4005"/>
      <c r="G266" s="4005"/>
      <c r="H266" s="4005"/>
      <c r="I266" s="4005"/>
      <c r="J266" s="4005"/>
      <c r="K266" s="4005"/>
      <c r="L266" s="4005"/>
      <c r="M266" s="4005"/>
      <c r="N266" s="4005"/>
      <c r="O266" s="4005"/>
      <c r="P266" s="4005"/>
      <c r="Q266" s="4006"/>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 customHeight="1">
      <c r="A268" s="1931" t="s">
        <v>3372</v>
      </c>
      <c r="B268" s="1138" t="s">
        <v>2433</v>
      </c>
      <c r="C268" s="1138"/>
      <c r="D268" s="1133"/>
      <c r="E268" s="1133"/>
      <c r="F268" s="1133"/>
      <c r="G268" s="1133"/>
      <c r="H268" s="1133"/>
      <c r="I268" s="1133"/>
      <c r="J268" s="1133"/>
      <c r="K268" s="1133"/>
      <c r="L268" s="1133"/>
      <c r="M268" s="1133"/>
      <c r="O268" s="132" t="s">
        <v>1731</v>
      </c>
      <c r="P268" s="4021"/>
      <c r="Q268" s="4010"/>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5" customHeight="1">
      <c r="B269" s="55" t="s">
        <v>6198</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5" customHeight="1">
      <c r="A270" s="47" t="s">
        <v>1842</v>
      </c>
      <c r="B270" s="190" t="s">
        <v>6202</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3849</v>
      </c>
      <c r="D271" s="4003"/>
      <c r="E271" s="4003"/>
      <c r="F271" s="4003"/>
      <c r="G271" s="4003"/>
      <c r="H271" s="4003"/>
      <c r="I271" s="4003"/>
      <c r="J271" s="4003"/>
      <c r="K271" s="4003"/>
      <c r="L271" s="4003"/>
      <c r="M271" s="4003"/>
      <c r="N271" s="4003"/>
      <c r="O271" s="1778" t="s">
        <v>1615</v>
      </c>
      <c r="P271" s="1158" t="s">
        <v>6928</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6928</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166" t="s">
        <v>3255</v>
      </c>
      <c r="M273" s="4167"/>
      <c r="N273" s="4167"/>
      <c r="O273" s="4167"/>
      <c r="P273" s="4168"/>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5" customHeight="1">
      <c r="A274" s="139" t="s">
        <v>698</v>
      </c>
      <c r="B274" s="190" t="s">
        <v>6201</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5" customHeight="1">
      <c r="A275" s="139"/>
      <c r="B275" s="135" t="s">
        <v>6203</v>
      </c>
      <c r="C275" s="160"/>
      <c r="D275" s="586"/>
      <c r="E275" s="586"/>
      <c r="F275" s="160"/>
      <c r="H275" s="160"/>
      <c r="I275" s="160"/>
      <c r="N275" s="2377" t="s">
        <v>6204</v>
      </c>
      <c r="O275" s="478" t="s">
        <v>698</v>
      </c>
      <c r="P275" s="1160" t="s">
        <v>6928</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00" t="s">
        <v>6949</v>
      </c>
      <c r="B277" s="4001"/>
      <c r="C277" s="4001"/>
      <c r="D277" s="4001"/>
      <c r="E277" s="4001"/>
      <c r="F277" s="4001"/>
      <c r="G277" s="4001"/>
      <c r="H277" s="4001"/>
      <c r="I277" s="4001"/>
      <c r="J277" s="4001"/>
      <c r="K277" s="4001"/>
      <c r="L277" s="4001"/>
      <c r="M277" s="4001"/>
      <c r="N277" s="4001"/>
      <c r="O277" s="4001"/>
      <c r="P277" s="4001"/>
      <c r="Q277" s="4002"/>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4"/>
      <c r="B279" s="4005"/>
      <c r="C279" s="4005"/>
      <c r="D279" s="4005"/>
      <c r="E279" s="4005"/>
      <c r="F279" s="4005"/>
      <c r="G279" s="4005"/>
      <c r="H279" s="4005"/>
      <c r="I279" s="4005"/>
      <c r="J279" s="4005"/>
      <c r="K279" s="4005"/>
      <c r="L279" s="4005"/>
      <c r="M279" s="4005"/>
      <c r="N279" s="4005"/>
      <c r="O279" s="4005"/>
      <c r="P279" s="4005"/>
      <c r="Q279" s="4006"/>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 customHeight="1">
      <c r="A281" s="1931" t="s">
        <v>3370</v>
      </c>
      <c r="B281" s="1138" t="s">
        <v>2434</v>
      </c>
      <c r="C281" s="149"/>
      <c r="D281" s="1136"/>
      <c r="E281" s="1133"/>
      <c r="F281" s="1133"/>
      <c r="G281" s="1133"/>
      <c r="H281" s="1133"/>
      <c r="I281" s="1133"/>
      <c r="J281" s="1133"/>
      <c r="K281" s="1133"/>
      <c r="L281" s="1133"/>
      <c r="M281" s="1133"/>
      <c r="O281" s="132" t="s">
        <v>1731</v>
      </c>
      <c r="P281" s="4021"/>
      <c r="Q281" s="4010"/>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5" customHeight="1">
      <c r="B282" s="55" t="s">
        <v>6198</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3387</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6663</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6664</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6205</v>
      </c>
      <c r="D286" s="4003"/>
      <c r="E286" s="4003"/>
      <c r="F286" s="4003"/>
      <c r="G286" s="4003"/>
      <c r="H286" s="4003"/>
      <c r="I286" s="4003"/>
      <c r="J286" s="4003"/>
      <c r="K286" s="4003"/>
      <c r="L286" s="4003"/>
      <c r="M286" s="4003"/>
      <c r="N286" s="4003"/>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3294</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6208</v>
      </c>
      <c r="E288" s="4003"/>
      <c r="F288" s="4003"/>
      <c r="G288" s="4003"/>
      <c r="H288" s="4003"/>
      <c r="I288" s="140"/>
      <c r="J288" s="4062" t="s">
        <v>3267</v>
      </c>
      <c r="K288" s="4169"/>
      <c r="L288" s="4169"/>
      <c r="M288" s="4075" t="s">
        <v>3248</v>
      </c>
      <c r="N288" s="4075"/>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169"/>
      <c r="K289" s="4169"/>
      <c r="L289" s="4169"/>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25" customHeight="1">
      <c r="A290" s="327"/>
      <c r="B290" s="1535"/>
      <c r="D290" s="4003"/>
      <c r="E290" s="4003"/>
      <c r="F290" s="4003"/>
      <c r="G290" s="4003"/>
      <c r="H290" s="4003"/>
      <c r="I290" s="52" t="s">
        <v>3388</v>
      </c>
      <c r="K290" s="2066">
        <v>3</v>
      </c>
      <c r="L290" s="1001" t="str">
        <f>IF(K290&lt;M290,"Check!!!","")</f>
        <v/>
      </c>
      <c r="M290" s="2068">
        <f>ROUNDUP('Part V-Revenues &amp; Expenses'!$P$67*'Part VII-Threshold Criteria'!N290,0)</f>
        <v>3</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6209</v>
      </c>
      <c r="E291" s="4003"/>
      <c r="F291" s="4003"/>
      <c r="G291" s="4003"/>
      <c r="H291" s="4003"/>
      <c r="I291" s="869" t="s">
        <v>3389</v>
      </c>
      <c r="J291" s="315"/>
      <c r="K291" s="2067">
        <v>2</v>
      </c>
      <c r="L291" s="1001" t="str">
        <f>IF(K291&lt;M291,"Check!!!","")</f>
        <v/>
      </c>
      <c r="M291" s="2069">
        <f>ROUNDUP(K290*'Part VII-Threshold Criteria'!N291,0)</f>
        <v>2</v>
      </c>
      <c r="N291" s="1524">
        <f>'DCA Underwriting Assumptions'!$Q$118</f>
        <v>0.4</v>
      </c>
      <c r="O291" s="478" t="s">
        <v>1965</v>
      </c>
      <c r="P291" s="4172" t="s">
        <v>2651</v>
      </c>
      <c r="Q291" s="4170"/>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173"/>
      <c r="Q292" s="4171"/>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6746</v>
      </c>
      <c r="D293" s="4003"/>
      <c r="E293" s="4003"/>
      <c r="F293" s="4003"/>
      <c r="G293" s="4003"/>
      <c r="H293" s="4003"/>
      <c r="I293" s="52" t="s">
        <v>3390</v>
      </c>
      <c r="J293" s="315"/>
      <c r="K293" s="999">
        <v>5</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3295</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4" t="s">
        <v>6724</v>
      </c>
      <c r="C297" s="4094"/>
      <c r="D297" s="4094"/>
      <c r="E297" s="4094"/>
      <c r="F297" s="4094"/>
      <c r="G297" s="4094"/>
      <c r="H297" s="4094"/>
      <c r="I297" s="4094"/>
      <c r="J297" s="4094"/>
      <c r="K297" s="4094"/>
      <c r="L297" s="4094"/>
      <c r="M297" s="4094"/>
      <c r="N297" s="4094"/>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130" t="s">
        <v>6966</v>
      </c>
      <c r="M298" s="4131"/>
      <c r="N298" s="4131"/>
      <c r="O298" s="4131"/>
      <c r="P298" s="4131"/>
      <c r="Q298" s="4132"/>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6665</v>
      </c>
      <c r="D299" s="4003"/>
      <c r="E299" s="4003"/>
      <c r="F299" s="4003"/>
      <c r="G299" s="4003"/>
      <c r="H299" s="4003"/>
      <c r="I299" s="4003"/>
      <c r="J299" s="4003"/>
      <c r="K299" s="4003"/>
      <c r="L299" s="4003"/>
      <c r="M299" s="4003"/>
      <c r="N299" s="4003"/>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3835</v>
      </c>
      <c r="D300" s="4003"/>
      <c r="E300" s="4003"/>
      <c r="F300" s="4003"/>
      <c r="G300" s="4003"/>
      <c r="H300" s="4003"/>
      <c r="I300" s="4003"/>
      <c r="J300" s="4003"/>
      <c r="K300" s="4003"/>
      <c r="L300" s="4003"/>
      <c r="M300" s="4003"/>
      <c r="N300" s="4003"/>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3171</v>
      </c>
      <c r="D301" s="4003"/>
      <c r="E301" s="4003"/>
      <c r="F301" s="4003"/>
      <c r="G301" s="4003"/>
      <c r="H301" s="4003"/>
      <c r="I301" s="4003"/>
      <c r="J301" s="4003"/>
      <c r="K301" s="4003"/>
      <c r="L301" s="4003"/>
      <c r="M301" s="4003"/>
      <c r="N301" s="4003"/>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3172</v>
      </c>
      <c r="D302" s="4003"/>
      <c r="E302" s="4003"/>
      <c r="F302" s="4003"/>
      <c r="G302" s="4003"/>
      <c r="H302" s="4003"/>
      <c r="I302" s="4003"/>
      <c r="J302" s="4003"/>
      <c r="K302" s="4003"/>
      <c r="L302" s="4003"/>
      <c r="M302" s="4003"/>
      <c r="N302" s="4003"/>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0" t="s">
        <v>6950</v>
      </c>
      <c r="B304" s="4001"/>
      <c r="C304" s="4001"/>
      <c r="D304" s="4001"/>
      <c r="E304" s="4001"/>
      <c r="F304" s="4001"/>
      <c r="G304" s="4001"/>
      <c r="H304" s="4001"/>
      <c r="I304" s="4001"/>
      <c r="J304" s="4001"/>
      <c r="K304" s="4001"/>
      <c r="L304" s="4001"/>
      <c r="M304" s="4001"/>
      <c r="N304" s="4001"/>
      <c r="O304" s="4001"/>
      <c r="P304" s="4001"/>
      <c r="Q304" s="4002"/>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4"/>
      <c r="B306" s="4175"/>
      <c r="C306" s="4175"/>
      <c r="D306" s="4175"/>
      <c r="E306" s="4175"/>
      <c r="F306" s="4175"/>
      <c r="G306" s="4175"/>
      <c r="H306" s="4175"/>
      <c r="I306" s="4175"/>
      <c r="J306" s="4175"/>
      <c r="K306" s="4175"/>
      <c r="L306" s="4175"/>
      <c r="M306" s="4175"/>
      <c r="N306" s="4175"/>
      <c r="O306" s="4175"/>
      <c r="P306" s="4175"/>
      <c r="Q306" s="4176"/>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 customHeight="1">
      <c r="A307" s="1931" t="s">
        <v>3373</v>
      </c>
      <c r="B307" s="10" t="s">
        <v>2435</v>
      </c>
      <c r="C307" s="10"/>
      <c r="D307" s="10"/>
      <c r="E307" s="10"/>
      <c r="F307" s="10"/>
      <c r="G307" s="10"/>
      <c r="H307" s="1133"/>
      <c r="I307" s="1133"/>
      <c r="J307" s="1133"/>
      <c r="K307" s="1133"/>
      <c r="L307" s="1133"/>
      <c r="M307" s="1133"/>
      <c r="O307" s="132" t="s">
        <v>1731</v>
      </c>
      <c r="P307" s="4069"/>
      <c r="Q307" s="4070"/>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5" customHeight="1">
      <c r="A310" s="2058"/>
      <c r="B310" s="2059" t="s">
        <v>3789</v>
      </c>
      <c r="E310" s="2059"/>
      <c r="F310" s="2059"/>
      <c r="G310" s="2059"/>
      <c r="H310" s="2059"/>
      <c r="I310" s="2060"/>
      <c r="J310" s="2056"/>
      <c r="K310" s="4066" t="s">
        <v>6938</v>
      </c>
      <c r="L310" s="4067"/>
      <c r="M310" s="4067"/>
      <c r="N310" s="4068"/>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5" customHeight="1">
      <c r="A311" s="142" t="s">
        <v>1842</v>
      </c>
      <c r="B311" s="194" t="s">
        <v>6676</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6675</v>
      </c>
      <c r="C312" s="4003"/>
      <c r="D312" s="4003"/>
      <c r="E312" s="4003"/>
      <c r="F312" s="4003"/>
      <c r="G312" s="4003"/>
      <c r="H312" s="4003"/>
      <c r="I312" s="4003"/>
      <c r="J312" s="4003"/>
      <c r="K312" s="4003"/>
      <c r="L312" s="4003"/>
      <c r="M312" s="4003"/>
      <c r="N312" s="4003"/>
      <c r="O312" s="163" t="s">
        <v>1842</v>
      </c>
      <c r="P312" s="162" t="s">
        <v>6928</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5"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0" t="s">
        <v>6309</v>
      </c>
      <c r="H314" s="4121"/>
      <c r="I314" s="4121"/>
      <c r="J314" s="4121"/>
      <c r="K314" s="4121"/>
      <c r="L314" s="4121"/>
      <c r="M314" s="4121"/>
      <c r="N314" s="4122"/>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71"/>
      <c r="G315" s="3447" t="s">
        <v>6206</v>
      </c>
      <c r="H315" s="4115"/>
      <c r="I315" s="4115"/>
      <c r="J315" s="4115"/>
      <c r="K315" s="4115"/>
      <c r="L315" s="4115"/>
      <c r="M315" s="4115"/>
      <c r="N315" s="411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6124</v>
      </c>
      <c r="D317" s="1963"/>
      <c r="E317" s="1963"/>
      <c r="F317" s="1963"/>
      <c r="G317" s="4164" t="s">
        <v>6125</v>
      </c>
      <c r="H317" s="4164"/>
      <c r="I317" s="4164"/>
      <c r="J317" s="4164"/>
      <c r="K317" s="4164"/>
      <c r="L317" s="4164"/>
      <c r="M317" s="4164"/>
      <c r="N317" s="4164"/>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127"/>
      <c r="D318" s="4128"/>
      <c r="E318" s="4128"/>
      <c r="F318" s="4128"/>
      <c r="G318" s="4128"/>
      <c r="H318" s="4128"/>
      <c r="I318" s="4128"/>
      <c r="J318" s="4128"/>
      <c r="K318" s="4128"/>
      <c r="L318" s="4128"/>
      <c r="M318" s="4128"/>
      <c r="N318" s="4129"/>
      <c r="O318" s="229" t="s">
        <v>6305</v>
      </c>
      <c r="P318" s="1143" t="s">
        <v>2654</v>
      </c>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52"/>
      <c r="D319" s="4053"/>
      <c r="E319" s="4053"/>
      <c r="F319" s="4053"/>
      <c r="G319" s="4053"/>
      <c r="H319" s="4053"/>
      <c r="I319" s="4053"/>
      <c r="J319" s="4053"/>
      <c r="K319" s="4053"/>
      <c r="L319" s="4053"/>
      <c r="M319" s="4053"/>
      <c r="N319" s="4054"/>
      <c r="O319" s="229" t="s">
        <v>6306</v>
      </c>
      <c r="P319" s="1145" t="s">
        <v>2654</v>
      </c>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94" t="s">
        <v>6126</v>
      </c>
      <c r="C320" s="4094"/>
      <c r="D320" s="4094"/>
      <c r="E320" s="4094"/>
      <c r="F320" s="4094"/>
      <c r="G320" s="4094"/>
      <c r="H320" s="4094"/>
      <c r="I320" s="4094"/>
      <c r="J320" s="4094"/>
      <c r="K320" s="4094"/>
      <c r="L320" s="4094"/>
      <c r="M320" s="4094"/>
      <c r="N320" s="4094"/>
      <c r="O320" s="163" t="s">
        <v>1963</v>
      </c>
      <c r="P320" s="1937" t="s">
        <v>6928</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5" customHeight="1">
      <c r="A323" s="4000" t="s">
        <v>6999</v>
      </c>
      <c r="B323" s="4001"/>
      <c r="C323" s="4001"/>
      <c r="D323" s="4001"/>
      <c r="E323" s="4001"/>
      <c r="F323" s="4001"/>
      <c r="G323" s="4001"/>
      <c r="H323" s="4001"/>
      <c r="I323" s="4001"/>
      <c r="J323" s="4001"/>
      <c r="K323" s="4001"/>
      <c r="L323" s="4001"/>
      <c r="M323" s="4001"/>
      <c r="N323" s="4001"/>
      <c r="O323" s="4001"/>
      <c r="P323" s="4001"/>
      <c r="Q323" s="4002"/>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5" customHeight="1">
      <c r="A325" s="4004"/>
      <c r="B325" s="4005"/>
      <c r="C325" s="4005"/>
      <c r="D325" s="4005"/>
      <c r="E325" s="4005"/>
      <c r="F325" s="4005"/>
      <c r="G325" s="4005"/>
      <c r="H325" s="4005"/>
      <c r="I325" s="4005"/>
      <c r="J325" s="4005"/>
      <c r="K325" s="4005"/>
      <c r="L325" s="4005"/>
      <c r="M325" s="4005"/>
      <c r="N325" s="4005"/>
      <c r="O325" s="4005"/>
      <c r="P325" s="4005"/>
      <c r="Q325" s="4006"/>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 customHeight="1">
      <c r="A326" s="1931" t="s">
        <v>3374</v>
      </c>
      <c r="B326" s="192" t="s">
        <v>6538</v>
      </c>
      <c r="C326" s="1138"/>
      <c r="D326" s="1133"/>
      <c r="E326" s="1133"/>
      <c r="F326" s="1133"/>
      <c r="G326" s="1133"/>
      <c r="H326" s="1133"/>
      <c r="N326" s="1091" t="s">
        <v>6537</v>
      </c>
      <c r="O326" s="132" t="s">
        <v>1731</v>
      </c>
      <c r="P326" s="4021"/>
      <c r="Q326" s="4010"/>
      <c r="R326" s="1147" t="s">
        <v>6524</v>
      </c>
    </row>
    <row r="327" spans="1:256" ht="11.5" customHeight="1">
      <c r="A327" s="47" t="s">
        <v>1842</v>
      </c>
      <c r="B327" s="55" t="s">
        <v>6533</v>
      </c>
      <c r="O327" s="163" t="s">
        <v>1842</v>
      </c>
      <c r="P327" s="230" t="s">
        <v>2654</v>
      </c>
      <c r="Q327" s="549"/>
    </row>
    <row r="328" spans="1:256" ht="11.5" customHeight="1">
      <c r="A328" s="142" t="s">
        <v>1844</v>
      </c>
      <c r="B328" s="55" t="s">
        <v>6540</v>
      </c>
      <c r="O328" s="163" t="s">
        <v>1844</v>
      </c>
      <c r="P328" s="2315" t="s">
        <v>2651</v>
      </c>
      <c r="Q328" s="880"/>
    </row>
    <row r="329" spans="1:256" ht="11.5" customHeight="1">
      <c r="A329" s="142" t="s">
        <v>698</v>
      </c>
      <c r="B329" s="55" t="s">
        <v>6541</v>
      </c>
      <c r="K329" s="2311"/>
      <c r="M329" s="163" t="s">
        <v>698</v>
      </c>
      <c r="N329" s="4123" t="s">
        <v>2654</v>
      </c>
      <c r="O329" s="4124"/>
      <c r="P329" s="4125" t="s">
        <v>1647</v>
      </c>
      <c r="Q329" s="4126"/>
    </row>
    <row r="330" spans="1:256" ht="11.5" customHeight="1">
      <c r="A330" s="47" t="s">
        <v>1963</v>
      </c>
      <c r="B330" s="55" t="s">
        <v>6542</v>
      </c>
      <c r="O330" s="478" t="s">
        <v>1963</v>
      </c>
      <c r="P330" s="2049" t="s">
        <v>2654</v>
      </c>
      <c r="Q330" s="2107"/>
    </row>
    <row r="331" spans="1:256" ht="11.5" customHeight="1">
      <c r="A331" s="142" t="s">
        <v>1613</v>
      </c>
      <c r="B331" s="55" t="s">
        <v>6543</v>
      </c>
      <c r="N331" s="163" t="s">
        <v>1613</v>
      </c>
      <c r="O331" s="4117" t="s">
        <v>4050</v>
      </c>
      <c r="P331" s="4118"/>
      <c r="Q331" s="4119"/>
    </row>
    <row r="332" spans="1:256" ht="11.5" customHeight="1">
      <c r="A332" s="142" t="s">
        <v>1614</v>
      </c>
      <c r="B332" s="434" t="s">
        <v>2171</v>
      </c>
      <c r="N332" s="163" t="s">
        <v>1614</v>
      </c>
      <c r="O332" s="4072" t="s">
        <v>2561</v>
      </c>
      <c r="P332" s="4073"/>
      <c r="Q332" s="4074"/>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13.25" customHeight="1">
      <c r="A334" s="4000" t="s">
        <v>6951</v>
      </c>
      <c r="B334" s="4001"/>
      <c r="C334" s="4001"/>
      <c r="D334" s="4001"/>
      <c r="E334" s="4001"/>
      <c r="F334" s="4001"/>
      <c r="G334" s="4001"/>
      <c r="H334" s="4001"/>
      <c r="I334" s="4001"/>
      <c r="J334" s="4001"/>
      <c r="K334" s="4001"/>
      <c r="L334" s="4001"/>
      <c r="M334" s="4001"/>
      <c r="N334" s="4001"/>
      <c r="O334" s="4001"/>
      <c r="P334" s="4001"/>
      <c r="Q334" s="4002"/>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25" customHeight="1">
      <c r="A336" s="4004"/>
      <c r="B336" s="4005"/>
      <c r="C336" s="4005"/>
      <c r="D336" s="4005"/>
      <c r="E336" s="4005"/>
      <c r="F336" s="4005"/>
      <c r="G336" s="4005"/>
      <c r="H336" s="4005"/>
      <c r="I336" s="4005"/>
      <c r="J336" s="4005"/>
      <c r="K336" s="4005"/>
      <c r="L336" s="4005"/>
      <c r="M336" s="4005"/>
      <c r="N336" s="4005"/>
      <c r="O336" s="4005"/>
      <c r="P336" s="4005"/>
      <c r="Q336" s="4006"/>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 customHeight="1">
      <c r="A338" s="2379" t="s">
        <v>3377</v>
      </c>
      <c r="B338" s="4" t="s">
        <v>6544</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57"/>
      <c r="Q338" s="4158"/>
    </row>
    <row r="339" spans="1:44" ht="14" customHeight="1">
      <c r="A339" s="2379"/>
      <c r="B339" s="36" t="s">
        <v>6545</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 customHeight="1">
      <c r="A340" s="2379"/>
      <c r="B340" s="36" t="s">
        <v>6546</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6693</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6127</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52</v>
      </c>
      <c r="F343" s="52" t="s">
        <v>3896</v>
      </c>
      <c r="G343" s="1967">
        <f>'Part V-Revenues &amp; Expenses'!$P$100</f>
        <v>52</v>
      </c>
      <c r="H343" s="94"/>
      <c r="I343" s="36" t="s">
        <v>832</v>
      </c>
      <c r="J343" s="94"/>
      <c r="K343" s="94"/>
      <c r="L343" s="1966">
        <f>'Part V-Revenues &amp; Expenses'!$P$111</f>
        <v>0</v>
      </c>
      <c r="M343" s="64" t="s">
        <v>6747</v>
      </c>
      <c r="N343" s="1965">
        <f>IF(E343=0,"",(G343+L343)/E343)</f>
        <v>1</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6694</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52</v>
      </c>
      <c r="F345" s="52" t="s">
        <v>6696</v>
      </c>
      <c r="H345" s="94"/>
      <c r="L345" s="2616"/>
      <c r="M345" s="64" t="s">
        <v>6747</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6695</v>
      </c>
      <c r="C346" s="4003"/>
      <c r="D346" s="4003"/>
      <c r="E346" s="4003"/>
      <c r="F346" s="4003"/>
      <c r="G346" s="4003"/>
      <c r="H346" s="4003"/>
      <c r="I346" s="4003"/>
      <c r="J346" s="4003"/>
      <c r="K346" s="4003"/>
      <c r="L346" s="4003"/>
      <c r="M346" s="4003"/>
      <c r="N346" s="4003"/>
      <c r="O346" s="163" t="s">
        <v>698</v>
      </c>
      <c r="P346" s="2395"/>
      <c r="Q346" s="2396"/>
    </row>
    <row r="347" spans="1:44" s="68" customFormat="1" ht="14" customHeight="1">
      <c r="A347" s="2378"/>
      <c r="B347" s="869" t="s">
        <v>1615</v>
      </c>
      <c r="C347" s="1064" t="s">
        <v>6547</v>
      </c>
      <c r="D347" s="31"/>
      <c r="E347" s="31"/>
      <c r="F347" s="31"/>
      <c r="G347" s="31"/>
      <c r="H347" s="2392"/>
      <c r="I347" s="2392"/>
      <c r="J347" s="2392"/>
      <c r="K347" s="2392"/>
      <c r="L347" s="2392"/>
      <c r="M347" s="2392"/>
      <c r="N347" s="2393"/>
      <c r="O347" s="478" t="s">
        <v>4059</v>
      </c>
      <c r="P347" s="2399"/>
      <c r="Q347" s="2400"/>
      <c r="AE347" s="2394"/>
      <c r="AF347" s="2394"/>
    </row>
    <row r="348" spans="1:44" s="148" customFormat="1">
      <c r="A348" s="142"/>
      <c r="B348" s="1546"/>
      <c r="C348" s="52" t="s">
        <v>1668</v>
      </c>
      <c r="D348" s="52"/>
      <c r="E348" s="1966">
        <f>'Part V-Revenues &amp; Expenses'!$P$67</f>
        <v>52</v>
      </c>
      <c r="F348" s="52" t="s">
        <v>3896</v>
      </c>
      <c r="G348" s="1967">
        <f>'Part V-Revenues &amp; Expenses'!$P$100</f>
        <v>52</v>
      </c>
      <c r="H348" s="94"/>
      <c r="I348" s="36" t="s">
        <v>832</v>
      </c>
      <c r="J348" s="94"/>
      <c r="K348" s="94"/>
      <c r="L348" s="1966">
        <f>'Part V-Revenues &amp; Expenses'!$P$111</f>
        <v>0</v>
      </c>
      <c r="M348" s="64" t="s">
        <v>6747</v>
      </c>
      <c r="N348" s="1965">
        <f>IF(E348=0,"",(G348+L348)/E348)</f>
        <v>1</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00" t="s">
        <v>907</v>
      </c>
      <c r="B350" s="4001"/>
      <c r="C350" s="4001"/>
      <c r="D350" s="4001"/>
      <c r="E350" s="4001"/>
      <c r="F350" s="4001"/>
      <c r="G350" s="4001"/>
      <c r="H350" s="4001"/>
      <c r="I350" s="4001"/>
      <c r="J350" s="4001"/>
      <c r="K350" s="4001"/>
      <c r="L350" s="4001"/>
      <c r="M350" s="4001"/>
      <c r="N350" s="4001"/>
      <c r="O350" s="4001"/>
      <c r="P350" s="4001"/>
      <c r="Q350" s="4002"/>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04"/>
      <c r="B352" s="4005"/>
      <c r="C352" s="4005"/>
      <c r="D352" s="4005"/>
      <c r="E352" s="4005"/>
      <c r="F352" s="4005"/>
      <c r="G352" s="4005"/>
      <c r="H352" s="4005"/>
      <c r="I352" s="4005"/>
      <c r="J352" s="4005"/>
      <c r="K352" s="4005"/>
      <c r="L352" s="4005"/>
      <c r="M352" s="4005"/>
      <c r="N352" s="4005"/>
      <c r="O352" s="4005"/>
      <c r="P352" s="4005"/>
      <c r="Q352" s="4006"/>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 customHeight="1">
      <c r="A354" s="1931" t="s">
        <v>3378</v>
      </c>
      <c r="B354" s="4" t="s">
        <v>3359</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009"/>
      <c r="Q354" s="4010"/>
    </row>
    <row r="355" spans="1:32" ht="10.5" customHeight="1">
      <c r="A355" s="47" t="s">
        <v>1842</v>
      </c>
      <c r="B355" s="135" t="s">
        <v>3360</v>
      </c>
      <c r="D355" s="151"/>
      <c r="E355" s="151"/>
      <c r="F355" s="151"/>
      <c r="G355" s="151"/>
      <c r="H355" s="478" t="s">
        <v>1842</v>
      </c>
      <c r="I355" s="4014"/>
      <c r="J355" s="4015"/>
      <c r="K355" s="4015"/>
      <c r="L355" s="4015"/>
      <c r="M355" s="4015"/>
      <c r="N355" s="4015"/>
      <c r="O355" s="4015"/>
      <c r="P355" s="4016"/>
      <c r="Q355" s="549"/>
    </row>
    <row r="356" spans="1:32" ht="10.5" customHeight="1">
      <c r="A356" s="142" t="s">
        <v>1844</v>
      </c>
      <c r="B356" s="135" t="s">
        <v>3361</v>
      </c>
      <c r="D356" s="151"/>
      <c r="E356" s="151"/>
      <c r="F356" s="151"/>
      <c r="G356" s="151"/>
      <c r="H356" s="163" t="s">
        <v>1844</v>
      </c>
      <c r="I356" s="4011"/>
      <c r="J356" s="4012"/>
      <c r="K356" s="4012"/>
      <c r="L356" s="4012"/>
      <c r="M356" s="4012"/>
      <c r="N356" s="4012"/>
      <c r="O356" s="4012"/>
      <c r="P356" s="4013"/>
      <c r="Q356" s="551"/>
    </row>
    <row r="357" spans="1:32" ht="21.75" customHeight="1">
      <c r="A357" s="142" t="s">
        <v>698</v>
      </c>
      <c r="B357" s="4162" t="s">
        <v>3352</v>
      </c>
      <c r="C357" s="4162"/>
      <c r="D357" s="4162"/>
      <c r="E357" s="4162"/>
      <c r="F357" s="4162"/>
      <c r="G357" s="4162"/>
      <c r="H357" s="4162"/>
      <c r="I357" s="4162"/>
      <c r="J357" s="4162"/>
      <c r="K357" s="4162"/>
      <c r="L357" s="4162"/>
      <c r="M357" s="4162"/>
      <c r="N357" s="4162"/>
      <c r="O357" s="163" t="s">
        <v>698</v>
      </c>
      <c r="P357" s="1063"/>
      <c r="Q357" s="1157"/>
    </row>
    <row r="358" spans="1:32" ht="21.75" customHeight="1">
      <c r="A358" s="142" t="s">
        <v>1963</v>
      </c>
      <c r="B358" s="4003" t="s">
        <v>3353</v>
      </c>
      <c r="C358" s="4003"/>
      <c r="D358" s="4003"/>
      <c r="E358" s="4003"/>
      <c r="F358" s="4003"/>
      <c r="G358" s="4003"/>
      <c r="H358" s="4003"/>
      <c r="I358" s="4003"/>
      <c r="J358" s="4003"/>
      <c r="K358" s="4003"/>
      <c r="L358" s="4003"/>
      <c r="M358" s="4003"/>
      <c r="N358" s="4003"/>
      <c r="O358" s="163" t="s">
        <v>1963</v>
      </c>
      <c r="P358" s="561"/>
      <c r="Q358" s="552"/>
    </row>
    <row r="359" spans="1:32" ht="10.5" customHeight="1">
      <c r="A359" s="142" t="s">
        <v>1613</v>
      </c>
      <c r="B359" s="52" t="s">
        <v>3354</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3355</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1808</v>
      </c>
      <c r="B361" s="140" t="s">
        <v>3356</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3873</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3" t="s">
        <v>3357</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3358</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00" t="s">
        <v>907</v>
      </c>
      <c r="B366" s="4001"/>
      <c r="C366" s="4001"/>
      <c r="D366" s="4001"/>
      <c r="E366" s="4001"/>
      <c r="F366" s="4001"/>
      <c r="G366" s="4001"/>
      <c r="H366" s="4001"/>
      <c r="I366" s="4001"/>
      <c r="J366" s="4001"/>
      <c r="K366" s="4001"/>
      <c r="L366" s="4001"/>
      <c r="M366" s="4001"/>
      <c r="N366" s="4001"/>
      <c r="O366" s="4001"/>
      <c r="P366" s="4001"/>
      <c r="Q366" s="4002"/>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4"/>
      <c r="B368" s="4005"/>
      <c r="C368" s="4005"/>
      <c r="D368" s="4005"/>
      <c r="E368" s="4005"/>
      <c r="F368" s="4005"/>
      <c r="G368" s="4005"/>
      <c r="H368" s="4005"/>
      <c r="I368" s="4005"/>
      <c r="J368" s="4005"/>
      <c r="K368" s="4005"/>
      <c r="L368" s="4005"/>
      <c r="M368" s="4005"/>
      <c r="N368" s="4005"/>
      <c r="O368" s="4005"/>
      <c r="P368" s="4005"/>
      <c r="Q368" s="4006"/>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 customHeight="1">
      <c r="A371" s="1931" t="s">
        <v>3379</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1"/>
      <c r="Q371" s="4010"/>
      <c r="AF371" s="35"/>
    </row>
    <row r="372" spans="1:32" ht="11.5" customHeight="1">
      <c r="A372" s="47" t="s">
        <v>1842</v>
      </c>
      <c r="B372" s="118" t="s">
        <v>971</v>
      </c>
      <c r="E372" s="4137"/>
      <c r="F372" s="4138"/>
      <c r="G372" s="4138"/>
      <c r="H372" s="4138"/>
      <c r="I372" s="4139"/>
      <c r="J372" s="4140" t="s">
        <v>2438</v>
      </c>
      <c r="K372" s="4141"/>
      <c r="L372" s="4142"/>
      <c r="M372" s="4137"/>
      <c r="N372" s="4138"/>
      <c r="O372" s="4138"/>
      <c r="P372" s="4138"/>
      <c r="Q372" s="4139"/>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3204</v>
      </c>
      <c r="G374" s="1135"/>
      <c r="H374" s="1135"/>
      <c r="I374" s="1135"/>
      <c r="J374" s="878" t="s">
        <v>3205</v>
      </c>
      <c r="L374" s="1135"/>
      <c r="M374" s="4143">
        <f>'Part II-Sources of Funds'!I6</f>
        <v>0</v>
      </c>
      <c r="N374" s="4144"/>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5" customHeight="1">
      <c r="A376" s="4000" t="s">
        <v>907</v>
      </c>
      <c r="B376" s="4001"/>
      <c r="C376" s="4001"/>
      <c r="D376" s="4001"/>
      <c r="E376" s="4001"/>
      <c r="F376" s="4001"/>
      <c r="G376" s="4001"/>
      <c r="H376" s="4001"/>
      <c r="I376" s="4001"/>
      <c r="J376" s="4001"/>
      <c r="K376" s="4001"/>
      <c r="L376" s="4001"/>
      <c r="M376" s="4001"/>
      <c r="N376" s="4001"/>
      <c r="O376" s="4001"/>
      <c r="P376" s="4001"/>
      <c r="Q376" s="4002"/>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5" customHeight="1">
      <c r="A378" s="4004"/>
      <c r="B378" s="4005"/>
      <c r="C378" s="4005"/>
      <c r="D378" s="4005"/>
      <c r="E378" s="4005"/>
      <c r="F378" s="4005"/>
      <c r="G378" s="4005"/>
      <c r="H378" s="4005"/>
      <c r="I378" s="4005"/>
      <c r="J378" s="4005"/>
      <c r="K378" s="4005"/>
      <c r="L378" s="4005"/>
      <c r="M378" s="4005"/>
      <c r="N378" s="4005"/>
      <c r="O378" s="4005"/>
      <c r="P378" s="4005"/>
      <c r="Q378" s="4006"/>
      <c r="AF378" s="35"/>
    </row>
    <row r="379" spans="1:32" ht="3.5" customHeight="1">
      <c r="A379" s="1132"/>
      <c r="B379" s="1139"/>
      <c r="C379" s="1133"/>
      <c r="D379" s="1133"/>
      <c r="E379" s="1133"/>
      <c r="F379" s="1133"/>
      <c r="G379" s="1133"/>
      <c r="H379" s="1133"/>
      <c r="I379" s="1133"/>
      <c r="J379" s="1133"/>
      <c r="K379" s="1133"/>
      <c r="L379" s="1133"/>
      <c r="M379" s="1133"/>
      <c r="Q379" s="877"/>
      <c r="AF379" s="35"/>
    </row>
    <row r="380" spans="1:32" ht="14" customHeight="1">
      <c r="A380" s="1931" t="s">
        <v>3380</v>
      </c>
      <c r="B380" s="4" t="s">
        <v>2436</v>
      </c>
      <c r="C380" s="4"/>
      <c r="D380" s="4"/>
      <c r="E380" s="1133"/>
      <c r="G380" s="140" t="s">
        <v>655</v>
      </c>
      <c r="H380" s="1133"/>
      <c r="I380" s="1133"/>
      <c r="J380" s="1133"/>
      <c r="K380" s="1133"/>
      <c r="L380" s="1133"/>
      <c r="M380" s="1133"/>
      <c r="O380" s="132" t="s">
        <v>1731</v>
      </c>
      <c r="P380" s="4021"/>
      <c r="Q380" s="4133"/>
      <c r="AF380" s="35"/>
    </row>
    <row r="381" spans="1:32" ht="12" customHeight="1">
      <c r="A381" s="47" t="s">
        <v>1842</v>
      </c>
      <c r="B381" s="52" t="s">
        <v>2439</v>
      </c>
      <c r="D381" s="879"/>
      <c r="E381" s="879"/>
      <c r="O381" s="478" t="s">
        <v>1842</v>
      </c>
      <c r="P381" s="230"/>
      <c r="Q381" s="549"/>
      <c r="AF381" s="35"/>
    </row>
    <row r="382" spans="1:32" ht="12" customHeight="1">
      <c r="A382" s="47" t="s">
        <v>1844</v>
      </c>
      <c r="B382" s="52" t="s">
        <v>3145</v>
      </c>
      <c r="D382" s="879"/>
      <c r="E382" s="879"/>
      <c r="O382" s="478" t="s">
        <v>1844</v>
      </c>
      <c r="P382" s="389"/>
      <c r="Q382" s="550"/>
      <c r="AF382" s="35"/>
    </row>
    <row r="383" spans="1:32" ht="12" customHeight="1">
      <c r="A383" s="47" t="s">
        <v>698</v>
      </c>
      <c r="B383" s="52" t="s">
        <v>4033</v>
      </c>
      <c r="D383" s="879"/>
      <c r="E383" s="879"/>
      <c r="O383" s="478" t="s">
        <v>698</v>
      </c>
      <c r="P383" s="389"/>
      <c r="Q383" s="550"/>
      <c r="AF383" s="35"/>
    </row>
    <row r="384" spans="1:32" ht="12" customHeight="1">
      <c r="A384" s="47" t="s">
        <v>1963</v>
      </c>
      <c r="B384" s="52" t="s">
        <v>3146</v>
      </c>
      <c r="E384" s="140"/>
      <c r="O384" s="478" t="s">
        <v>1963</v>
      </c>
      <c r="P384" s="389" t="s">
        <v>2651</v>
      </c>
      <c r="Q384" s="550"/>
      <c r="AF384" s="35"/>
    </row>
    <row r="385" spans="1:32" ht="12" customHeight="1">
      <c r="A385" s="47" t="s">
        <v>1613</v>
      </c>
      <c r="B385" s="52" t="s">
        <v>1929</v>
      </c>
      <c r="E385" s="140"/>
      <c r="G385" s="478" t="s">
        <v>1613</v>
      </c>
      <c r="H385" s="4182"/>
      <c r="I385" s="4183"/>
      <c r="J385" s="4183"/>
      <c r="K385" s="4183"/>
      <c r="L385" s="4183"/>
      <c r="M385" s="4183"/>
      <c r="N385" s="4183"/>
      <c r="O385" s="4184"/>
      <c r="P385" s="231"/>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5" customHeight="1">
      <c r="A387" s="4000" t="s">
        <v>6952</v>
      </c>
      <c r="B387" s="4001"/>
      <c r="C387" s="4001"/>
      <c r="D387" s="4001"/>
      <c r="E387" s="4001"/>
      <c r="F387" s="4001"/>
      <c r="G387" s="4001"/>
      <c r="H387" s="4001"/>
      <c r="I387" s="4001"/>
      <c r="J387" s="4001"/>
      <c r="K387" s="4001"/>
      <c r="L387" s="4001"/>
      <c r="M387" s="4001"/>
      <c r="N387" s="4001"/>
      <c r="O387" s="4001"/>
      <c r="P387" s="4001"/>
      <c r="Q387" s="4002"/>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5" customHeight="1">
      <c r="A389" s="4004"/>
      <c r="B389" s="4005"/>
      <c r="C389" s="4005"/>
      <c r="D389" s="4005"/>
      <c r="E389" s="4005"/>
      <c r="F389" s="4005"/>
      <c r="G389" s="4005"/>
      <c r="H389" s="4005"/>
      <c r="I389" s="4005"/>
      <c r="J389" s="4005"/>
      <c r="K389" s="4005"/>
      <c r="L389" s="4005"/>
      <c r="M389" s="4005"/>
      <c r="N389" s="4005"/>
      <c r="O389" s="4005"/>
      <c r="P389" s="4005"/>
      <c r="Q389" s="4006"/>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 customHeight="1">
      <c r="A391" s="1931" t="s">
        <v>3381</v>
      </c>
      <c r="B391" s="4" t="s">
        <v>3941</v>
      </c>
      <c r="C391" s="4"/>
      <c r="D391" s="4"/>
      <c r="E391" s="4"/>
      <c r="F391" s="4"/>
      <c r="G391" s="4"/>
      <c r="H391" s="1133"/>
      <c r="I391" s="1133"/>
      <c r="J391" s="1133"/>
      <c r="K391" s="1133"/>
      <c r="L391" s="1133"/>
      <c r="M391" s="1133"/>
      <c r="O391" s="132" t="s">
        <v>1731</v>
      </c>
      <c r="P391" s="4157"/>
      <c r="Q391" s="4158"/>
      <c r="AF391" s="35"/>
    </row>
    <row r="392" spans="1:32" ht="12" customHeight="1">
      <c r="B392" s="55" t="s">
        <v>6255</v>
      </c>
      <c r="O392" s="65"/>
      <c r="P392" s="492" t="s">
        <v>2654</v>
      </c>
      <c r="Q392" s="548"/>
    </row>
    <row r="393" spans="1:32" ht="12" customHeight="1">
      <c r="A393" s="47" t="s">
        <v>1842</v>
      </c>
      <c r="B393" s="87" t="s">
        <v>3940</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t="s">
        <v>2651</v>
      </c>
      <c r="Q394" s="2314"/>
      <c r="AF394" s="35"/>
    </row>
    <row r="395" spans="1:32" ht="12" customHeight="1">
      <c r="B395" s="52"/>
      <c r="C395" s="36" t="s">
        <v>4034</v>
      </c>
      <c r="D395" s="55" t="s">
        <v>4035</v>
      </c>
      <c r="E395" s="42"/>
      <c r="F395" s="42"/>
      <c r="G395" s="42"/>
      <c r="H395" s="42"/>
      <c r="I395" s="42"/>
      <c r="J395" s="42"/>
      <c r="K395" s="42"/>
      <c r="L395" s="42"/>
      <c r="M395" s="42"/>
      <c r="N395" s="42"/>
      <c r="O395" s="478" t="s">
        <v>4034</v>
      </c>
      <c r="P395" s="4105" t="s">
        <v>2651</v>
      </c>
      <c r="Q395" s="4103"/>
      <c r="AF395" s="35"/>
    </row>
    <row r="396" spans="1:32" ht="12" customHeight="1">
      <c r="A396" s="47"/>
      <c r="D396" s="52" t="s">
        <v>6503</v>
      </c>
      <c r="E396" s="52"/>
      <c r="F396" s="52"/>
      <c r="G396" s="52"/>
      <c r="H396" s="52"/>
      <c r="I396" s="52"/>
      <c r="J396" s="52"/>
      <c r="K396" s="52"/>
      <c r="L396" s="52"/>
      <c r="M396" s="52"/>
      <c r="N396" s="42"/>
      <c r="O396" s="1768"/>
      <c r="P396" s="4106"/>
      <c r="Q396" s="4104"/>
      <c r="AF396" s="35"/>
    </row>
    <row r="397" spans="1:32" ht="12" customHeight="1">
      <c r="C397" s="52" t="s">
        <v>2242</v>
      </c>
      <c r="D397" s="52" t="s">
        <v>3085</v>
      </c>
      <c r="E397" s="52"/>
      <c r="F397" s="52"/>
      <c r="G397" s="52"/>
      <c r="H397" s="52"/>
      <c r="I397" s="52"/>
      <c r="J397" s="52"/>
      <c r="K397" s="52"/>
      <c r="L397" s="52"/>
      <c r="M397" s="52"/>
      <c r="N397" s="42"/>
      <c r="O397" s="64" t="s">
        <v>2242</v>
      </c>
      <c r="P397" s="1000" t="s">
        <v>907</v>
      </c>
      <c r="Q397" s="921"/>
      <c r="AF397" s="35"/>
    </row>
    <row r="398" spans="1:32" s="148" customFormat="1" ht="12" customHeight="1">
      <c r="A398" s="47"/>
      <c r="C398" s="52" t="s">
        <v>3944</v>
      </c>
      <c r="D398" s="52" t="s">
        <v>3142</v>
      </c>
      <c r="E398" s="52"/>
      <c r="F398" s="52"/>
      <c r="G398" s="52"/>
      <c r="H398" s="52"/>
      <c r="I398" s="52"/>
      <c r="J398" s="52"/>
      <c r="K398" s="52"/>
      <c r="L398" s="52"/>
      <c r="M398" s="52"/>
      <c r="N398" s="94"/>
      <c r="O398" s="64" t="s">
        <v>2243</v>
      </c>
      <c r="P398" s="2315" t="s">
        <v>2651</v>
      </c>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t="s">
        <v>2651</v>
      </c>
      <c r="Q399" s="547"/>
    </row>
    <row r="400" spans="1:32" ht="12" customHeight="1">
      <c r="A400" s="47"/>
      <c r="B400" s="1669" t="s">
        <v>2333</v>
      </c>
      <c r="C400" s="4003" t="s">
        <v>6155</v>
      </c>
      <c r="D400" s="4003"/>
      <c r="E400" s="4003"/>
      <c r="F400" s="4003"/>
      <c r="G400" s="135" t="s">
        <v>3945</v>
      </c>
      <c r="J400" s="919">
        <v>3</v>
      </c>
      <c r="K400" s="556"/>
      <c r="M400" s="135" t="s">
        <v>6229</v>
      </c>
      <c r="P400" s="2316">
        <v>0</v>
      </c>
      <c r="Q400" s="2317"/>
    </row>
    <row r="401" spans="1:44" ht="12" customHeight="1">
      <c r="A401" s="47"/>
      <c r="C401" s="4003"/>
      <c r="D401" s="4003"/>
      <c r="E401" s="4003"/>
      <c r="F401" s="4003"/>
      <c r="G401" s="135" t="s">
        <v>6228</v>
      </c>
      <c r="J401" s="920">
        <v>16</v>
      </c>
      <c r="K401" s="557"/>
      <c r="M401" s="135" t="s">
        <v>6230</v>
      </c>
      <c r="P401" s="920">
        <v>0</v>
      </c>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62" t="s">
        <v>6185</v>
      </c>
      <c r="J403" s="4062" t="s">
        <v>6186</v>
      </c>
      <c r="K403" s="4062" t="s">
        <v>6188</v>
      </c>
      <c r="L403" s="4062"/>
      <c r="M403" s="4062"/>
      <c r="N403" s="4145" t="s">
        <v>6187</v>
      </c>
      <c r="O403" s="478"/>
      <c r="P403" s="3995" t="s">
        <v>6705</v>
      </c>
      <c r="Q403" s="3995"/>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3"/>
      <c r="J404" s="4062"/>
      <c r="K404" s="4062"/>
      <c r="L404" s="4062"/>
      <c r="M404" s="4062"/>
      <c r="N404" s="4146"/>
      <c r="O404" s="478"/>
      <c r="P404" s="3996"/>
      <c r="Q404" s="3996"/>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6299</v>
      </c>
      <c r="D405" s="4003"/>
      <c r="E405" s="4003"/>
      <c r="F405" s="4003"/>
      <c r="G405" s="4003"/>
      <c r="H405" s="4003"/>
      <c r="I405" s="1918">
        <f>K290</f>
        <v>3</v>
      </c>
      <c r="J405" s="2318">
        <v>0</v>
      </c>
      <c r="K405" s="4147"/>
      <c r="L405" s="4147"/>
      <c r="M405" s="4148"/>
      <c r="N405" s="2054">
        <f>MAX(J405,K405)</f>
        <v>0</v>
      </c>
      <c r="O405" s="64" t="s">
        <v>2245</v>
      </c>
      <c r="P405" s="492" t="s">
        <v>2651</v>
      </c>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149"/>
      <c r="L406" s="4149"/>
      <c r="M406" s="4150"/>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6189</v>
      </c>
      <c r="E408" s="140"/>
      <c r="F408" s="140"/>
      <c r="G408" s="140"/>
      <c r="H408" s="140"/>
      <c r="I408" s="1918">
        <f>K291</f>
        <v>2</v>
      </c>
      <c r="J408" s="2318">
        <v>0</v>
      </c>
      <c r="K408" s="4147"/>
      <c r="L408" s="4147"/>
      <c r="M408" s="4148"/>
      <c r="N408" s="2054">
        <f>MAX(J408,K408)</f>
        <v>0</v>
      </c>
      <c r="O408" s="478"/>
      <c r="P408" s="1160" t="s">
        <v>2651</v>
      </c>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49"/>
      <c r="L409" s="4149"/>
      <c r="M409" s="4150"/>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6300</v>
      </c>
      <c r="D411" s="4003"/>
      <c r="E411" s="4003"/>
      <c r="F411" s="4003"/>
      <c r="G411" s="4003"/>
      <c r="H411" s="4003"/>
      <c r="I411" s="1918">
        <f>K293</f>
        <v>5</v>
      </c>
      <c r="J411" s="2318">
        <v>5</v>
      </c>
      <c r="K411" s="4147"/>
      <c r="L411" s="4147"/>
      <c r="M411" s="4148"/>
      <c r="N411" s="2054">
        <f>MAX(J411,K411)</f>
        <v>5</v>
      </c>
      <c r="O411" s="64" t="s">
        <v>2261</v>
      </c>
      <c r="P411" s="492" t="s">
        <v>2651</v>
      </c>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149"/>
      <c r="L412" s="4149"/>
      <c r="M412" s="4150"/>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3837</v>
      </c>
      <c r="E414" s="878"/>
      <c r="F414" s="878"/>
      <c r="G414" s="878"/>
      <c r="J414" s="42"/>
      <c r="K414" s="878"/>
      <c r="L414" s="878"/>
      <c r="M414" s="42"/>
      <c r="N414" s="478"/>
      <c r="P414" s="478"/>
      <c r="Q414" s="478"/>
    </row>
    <row r="415" spans="1:44" ht="12" customHeight="1">
      <c r="A415" s="47"/>
      <c r="B415" s="457"/>
      <c r="C415" s="878" t="s">
        <v>6232</v>
      </c>
      <c r="D415" s="148"/>
      <c r="E415" s="878"/>
      <c r="F415" s="878"/>
      <c r="L415" s="878"/>
      <c r="M415" s="878"/>
      <c r="O415" s="478" t="s">
        <v>2241</v>
      </c>
      <c r="P415" s="492" t="s">
        <v>6939</v>
      </c>
      <c r="Q415" s="548" t="s">
        <v>1647</v>
      </c>
    </row>
    <row r="416" spans="1:44" ht="12" customHeight="1">
      <c r="A416" s="42"/>
      <c r="B416" s="148"/>
      <c r="D416" s="4181" t="s">
        <v>6233</v>
      </c>
      <c r="E416" s="1506" t="s">
        <v>2264</v>
      </c>
      <c r="F416" s="457" t="s">
        <v>3289</v>
      </c>
      <c r="G416" s="4159" t="s">
        <v>6941</v>
      </c>
      <c r="H416" s="4160"/>
      <c r="I416" s="4160"/>
      <c r="J416" s="4160"/>
      <c r="K416" s="4161"/>
      <c r="L416" s="1506"/>
    </row>
    <row r="417" spans="1:32" ht="12" customHeight="1">
      <c r="B417" s="148"/>
      <c r="D417" s="4181"/>
      <c r="E417" s="1506" t="s">
        <v>3942</v>
      </c>
      <c r="F417" s="457" t="s">
        <v>3943</v>
      </c>
      <c r="G417" s="4134" t="s">
        <v>6940</v>
      </c>
      <c r="H417" s="4135"/>
      <c r="I417" s="4136"/>
      <c r="J417" s="457" t="s">
        <v>3804</v>
      </c>
      <c r="K417" s="148"/>
      <c r="M417" s="4159"/>
      <c r="N417" s="4160"/>
      <c r="O417" s="4160"/>
      <c r="P417" s="4160"/>
      <c r="Q417" s="4161"/>
    </row>
    <row r="418" spans="1:32" ht="12" customHeight="1">
      <c r="A418" s="42"/>
      <c r="B418" s="148"/>
      <c r="C418" s="457" t="s">
        <v>6231</v>
      </c>
      <c r="D418" s="148"/>
      <c r="E418" s="878"/>
      <c r="F418" s="878"/>
      <c r="G418" s="878"/>
      <c r="H418" s="878"/>
      <c r="I418" s="878"/>
      <c r="J418" s="878"/>
      <c r="K418" s="878"/>
      <c r="L418" s="878"/>
      <c r="M418" s="878"/>
      <c r="N418" s="878"/>
      <c r="O418" s="878"/>
      <c r="P418" s="878"/>
      <c r="Q418" s="878"/>
    </row>
    <row r="419" spans="1:32" ht="118.5" customHeight="1">
      <c r="B419" s="4151" t="s">
        <v>6953</v>
      </c>
      <c r="C419" s="4152"/>
      <c r="D419" s="4152"/>
      <c r="E419" s="4152"/>
      <c r="F419" s="4152"/>
      <c r="G419" s="4152"/>
      <c r="H419" s="4152"/>
      <c r="I419" s="4152"/>
      <c r="J419" s="4152"/>
      <c r="K419" s="4152"/>
      <c r="L419" s="4152"/>
      <c r="M419" s="4152"/>
      <c r="N419" s="4152"/>
      <c r="O419" s="4152"/>
      <c r="P419" s="4152"/>
      <c r="Q419" s="4153"/>
      <c r="R419" s="466" t="s">
        <v>3803</v>
      </c>
      <c r="U419" s="136"/>
      <c r="V419" s="136"/>
      <c r="W419" s="136"/>
      <c r="X419" s="136"/>
      <c r="Y419" s="136"/>
      <c r="Z419" s="136"/>
      <c r="AA419" s="136"/>
      <c r="AB419" s="136"/>
      <c r="AC419" s="136"/>
      <c r="AD419" s="136"/>
      <c r="AE419" s="480"/>
    </row>
    <row r="420" spans="1:32" s="148" customFormat="1" ht="12.75"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0" t="s">
        <v>4036</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6548</v>
      </c>
      <c r="C422" s="4003"/>
      <c r="D422" s="4003"/>
      <c r="E422" s="4003"/>
      <c r="F422" s="4003"/>
      <c r="G422" s="4003"/>
      <c r="H422" s="4003"/>
      <c r="I422" s="4003"/>
      <c r="J422" s="4003"/>
      <c r="K422" s="4003"/>
      <c r="L422" s="4003"/>
      <c r="M422" s="4003"/>
      <c r="N422" s="4003"/>
      <c r="O422" s="163" t="s">
        <v>1844</v>
      </c>
      <c r="P422" s="1160" t="s">
        <v>6928</v>
      </c>
      <c r="Q422" s="1161"/>
      <c r="T422" s="482"/>
      <c r="AE422" s="482"/>
      <c r="AF422" s="482"/>
    </row>
    <row r="423" spans="1:32" ht="12" customHeight="1">
      <c r="B423" s="141" t="s">
        <v>3241</v>
      </c>
      <c r="D423" s="141"/>
      <c r="E423" s="141"/>
      <c r="F423" s="141"/>
      <c r="G423" s="141"/>
      <c r="H423" s="40"/>
      <c r="I423" s="1139"/>
      <c r="J423" s="1139"/>
      <c r="K423" s="1139"/>
    </row>
    <row r="424" spans="1:32" ht="33.5" customHeight="1">
      <c r="A424" s="4000" t="s">
        <v>6987</v>
      </c>
      <c r="B424" s="4001"/>
      <c r="C424" s="4001"/>
      <c r="D424" s="4001"/>
      <c r="E424" s="4001"/>
      <c r="F424" s="4001"/>
      <c r="G424" s="4001"/>
      <c r="H424" s="4001"/>
      <c r="I424" s="4001"/>
      <c r="J424" s="4001"/>
      <c r="K424" s="4001"/>
      <c r="L424" s="4001"/>
      <c r="M424" s="4001"/>
      <c r="N424" s="4001"/>
      <c r="O424" s="4001"/>
      <c r="P424" s="4001"/>
      <c r="Q424" s="4002"/>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5" customHeight="1">
      <c r="A426" s="4004"/>
      <c r="B426" s="4005"/>
      <c r="C426" s="4005"/>
      <c r="D426" s="4005"/>
      <c r="E426" s="4005"/>
      <c r="F426" s="4005"/>
      <c r="G426" s="4005"/>
      <c r="H426" s="4005"/>
      <c r="I426" s="4005"/>
      <c r="J426" s="4005"/>
      <c r="K426" s="4005"/>
      <c r="L426" s="4005"/>
      <c r="M426" s="4005"/>
      <c r="N426" s="4005"/>
      <c r="O426" s="4005"/>
      <c r="P426" s="4005"/>
      <c r="Q426" s="4006"/>
    </row>
    <row r="427" spans="1:32" ht="3" customHeight="1">
      <c r="A427" s="1132"/>
      <c r="B427" s="1139"/>
      <c r="C427" s="1133"/>
      <c r="D427" s="1133"/>
      <c r="E427" s="1133"/>
      <c r="F427" s="1133"/>
      <c r="G427" s="1133"/>
      <c r="H427" s="1133"/>
      <c r="I427" s="1133"/>
      <c r="J427" s="1133"/>
      <c r="K427" s="1133"/>
      <c r="L427" s="1133"/>
      <c r="M427" s="1133"/>
      <c r="Q427" s="877"/>
    </row>
    <row r="428" spans="1:32" ht="14" customHeight="1">
      <c r="A428" s="1931" t="s">
        <v>3382</v>
      </c>
      <c r="B428" s="4" t="s">
        <v>2510</v>
      </c>
      <c r="C428" s="4"/>
      <c r="D428" s="87"/>
      <c r="E428" s="1133"/>
      <c r="F428" s="1133"/>
      <c r="G428" s="1133"/>
      <c r="H428" s="1133"/>
      <c r="O428" s="132" t="s">
        <v>1731</v>
      </c>
      <c r="P428" s="4021"/>
      <c r="Q428" s="4010"/>
    </row>
    <row r="429" spans="1:32" ht="14" customHeight="1">
      <c r="B429" s="87" t="s">
        <v>3899</v>
      </c>
      <c r="C429" s="4"/>
      <c r="D429" s="87"/>
      <c r="E429" s="1133"/>
      <c r="F429" s="1133"/>
      <c r="G429" s="1133"/>
      <c r="H429" s="1133"/>
    </row>
    <row r="430" spans="1:32" s="133" customFormat="1" ht="21.75" customHeight="1">
      <c r="A430" s="142" t="s">
        <v>1842</v>
      </c>
      <c r="B430" s="4094" t="s">
        <v>3313</v>
      </c>
      <c r="C430" s="4094"/>
      <c r="D430" s="4094"/>
      <c r="E430" s="4094"/>
      <c r="F430" s="4094"/>
      <c r="G430" s="4094"/>
      <c r="H430" s="4094"/>
      <c r="I430" s="4094"/>
      <c r="J430" s="4094"/>
      <c r="K430" s="4094"/>
      <c r="L430" s="4094"/>
      <c r="M430" s="4094"/>
      <c r="N430" s="4094"/>
      <c r="O430" s="163" t="s">
        <v>1842</v>
      </c>
      <c r="P430" s="1143" t="s">
        <v>6928</v>
      </c>
      <c r="Q430" s="1142"/>
      <c r="AE430" s="481"/>
      <c r="AF430" s="481"/>
    </row>
    <row r="431" spans="1:32" s="133" customFormat="1" ht="22.5" customHeight="1">
      <c r="A431" s="142" t="s">
        <v>1844</v>
      </c>
      <c r="B431" s="4094" t="s">
        <v>3312</v>
      </c>
      <c r="C431" s="4094"/>
      <c r="D431" s="4094"/>
      <c r="E431" s="4094"/>
      <c r="F431" s="4094"/>
      <c r="G431" s="4094"/>
      <c r="H431" s="4094"/>
      <c r="I431" s="4094"/>
      <c r="J431" s="4094"/>
      <c r="K431" s="4094"/>
      <c r="L431" s="4094"/>
      <c r="M431" s="4094"/>
      <c r="N431" s="4094"/>
      <c r="O431" s="163" t="s">
        <v>1844</v>
      </c>
      <c r="P431" s="561" t="s">
        <v>6928</v>
      </c>
      <c r="Q431" s="552"/>
      <c r="AE431" s="481"/>
      <c r="AF431" s="481"/>
    </row>
    <row r="432" spans="1:32" s="133" customFormat="1" ht="22.5" customHeight="1">
      <c r="B432" s="1546" t="s">
        <v>1615</v>
      </c>
      <c r="C432" s="4094" t="s">
        <v>3869</v>
      </c>
      <c r="D432" s="4094"/>
      <c r="E432" s="4094"/>
      <c r="F432" s="4094"/>
      <c r="G432" s="4094"/>
      <c r="H432" s="4094"/>
      <c r="I432" s="4094"/>
      <c r="J432" s="4094"/>
      <c r="K432" s="4094"/>
      <c r="L432" s="4094"/>
      <c r="M432" s="4094"/>
      <c r="N432" s="4094"/>
      <c r="O432" s="163" t="s">
        <v>1615</v>
      </c>
      <c r="P432" s="561" t="s">
        <v>6928</v>
      </c>
      <c r="Q432" s="552"/>
      <c r="AE432" s="481"/>
      <c r="AF432" s="481"/>
    </row>
    <row r="433" spans="1:32" s="42" customFormat="1" ht="12" customHeight="1">
      <c r="B433" s="1546" t="s">
        <v>1616</v>
      </c>
      <c r="C433" s="36" t="s">
        <v>3870</v>
      </c>
      <c r="D433" s="1122"/>
      <c r="E433" s="1122"/>
      <c r="F433" s="1122"/>
      <c r="G433" s="1122"/>
      <c r="H433" s="1122"/>
      <c r="I433" s="1122"/>
      <c r="J433" s="1122"/>
      <c r="K433" s="1122"/>
      <c r="L433" s="1122"/>
      <c r="M433" s="1122"/>
      <c r="N433" s="1122"/>
      <c r="O433" s="478" t="s">
        <v>1616</v>
      </c>
      <c r="P433" s="389" t="s">
        <v>6928</v>
      </c>
      <c r="Q433" s="550"/>
      <c r="AE433" s="50"/>
      <c r="AF433" s="50"/>
    </row>
    <row r="434" spans="1:32" s="133" customFormat="1" ht="33" customHeight="1">
      <c r="B434" s="491" t="s">
        <v>1617</v>
      </c>
      <c r="C434" s="4094" t="s">
        <v>3871</v>
      </c>
      <c r="D434" s="4094"/>
      <c r="E434" s="4094"/>
      <c r="F434" s="4094"/>
      <c r="G434" s="4094"/>
      <c r="H434" s="4094"/>
      <c r="I434" s="4094"/>
      <c r="J434" s="4094"/>
      <c r="K434" s="4094"/>
      <c r="L434" s="4094"/>
      <c r="M434" s="4094"/>
      <c r="N434" s="4094"/>
      <c r="O434" s="163" t="s">
        <v>1617</v>
      </c>
      <c r="P434" s="561" t="s">
        <v>6928</v>
      </c>
      <c r="Q434" s="552"/>
      <c r="AE434" s="481"/>
      <c r="AF434" s="481"/>
    </row>
    <row r="435" spans="1:32" s="133" customFormat="1" ht="22.5" customHeight="1">
      <c r="B435" s="491" t="s">
        <v>2183</v>
      </c>
      <c r="C435" s="4094" t="s">
        <v>3872</v>
      </c>
      <c r="D435" s="4094"/>
      <c r="E435" s="4094"/>
      <c r="F435" s="4094"/>
      <c r="G435" s="4094"/>
      <c r="H435" s="4094"/>
      <c r="I435" s="4094"/>
      <c r="J435" s="4094"/>
      <c r="K435" s="4094"/>
      <c r="L435" s="4094"/>
      <c r="M435" s="4094"/>
      <c r="N435" s="4094"/>
      <c r="O435" s="163" t="s">
        <v>2183</v>
      </c>
      <c r="P435" s="561" t="s">
        <v>6928</v>
      </c>
      <c r="Q435" s="552"/>
      <c r="AE435" s="481"/>
      <c r="AF435" s="481"/>
    </row>
    <row r="436" spans="1:32" s="133" customFormat="1" ht="22.5" customHeight="1">
      <c r="A436" s="142" t="s">
        <v>698</v>
      </c>
      <c r="B436" s="4094" t="s">
        <v>3314</v>
      </c>
      <c r="C436" s="4094"/>
      <c r="D436" s="4094"/>
      <c r="E436" s="4094"/>
      <c r="F436" s="4094"/>
      <c r="G436" s="4094"/>
      <c r="H436" s="4094"/>
      <c r="I436" s="4094"/>
      <c r="J436" s="4094"/>
      <c r="K436" s="4094"/>
      <c r="L436" s="4094"/>
      <c r="M436" s="4094"/>
      <c r="N436" s="4094"/>
      <c r="O436" s="163" t="s">
        <v>698</v>
      </c>
      <c r="P436" s="561" t="s">
        <v>6928</v>
      </c>
      <c r="Q436" s="552"/>
      <c r="AE436" s="481"/>
      <c r="AF436" s="481"/>
    </row>
    <row r="437" spans="1:32" s="133" customFormat="1" ht="22.5" customHeight="1">
      <c r="A437" s="142" t="s">
        <v>1963</v>
      </c>
      <c r="B437" s="4094" t="s">
        <v>3920</v>
      </c>
      <c r="C437" s="4094"/>
      <c r="D437" s="4094"/>
      <c r="E437" s="4094"/>
      <c r="F437" s="4094"/>
      <c r="G437" s="4094"/>
      <c r="H437" s="4094"/>
      <c r="I437" s="4094"/>
      <c r="J437" s="4094"/>
      <c r="K437" s="4094"/>
      <c r="L437" s="4094"/>
      <c r="M437" s="4094"/>
      <c r="N437" s="4094"/>
      <c r="O437" s="163" t="s">
        <v>1963</v>
      </c>
      <c r="P437" s="561" t="s">
        <v>6928</v>
      </c>
      <c r="Q437" s="552"/>
      <c r="AE437" s="481"/>
      <c r="AF437" s="481"/>
    </row>
    <row r="438" spans="1:32" s="133" customFormat="1" ht="21.75" customHeight="1">
      <c r="A438" s="142" t="s">
        <v>1613</v>
      </c>
      <c r="B438" s="4094" t="s">
        <v>3921</v>
      </c>
      <c r="C438" s="4094"/>
      <c r="D438" s="4094"/>
      <c r="E438" s="4094"/>
      <c r="F438" s="4094"/>
      <c r="G438" s="4094"/>
      <c r="H438" s="4094"/>
      <c r="I438" s="4094"/>
      <c r="J438" s="4094"/>
      <c r="K438" s="4094"/>
      <c r="L438" s="4094"/>
      <c r="M438" s="4094"/>
      <c r="N438" s="4094"/>
      <c r="O438" s="163" t="s">
        <v>1613</v>
      </c>
      <c r="P438" s="561" t="s">
        <v>6928</v>
      </c>
      <c r="Q438" s="552"/>
      <c r="AE438" s="481"/>
      <c r="AF438" s="481"/>
    </row>
    <row r="439" spans="1:32" s="438" customFormat="1" ht="21.75" customHeight="1">
      <c r="A439" s="142" t="s">
        <v>1614</v>
      </c>
      <c r="B439" s="4094" t="s">
        <v>3954</v>
      </c>
      <c r="C439" s="4094"/>
      <c r="D439" s="4094"/>
      <c r="E439" s="4094"/>
      <c r="F439" s="4094"/>
      <c r="G439" s="4094"/>
      <c r="H439" s="4094"/>
      <c r="I439" s="4094"/>
      <c r="J439" s="4094"/>
      <c r="K439" s="4094"/>
      <c r="L439" s="4094"/>
      <c r="M439" s="4094"/>
      <c r="N439" s="4094"/>
      <c r="O439" s="163" t="s">
        <v>1614</v>
      </c>
      <c r="P439" s="1174" t="s">
        <v>6928</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00" t="s">
        <v>6954</v>
      </c>
      <c r="B441" s="4001"/>
      <c r="C441" s="4001"/>
      <c r="D441" s="4001"/>
      <c r="E441" s="4001"/>
      <c r="F441" s="4001"/>
      <c r="G441" s="4001"/>
      <c r="H441" s="4001"/>
      <c r="I441" s="4001"/>
      <c r="J441" s="4001"/>
      <c r="K441" s="4001"/>
      <c r="L441" s="4001"/>
      <c r="M441" s="4001"/>
      <c r="N441" s="4001"/>
      <c r="O441" s="4001"/>
      <c r="P441" s="4001"/>
      <c r="Q441" s="4002"/>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4"/>
      <c r="B443" s="4005"/>
      <c r="C443" s="4005"/>
      <c r="D443" s="4005"/>
      <c r="E443" s="4005"/>
      <c r="F443" s="4005"/>
      <c r="G443" s="4005"/>
      <c r="H443" s="4005"/>
      <c r="I443" s="4005"/>
      <c r="J443" s="4005"/>
      <c r="K443" s="4005"/>
      <c r="L443" s="4005"/>
      <c r="M443" s="4005"/>
      <c r="N443" s="4005"/>
      <c r="O443" s="4005"/>
      <c r="P443" s="4005"/>
      <c r="Q443" s="4006"/>
    </row>
    <row r="444" spans="1:32" ht="3" customHeight="1">
      <c r="A444" s="1132"/>
      <c r="B444" s="1139"/>
      <c r="C444" s="1133"/>
      <c r="D444" s="1133"/>
      <c r="E444" s="1133"/>
      <c r="F444" s="1133"/>
      <c r="G444" s="1133"/>
      <c r="H444" s="1133"/>
      <c r="I444" s="1133"/>
      <c r="J444" s="1133"/>
      <c r="K444" s="1133"/>
      <c r="L444" s="1133"/>
      <c r="M444" s="1133"/>
      <c r="Q444" s="877"/>
    </row>
    <row r="445" spans="1:32" ht="14" customHeight="1">
      <c r="A445" s="1511" t="s">
        <v>3805</v>
      </c>
      <c r="B445" s="4"/>
      <c r="C445" s="4" t="s">
        <v>2437</v>
      </c>
      <c r="D445" s="87"/>
      <c r="E445" s="1133"/>
      <c r="F445" s="1133"/>
      <c r="G445" s="1133"/>
      <c r="H445" s="1133"/>
      <c r="J445" s="1133"/>
      <c r="K445" s="1133"/>
      <c r="L445" s="1133"/>
      <c r="M445" s="1133"/>
      <c r="O445" s="132" t="s">
        <v>1731</v>
      </c>
      <c r="P445" s="4021"/>
      <c r="Q445" s="4010"/>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34.5" customHeight="1">
      <c r="A447" s="4000" t="s">
        <v>6955</v>
      </c>
      <c r="B447" s="4001"/>
      <c r="C447" s="4001"/>
      <c r="D447" s="4001"/>
      <c r="E447" s="4001"/>
      <c r="F447" s="4001"/>
      <c r="G447" s="4001"/>
      <c r="H447" s="4001"/>
      <c r="I447" s="4001"/>
      <c r="J447" s="4001"/>
      <c r="K447" s="4001"/>
      <c r="L447" s="4001"/>
      <c r="M447" s="4001"/>
      <c r="N447" s="4001"/>
      <c r="O447" s="4001"/>
      <c r="P447" s="4001"/>
      <c r="Q447" s="4002"/>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4"/>
      <c r="B449" s="4005"/>
      <c r="C449" s="4005"/>
      <c r="D449" s="4005"/>
      <c r="E449" s="4005"/>
      <c r="F449" s="4005"/>
      <c r="G449" s="4005"/>
      <c r="H449" s="4005"/>
      <c r="I449" s="4005"/>
      <c r="J449" s="4005"/>
      <c r="K449" s="4005"/>
      <c r="L449" s="4005"/>
      <c r="M449" s="4005"/>
      <c r="N449" s="4005"/>
      <c r="O449" s="4005"/>
      <c r="P449" s="4005"/>
      <c r="Q449" s="4006"/>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
      <c r="A456" s="457"/>
      <c r="B456" s="457"/>
      <c r="C456" s="1022" t="s">
        <v>1647</v>
      </c>
      <c r="D456" s="1021"/>
      <c r="E456" s="1021"/>
      <c r="F456" s="1021"/>
      <c r="G456" s="1021"/>
      <c r="H456" s="1021"/>
      <c r="I456" s="1021"/>
      <c r="J456" s="2502" t="s">
        <v>1545</v>
      </c>
      <c r="K456" s="1021"/>
      <c r="N456" s="1023"/>
      <c r="O456" s="2502" t="s">
        <v>4048</v>
      </c>
      <c r="P456" s="2503"/>
      <c r="R456" s="457"/>
      <c r="AE456" s="1774"/>
      <c r="AF456" s="1774"/>
    </row>
    <row r="457" spans="1:32" s="1022" customFormat="1" ht="11">
      <c r="A457" s="457"/>
      <c r="B457" s="457"/>
      <c r="C457" s="2504" t="s">
        <v>1313</v>
      </c>
      <c r="D457" s="1021"/>
      <c r="E457" s="1021"/>
      <c r="F457" s="1021"/>
      <c r="G457" s="1021"/>
      <c r="H457" s="1021"/>
      <c r="I457" s="1021"/>
      <c r="J457" s="2502" t="s">
        <v>1954</v>
      </c>
      <c r="K457" s="1021"/>
      <c r="N457" s="1023"/>
      <c r="O457" s="2502" t="s">
        <v>4049</v>
      </c>
      <c r="P457" s="2503"/>
      <c r="R457" s="457"/>
      <c r="AE457" s="1774"/>
      <c r="AF457" s="1774"/>
    </row>
    <row r="458" spans="1:32" s="1022" customFormat="1" ht="11">
      <c r="A458" s="457"/>
      <c r="B458" s="457"/>
      <c r="C458" s="2504" t="s">
        <v>1314</v>
      </c>
      <c r="D458" s="1021"/>
      <c r="E458" s="1021"/>
      <c r="F458" s="1021"/>
      <c r="G458" s="1021"/>
      <c r="H458" s="1021"/>
      <c r="I458" s="1021"/>
      <c r="J458" s="2502" t="s">
        <v>1538</v>
      </c>
      <c r="K458" s="1021"/>
      <c r="N458" s="1023"/>
      <c r="O458" s="2502" t="s">
        <v>4050</v>
      </c>
      <c r="P458" s="2503"/>
      <c r="R458" s="457"/>
      <c r="AE458" s="1774"/>
      <c r="AF458" s="1774"/>
    </row>
    <row r="459" spans="1:32" s="1022" customFormat="1" ht="11">
      <c r="A459" s="457"/>
      <c r="B459" s="457"/>
      <c r="C459" s="2505" t="s">
        <v>1981</v>
      </c>
      <c r="D459" s="1021"/>
      <c r="E459" s="1021"/>
      <c r="F459" s="1021"/>
      <c r="G459" s="1021"/>
      <c r="H459" s="1021"/>
      <c r="I459" s="1021"/>
      <c r="J459" s="2502" t="s">
        <v>1121</v>
      </c>
      <c r="K459" s="1021"/>
      <c r="N459" s="1023"/>
      <c r="O459" s="2502" t="s">
        <v>4054</v>
      </c>
      <c r="P459" s="2503"/>
      <c r="R459" s="457"/>
      <c r="AE459" s="1774"/>
      <c r="AF459" s="1774"/>
    </row>
    <row r="460" spans="1:32" s="1022" customFormat="1" ht="11">
      <c r="A460" s="457"/>
      <c r="B460" s="457"/>
      <c r="C460" s="2505" t="s">
        <v>1310</v>
      </c>
      <c r="D460" s="1021"/>
      <c r="E460" s="1021"/>
      <c r="F460" s="1021"/>
      <c r="G460" s="1021"/>
      <c r="H460" s="1021"/>
      <c r="I460" s="1021"/>
      <c r="J460" s="2502" t="s">
        <v>549</v>
      </c>
      <c r="K460" s="1021"/>
      <c r="N460" s="1023"/>
      <c r="O460" s="2502" t="s">
        <v>4051</v>
      </c>
      <c r="P460" s="2503"/>
      <c r="R460" s="457"/>
      <c r="AE460" s="1774"/>
      <c r="AF460" s="1774"/>
    </row>
    <row r="461" spans="1:32" s="1022" customFormat="1" ht="11">
      <c r="A461" s="457"/>
      <c r="B461" s="457"/>
      <c r="C461" s="2505" t="s">
        <v>1311</v>
      </c>
      <c r="D461" s="1021"/>
      <c r="E461" s="1021"/>
      <c r="F461" s="1021"/>
      <c r="G461" s="1021"/>
      <c r="H461" s="1021"/>
      <c r="I461" s="1021"/>
      <c r="J461" s="2502" t="s">
        <v>1544</v>
      </c>
      <c r="K461" s="1021"/>
      <c r="N461" s="1023"/>
      <c r="O461" s="2502" t="s">
        <v>4052</v>
      </c>
      <c r="P461" s="2503"/>
      <c r="R461" s="457"/>
      <c r="AE461" s="1774"/>
      <c r="AF461" s="1774"/>
    </row>
    <row r="462" spans="1:32" s="1022" customFormat="1" ht="11">
      <c r="A462" s="457"/>
      <c r="B462" s="457"/>
      <c r="C462" s="2504" t="s">
        <v>1976</v>
      </c>
      <c r="D462" s="1021"/>
      <c r="E462" s="1021"/>
      <c r="F462" s="1021"/>
      <c r="G462" s="1021"/>
      <c r="H462" s="1021"/>
      <c r="I462" s="1021"/>
      <c r="J462" s="2502" t="s">
        <v>1118</v>
      </c>
      <c r="K462" s="1021"/>
      <c r="N462" s="1023"/>
      <c r="O462" s="2502" t="s">
        <v>4053</v>
      </c>
      <c r="P462" s="2503"/>
      <c r="R462" s="457"/>
      <c r="AE462" s="1774"/>
      <c r="AF462" s="1774"/>
    </row>
    <row r="463" spans="1:32" s="1022" customFormat="1" ht="11">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1">
      <c r="A464" s="457"/>
      <c r="B464" s="457"/>
      <c r="C464" s="2504" t="s">
        <v>1978</v>
      </c>
      <c r="J464" s="2502" t="s">
        <v>1604</v>
      </c>
      <c r="N464" s="1023"/>
      <c r="O464" s="1022" t="s">
        <v>3280</v>
      </c>
      <c r="P464" s="2503"/>
      <c r="R464" s="457"/>
      <c r="AE464" s="1774"/>
      <c r="AF464" s="1774"/>
    </row>
    <row r="465" spans="1:32" s="1022" customFormat="1" ht="11">
      <c r="A465" s="457"/>
      <c r="B465" s="457"/>
      <c r="C465" s="2504" t="s">
        <v>1979</v>
      </c>
      <c r="J465" s="2502" t="s">
        <v>1547</v>
      </c>
      <c r="N465" s="1023"/>
      <c r="O465" s="2502"/>
      <c r="P465" s="2503"/>
      <c r="R465" s="457"/>
      <c r="AE465" s="1774"/>
      <c r="AF465" s="1774"/>
    </row>
    <row r="466" spans="1:32" s="1022" customFormat="1" ht="11">
      <c r="A466" s="457"/>
      <c r="B466" s="457"/>
      <c r="C466" s="2504" t="s">
        <v>1980</v>
      </c>
      <c r="J466" s="2502" t="s">
        <v>1539</v>
      </c>
      <c r="N466" s="1023"/>
      <c r="O466" s="2503"/>
      <c r="P466" s="2503"/>
      <c r="R466" s="457"/>
      <c r="AE466" s="1774"/>
      <c r="AF466" s="1774"/>
    </row>
    <row r="467" spans="1:32" s="1022" customFormat="1" ht="11">
      <c r="A467" s="457"/>
      <c r="B467" s="457"/>
      <c r="C467" s="2504" t="s">
        <v>1312</v>
      </c>
      <c r="J467" s="2502" t="s">
        <v>1953</v>
      </c>
      <c r="N467" s="1023"/>
      <c r="O467" s="2502"/>
      <c r="P467" s="2503"/>
      <c r="R467" s="457"/>
      <c r="AE467" s="1774"/>
      <c r="AF467" s="1774"/>
    </row>
    <row r="468" spans="1:32" s="1022" customFormat="1" ht="11">
      <c r="A468" s="457"/>
      <c r="B468" s="457"/>
      <c r="C468" s="2504" t="s">
        <v>2109</v>
      </c>
      <c r="N468" s="1023"/>
      <c r="O468" s="2503"/>
      <c r="P468" s="2503"/>
      <c r="R468" s="457"/>
      <c r="AE468" s="1774"/>
      <c r="AF468" s="1774"/>
    </row>
    <row r="469" spans="1:32" s="1022" customFormat="1" ht="11">
      <c r="A469" s="457"/>
      <c r="B469" s="457"/>
      <c r="N469" s="1023"/>
      <c r="O469" s="2503"/>
      <c r="P469" s="2503"/>
      <c r="R469" s="457"/>
      <c r="AE469" s="1774"/>
      <c r="AF469" s="1774"/>
    </row>
    <row r="470" spans="1:32" s="1021" customFormat="1" ht="11">
      <c r="A470" s="55"/>
      <c r="B470" s="55"/>
      <c r="R470" s="55"/>
      <c r="S470" s="55"/>
      <c r="T470" s="55"/>
      <c r="U470" s="55"/>
      <c r="V470" s="55"/>
      <c r="AE470" s="1024"/>
      <c r="AF470" s="1024"/>
    </row>
    <row r="471" spans="1:32" s="1021" customFormat="1" ht="11">
      <c r="A471" s="55"/>
      <c r="B471" s="55"/>
      <c r="C471" s="2506" t="s">
        <v>1665</v>
      </c>
      <c r="R471" s="55"/>
      <c r="AE471" s="1024"/>
      <c r="AF471" s="1024"/>
    </row>
    <row r="472" spans="1:32" s="1021" customFormat="1" ht="11">
      <c r="A472" s="55"/>
      <c r="B472" s="55"/>
      <c r="C472" s="1021" t="s">
        <v>869</v>
      </c>
      <c r="R472" s="55"/>
      <c r="AE472" s="1024"/>
      <c r="AF472" s="1024"/>
    </row>
    <row r="473" spans="1:32" s="1021" customFormat="1" ht="11">
      <c r="A473" s="55"/>
      <c r="B473" s="55"/>
      <c r="C473" s="2504" t="s">
        <v>1523</v>
      </c>
      <c r="R473" s="55"/>
      <c r="AE473" s="1024"/>
      <c r="AF473" s="1024"/>
    </row>
    <row r="474" spans="1:32" s="1021" customFormat="1" ht="11">
      <c r="A474" s="55"/>
      <c r="B474" s="55"/>
      <c r="C474" s="2504" t="s">
        <v>672</v>
      </c>
      <c r="L474" s="2504"/>
      <c r="R474" s="55"/>
      <c r="AE474" s="1024"/>
      <c r="AF474" s="1024"/>
    </row>
    <row r="475" spans="1:32" s="1021" customFormat="1" ht="11">
      <c r="A475" s="55"/>
      <c r="B475" s="55"/>
      <c r="C475" s="2504" t="s">
        <v>673</v>
      </c>
      <c r="L475" s="2504"/>
      <c r="R475" s="55"/>
      <c r="AE475" s="1024"/>
      <c r="AF475" s="1024"/>
    </row>
    <row r="476" spans="1:32" s="1021" customFormat="1" ht="11">
      <c r="A476" s="55"/>
      <c r="B476" s="55"/>
      <c r="C476" s="2504" t="s">
        <v>2002</v>
      </c>
      <c r="L476" s="2504"/>
      <c r="R476" s="55"/>
      <c r="AE476" s="1024"/>
      <c r="AF476" s="1024"/>
    </row>
    <row r="477" spans="1:32" s="1021" customFormat="1" ht="11">
      <c r="A477" s="55"/>
      <c r="B477" s="55"/>
      <c r="C477" s="2504" t="s">
        <v>120</v>
      </c>
      <c r="L477" s="2504"/>
      <c r="R477" s="55"/>
      <c r="AE477" s="1024"/>
      <c r="AF477" s="1024"/>
    </row>
    <row r="478" spans="1:32" s="1021" customFormat="1" ht="11">
      <c r="A478" s="55"/>
      <c r="B478" s="55"/>
      <c r="C478" s="1024" t="s">
        <v>118</v>
      </c>
      <c r="L478" s="2504"/>
      <c r="R478" s="55"/>
      <c r="AE478" s="1024"/>
      <c r="AF478" s="1024"/>
    </row>
    <row r="479" spans="1:32" s="1021" customFormat="1" ht="11">
      <c r="A479" s="55"/>
      <c r="B479" s="55"/>
      <c r="C479" s="1024" t="s">
        <v>1741</v>
      </c>
      <c r="R479" s="55"/>
      <c r="AE479" s="1024"/>
      <c r="AF479" s="1024"/>
    </row>
    <row r="480" spans="1:32" s="1021" customFormat="1" ht="11">
      <c r="A480" s="55"/>
      <c r="B480" s="55"/>
      <c r="C480" s="2504" t="s">
        <v>888</v>
      </c>
      <c r="L480" s="2504"/>
      <c r="R480" s="55"/>
      <c r="AE480" s="1024"/>
      <c r="AF480" s="1024"/>
    </row>
    <row r="481" spans="1:32" s="1021" customFormat="1" ht="11">
      <c r="A481" s="55"/>
      <c r="B481" s="55"/>
      <c r="C481" s="1024" t="s">
        <v>119</v>
      </c>
      <c r="L481" s="2504"/>
      <c r="R481" s="55"/>
      <c r="AE481" s="1024"/>
      <c r="AF481" s="1024"/>
    </row>
    <row r="482" spans="1:32" s="1021" customFormat="1" ht="11">
      <c r="A482" s="55"/>
      <c r="B482" s="55"/>
      <c r="C482" s="1024" t="s">
        <v>120</v>
      </c>
      <c r="L482" s="2504"/>
      <c r="R482" s="55"/>
      <c r="AE482" s="1024"/>
      <c r="AF482" s="1024"/>
    </row>
    <row r="483" spans="1:32" s="1021" customFormat="1" ht="11">
      <c r="A483" s="55"/>
      <c r="B483" s="55"/>
      <c r="C483" s="1024" t="s">
        <v>121</v>
      </c>
      <c r="L483" s="2504"/>
      <c r="R483" s="55"/>
      <c r="AE483" s="1024"/>
      <c r="AF483" s="1024"/>
    </row>
    <row r="484" spans="1:32" s="1021" customFormat="1" ht="11">
      <c r="A484" s="55"/>
      <c r="B484" s="55"/>
      <c r="C484" s="1024" t="s">
        <v>2440</v>
      </c>
      <c r="R484" s="55"/>
      <c r="AE484" s="1024"/>
      <c r="AF484" s="1024"/>
    </row>
    <row r="485" spans="1:32" s="1021" customFormat="1" ht="11">
      <c r="A485" s="55"/>
      <c r="B485" s="55"/>
      <c r="C485" s="2504" t="s">
        <v>1866</v>
      </c>
      <c r="L485" s="2504"/>
      <c r="R485" s="55"/>
      <c r="AE485" s="1024"/>
      <c r="AF485" s="1024"/>
    </row>
    <row r="486" spans="1:32" s="1021" customFormat="1" ht="11">
      <c r="A486" s="55"/>
      <c r="B486" s="55"/>
      <c r="C486" s="1024" t="s">
        <v>2441</v>
      </c>
      <c r="L486" s="2504"/>
      <c r="R486" s="55"/>
      <c r="AE486" s="1024"/>
      <c r="AF486" s="1024"/>
    </row>
    <row r="487" spans="1:32" s="1021" customFormat="1" ht="11">
      <c r="A487" s="55"/>
      <c r="B487" s="55"/>
      <c r="C487" s="1024" t="s">
        <v>1305</v>
      </c>
      <c r="L487" s="2504"/>
      <c r="R487" s="55"/>
      <c r="AE487" s="1024"/>
      <c r="AF487" s="1024"/>
    </row>
    <row r="488" spans="1:32" s="1021" customFormat="1" ht="11">
      <c r="A488" s="55"/>
      <c r="B488" s="55"/>
      <c r="C488" s="1024" t="s">
        <v>1486</v>
      </c>
      <c r="K488" s="2507" t="s">
        <v>434</v>
      </c>
      <c r="L488" s="2504"/>
      <c r="R488" s="55"/>
      <c r="AE488" s="1024"/>
      <c r="AF488" s="1024"/>
    </row>
    <row r="489" spans="1:32" s="1021" customFormat="1" ht="11">
      <c r="A489" s="55"/>
      <c r="B489" s="55"/>
      <c r="C489" s="1024" t="s">
        <v>2442</v>
      </c>
      <c r="K489" s="1021" t="s">
        <v>1019</v>
      </c>
      <c r="L489" s="2504"/>
      <c r="R489" s="55"/>
      <c r="AE489" s="1024"/>
      <c r="AF489" s="1024"/>
    </row>
    <row r="490" spans="1:32" s="1021" customFormat="1" ht="11">
      <c r="A490" s="55"/>
      <c r="B490" s="55"/>
      <c r="C490" s="1024" t="s">
        <v>2443</v>
      </c>
      <c r="K490" s="1021" t="s">
        <v>3250</v>
      </c>
      <c r="R490" s="55"/>
      <c r="AE490" s="1024"/>
      <c r="AF490" s="1024"/>
    </row>
    <row r="491" spans="1:32" s="1021" customFormat="1" ht="11">
      <c r="A491" s="55"/>
      <c r="B491" s="55"/>
      <c r="C491" s="2504" t="s">
        <v>1131</v>
      </c>
      <c r="K491" s="1021" t="s">
        <v>6206</v>
      </c>
      <c r="R491" s="55"/>
      <c r="AE491" s="1024"/>
      <c r="AF491" s="1024"/>
    </row>
    <row r="492" spans="1:32" s="1021" customFormat="1" ht="11">
      <c r="A492" s="55"/>
      <c r="B492" s="55"/>
      <c r="R492" s="55"/>
      <c r="AE492" s="1024"/>
      <c r="AF492" s="1024"/>
    </row>
    <row r="493" spans="1:32" s="1021" customFormat="1" ht="11">
      <c r="A493" s="55"/>
      <c r="B493" s="55"/>
      <c r="C493" s="2506" t="s">
        <v>244</v>
      </c>
      <c r="K493" s="2507" t="s">
        <v>2073</v>
      </c>
      <c r="R493" s="55"/>
      <c r="AE493" s="1024"/>
      <c r="AF493" s="1024"/>
    </row>
    <row r="494" spans="1:32" s="1021" customFormat="1" ht="11">
      <c r="A494" s="55"/>
      <c r="B494" s="55"/>
      <c r="C494" s="1021" t="s">
        <v>1020</v>
      </c>
      <c r="K494" s="1021" t="s">
        <v>2148</v>
      </c>
      <c r="R494" s="55"/>
      <c r="AE494" s="1024"/>
      <c r="AF494" s="1024"/>
    </row>
    <row r="495" spans="1:32" s="1021" customFormat="1" ht="11">
      <c r="A495" s="55"/>
      <c r="B495" s="55"/>
      <c r="C495" s="1021" t="s">
        <v>163</v>
      </c>
      <c r="K495" s="2508" t="s">
        <v>6309</v>
      </c>
      <c r="R495" s="55"/>
      <c r="AE495" s="1024"/>
      <c r="AF495" s="1024"/>
    </row>
    <row r="496" spans="1:32" s="1021" customFormat="1" ht="11">
      <c r="A496" s="55"/>
      <c r="B496" s="55"/>
      <c r="C496" s="1021" t="s">
        <v>1430</v>
      </c>
      <c r="K496" s="1021" t="s">
        <v>6308</v>
      </c>
      <c r="R496" s="55"/>
      <c r="AE496" s="1024"/>
      <c r="AF496" s="1024"/>
    </row>
    <row r="497" spans="1:32" s="1021" customFormat="1" ht="11">
      <c r="A497" s="55"/>
      <c r="B497" s="55"/>
      <c r="C497" s="1021" t="s">
        <v>1966</v>
      </c>
      <c r="K497" s="1021" t="s">
        <v>6207</v>
      </c>
      <c r="R497" s="55"/>
      <c r="AE497" s="1024"/>
      <c r="AF497" s="1024"/>
    </row>
    <row r="498" spans="1:32" s="1021" customFormat="1" ht="11">
      <c r="A498" s="55"/>
      <c r="B498" s="55"/>
      <c r="C498" s="1021" t="s">
        <v>162</v>
      </c>
      <c r="K498" s="1021" t="s">
        <v>6310</v>
      </c>
      <c r="R498" s="55"/>
      <c r="AE498" s="1024"/>
      <c r="AF498" s="1024"/>
    </row>
    <row r="499" spans="1:32" s="1021" customFormat="1" ht="11">
      <c r="A499" s="55"/>
      <c r="B499" s="55"/>
      <c r="K499" s="2507" t="s">
        <v>1809</v>
      </c>
      <c r="R499" s="55"/>
      <c r="AE499" s="1024"/>
      <c r="AF499" s="1024"/>
    </row>
    <row r="500" spans="1:32" s="1021" customFormat="1" ht="11">
      <c r="A500" s="55"/>
      <c r="B500" s="55"/>
      <c r="K500" s="1021" t="s">
        <v>1018</v>
      </c>
      <c r="R500" s="55"/>
      <c r="AE500" s="1024"/>
      <c r="AF500" s="1024"/>
    </row>
    <row r="501" spans="1:32" s="1021" customFormat="1" ht="11">
      <c r="A501" s="55"/>
      <c r="B501" s="55"/>
      <c r="K501" s="1021" t="s">
        <v>1629</v>
      </c>
      <c r="R501" s="55"/>
      <c r="AE501" s="1024"/>
      <c r="AF501" s="1024"/>
    </row>
    <row r="502" spans="1:32" s="1021" customFormat="1" ht="11">
      <c r="A502" s="55"/>
      <c r="B502" s="55"/>
      <c r="K502" s="1021" t="s">
        <v>1068</v>
      </c>
      <c r="R502" s="55"/>
      <c r="AE502" s="1024"/>
      <c r="AF502" s="1024"/>
    </row>
    <row r="503" spans="1:32" s="1021" customFormat="1" ht="11">
      <c r="A503" s="55"/>
      <c r="B503" s="55"/>
      <c r="K503" s="1021" t="s">
        <v>1630</v>
      </c>
      <c r="R503" s="55"/>
      <c r="AE503" s="1024"/>
      <c r="AF503" s="1024"/>
    </row>
    <row r="504" spans="1:32" s="1021" customFormat="1" ht="11">
      <c r="A504" s="55"/>
      <c r="B504" s="55"/>
      <c r="K504" s="1021" t="s">
        <v>2186</v>
      </c>
      <c r="R504" s="55"/>
      <c r="AE504" s="1024"/>
      <c r="AF504" s="1024"/>
    </row>
    <row r="505" spans="1:32" s="1021" customFormat="1" ht="11">
      <c r="A505" s="55"/>
      <c r="B505" s="55"/>
      <c r="R505" s="55"/>
      <c r="AE505" s="1024"/>
      <c r="AF505" s="1024"/>
    </row>
    <row r="506" spans="1:32" s="1021" customFormat="1" ht="11">
      <c r="A506" s="55"/>
      <c r="B506" s="55"/>
      <c r="C506" s="2506" t="s">
        <v>952</v>
      </c>
      <c r="M506" s="2506" t="s">
        <v>3854</v>
      </c>
      <c r="R506" s="55"/>
      <c r="AE506" s="1024"/>
      <c r="AF506" s="1024"/>
    </row>
    <row r="507" spans="1:32" s="1021" customFormat="1" ht="11">
      <c r="A507" s="55"/>
      <c r="B507" s="55"/>
      <c r="C507" s="1021" t="s">
        <v>951</v>
      </c>
      <c r="M507" s="1021" t="s">
        <v>951</v>
      </c>
      <c r="R507" s="55"/>
      <c r="AE507" s="1024"/>
      <c r="AF507" s="1024"/>
    </row>
    <row r="508" spans="1:32" s="1021" customFormat="1" ht="11">
      <c r="A508" s="55"/>
      <c r="B508" s="55"/>
      <c r="C508" s="1021" t="s">
        <v>1939</v>
      </c>
      <c r="M508" s="1021" t="s">
        <v>3851</v>
      </c>
      <c r="R508" s="55"/>
      <c r="AE508" s="1024"/>
      <c r="AF508" s="1024"/>
    </row>
    <row r="509" spans="1:32" s="1021" customFormat="1" ht="11">
      <c r="A509" s="55"/>
      <c r="B509" s="55"/>
      <c r="C509" s="1021" t="s">
        <v>2342</v>
      </c>
      <c r="M509" s="1021" t="s">
        <v>3882</v>
      </c>
      <c r="R509" s="55"/>
      <c r="AE509" s="1024"/>
      <c r="AF509" s="1024"/>
    </row>
    <row r="510" spans="1:32" s="1021" customFormat="1" ht="11">
      <c r="A510" s="55"/>
      <c r="B510" s="55"/>
      <c r="C510" s="1021" t="s">
        <v>1940</v>
      </c>
      <c r="M510" s="1021" t="s">
        <v>1541</v>
      </c>
      <c r="R510" s="55"/>
      <c r="AE510" s="1024"/>
      <c r="AF510" s="1024"/>
    </row>
    <row r="511" spans="1:32" s="1021" customFormat="1" ht="11">
      <c r="A511" s="55"/>
      <c r="B511" s="55"/>
      <c r="C511" s="1021" t="s">
        <v>1810</v>
      </c>
      <c r="M511" s="1021" t="s">
        <v>3852</v>
      </c>
      <c r="R511" s="55"/>
      <c r="AE511" s="1024"/>
      <c r="AF511" s="1024"/>
    </row>
    <row r="512" spans="1:32" s="1021" customFormat="1" ht="11">
      <c r="A512" s="55"/>
      <c r="B512" s="55"/>
      <c r="C512" s="1021" t="s">
        <v>548</v>
      </c>
      <c r="M512" s="2508" t="s">
        <v>3901</v>
      </c>
      <c r="R512" s="55"/>
      <c r="AE512" s="1024"/>
      <c r="AF512" s="1024"/>
    </row>
    <row r="513" spans="1:32" s="1021" customFormat="1" ht="11">
      <c r="A513" s="55"/>
      <c r="B513" s="55"/>
      <c r="C513" s="1021" t="s">
        <v>2036</v>
      </c>
      <c r="M513" s="2508" t="s">
        <v>3902</v>
      </c>
      <c r="R513" s="55"/>
      <c r="AE513" s="1024"/>
      <c r="AF513" s="1024"/>
    </row>
    <row r="514" spans="1:32" s="1021" customFormat="1" ht="11">
      <c r="A514" s="55"/>
      <c r="B514" s="55"/>
      <c r="C514" s="2509" t="s">
        <v>30</v>
      </c>
      <c r="M514" s="1021" t="s">
        <v>3853</v>
      </c>
      <c r="R514" s="55"/>
      <c r="AE514" s="1024"/>
      <c r="AF514" s="1024"/>
    </row>
    <row r="515" spans="1:32" s="1021" customFormat="1" ht="11">
      <c r="A515" s="55"/>
      <c r="B515" s="55"/>
      <c r="M515" s="2510" t="s">
        <v>1953</v>
      </c>
      <c r="R515" s="55"/>
      <c r="AE515" s="1024"/>
      <c r="AF515" s="1024"/>
    </row>
    <row r="516" spans="1:32" s="1021" customFormat="1" ht="11">
      <c r="A516" s="55"/>
      <c r="B516" s="55"/>
      <c r="R516" s="55"/>
      <c r="AE516" s="1024"/>
      <c r="AF516" s="1024"/>
    </row>
    <row r="517" spans="1:32" s="1021" customFormat="1" ht="11">
      <c r="A517" s="55"/>
      <c r="B517" s="55"/>
      <c r="R517" s="55"/>
      <c r="AE517" s="1024"/>
      <c r="AF517" s="1024"/>
    </row>
    <row r="518" spans="1:32" s="1021" customFormat="1" ht="11">
      <c r="A518" s="55"/>
      <c r="B518" s="55"/>
      <c r="M518" s="2511" t="s">
        <v>3262</v>
      </c>
      <c r="R518" s="55"/>
      <c r="AE518" s="1024"/>
      <c r="AF518" s="1024"/>
    </row>
    <row r="519" spans="1:32" s="1021" customFormat="1" ht="11">
      <c r="A519" s="55"/>
      <c r="B519" s="55"/>
      <c r="M519" s="1021" t="s">
        <v>3338</v>
      </c>
      <c r="R519" s="55"/>
      <c r="AE519" s="1024"/>
      <c r="AF519" s="1024"/>
    </row>
    <row r="520" spans="1:32" s="1021" customFormat="1" ht="11">
      <c r="A520" s="55"/>
      <c r="B520" s="55"/>
      <c r="M520" s="1021" t="s">
        <v>3333</v>
      </c>
      <c r="R520" s="55"/>
      <c r="AE520" s="1024"/>
      <c r="AF520" s="1024"/>
    </row>
    <row r="521" spans="1:32" s="1021" customFormat="1" ht="11">
      <c r="A521" s="55"/>
      <c r="B521" s="55"/>
      <c r="M521" s="1021" t="s">
        <v>3255</v>
      </c>
      <c r="R521" s="55"/>
      <c r="AE521" s="1024"/>
      <c r="AF521" s="1024"/>
    </row>
    <row r="522" spans="1:32" s="1021" customFormat="1" ht="11">
      <c r="A522" s="55"/>
      <c r="B522" s="55"/>
      <c r="M522" s="1021" t="s">
        <v>3329</v>
      </c>
      <c r="R522" s="55"/>
      <c r="AE522" s="1024"/>
      <c r="AF522" s="1024"/>
    </row>
    <row r="523" spans="1:32" s="1021" customFormat="1" ht="11">
      <c r="A523" s="55"/>
      <c r="B523" s="55"/>
      <c r="D523" s="2511" t="s">
        <v>1889</v>
      </c>
      <c r="M523" s="1021" t="s">
        <v>3256</v>
      </c>
      <c r="R523" s="55"/>
      <c r="AE523" s="1024"/>
      <c r="AF523" s="1024"/>
    </row>
    <row r="524" spans="1:32" s="1021" customFormat="1">
      <c r="A524" s="55"/>
      <c r="B524" s="55"/>
      <c r="J524" s="469"/>
      <c r="M524" s="1021" t="s">
        <v>3330</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3331</v>
      </c>
      <c r="R526" s="148"/>
      <c r="AE526" s="652"/>
      <c r="AF526" s="652"/>
    </row>
    <row r="527" spans="1:32" s="469" customFormat="1">
      <c r="A527" s="148"/>
      <c r="B527" s="148"/>
      <c r="M527" s="1021" t="s">
        <v>3334</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3332</v>
      </c>
      <c r="R530" s="148"/>
      <c r="AE530" s="652"/>
      <c r="AF530" s="652"/>
    </row>
    <row r="531" spans="1:32" s="469" customFormat="1">
      <c r="A531" s="148"/>
      <c r="B531" s="148"/>
      <c r="M531" s="1021" t="s">
        <v>3335</v>
      </c>
      <c r="R531" s="148"/>
      <c r="AE531" s="652"/>
      <c r="AF531" s="652"/>
    </row>
    <row r="532" spans="1:32" s="469" customFormat="1">
      <c r="A532" s="148"/>
      <c r="B532" s="148"/>
      <c r="M532" s="1021" t="s">
        <v>3336</v>
      </c>
      <c r="R532" s="148"/>
      <c r="AE532" s="652"/>
      <c r="AF532" s="652"/>
    </row>
    <row r="533" spans="1:32" s="469" customFormat="1">
      <c r="A533" s="148"/>
      <c r="B533" s="148"/>
      <c r="M533" s="1021" t="s">
        <v>6532</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5" customHeight="1">
      <c r="A2" s="4195" t="s">
        <v>6529</v>
      </c>
      <c r="B2" s="4195"/>
      <c r="C2" s="183"/>
      <c r="D2" s="1474">
        <v>2021</v>
      </c>
      <c r="E2" s="180"/>
      <c r="F2" s="4232" t="s">
        <v>3001</v>
      </c>
      <c r="G2" s="4233"/>
      <c r="H2" s="4233"/>
      <c r="I2" s="4233"/>
      <c r="J2" s="4234"/>
      <c r="K2" s="303"/>
      <c r="L2" s="580" t="s">
        <v>3144</v>
      </c>
      <c r="M2" s="303"/>
      <c r="N2" s="4232" t="s">
        <v>3001</v>
      </c>
      <c r="O2" s="4233"/>
      <c r="P2" s="4233"/>
      <c r="Q2" s="4233"/>
      <c r="R2" s="4234"/>
      <c r="S2" s="313"/>
      <c r="T2" s="180"/>
      <c r="U2" s="180"/>
      <c r="V2" s="970"/>
      <c r="W2" s="970"/>
      <c r="X2" s="970"/>
      <c r="AA2" s="523"/>
      <c r="AB2" s="523"/>
    </row>
    <row r="3" spans="1:28" s="293" customFormat="1" ht="11.5" customHeight="1">
      <c r="A3" s="4195"/>
      <c r="B3" s="419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5" customHeight="1">
      <c r="A4" s="4195"/>
      <c r="B4" s="419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6530</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21"/>
      <c r="Q44" s="4010"/>
      <c r="AE44" s="128"/>
      <c r="AF44" s="128"/>
    </row>
    <row r="45" spans="1:295" s="35" customFormat="1" ht="11.25" customHeight="1">
      <c r="A45" s="4203"/>
      <c r="B45" s="4203"/>
      <c r="C45" s="4203"/>
      <c r="D45" s="4203"/>
      <c r="E45" s="4203"/>
      <c r="F45" s="1574"/>
      <c r="G45" s="4186" t="s">
        <v>2466</v>
      </c>
      <c r="H45" s="4187"/>
      <c r="I45" s="635"/>
      <c r="J45" s="42"/>
      <c r="K45" s="4188" t="s">
        <v>3167</v>
      </c>
      <c r="L45" s="4189"/>
      <c r="M45" s="4189"/>
      <c r="N45" s="4190"/>
      <c r="AE45" s="128"/>
      <c r="AF45" s="128"/>
    </row>
    <row r="46" spans="1:295" s="35" customFormat="1" ht="11.25" customHeight="1">
      <c r="A46" s="4203"/>
      <c r="B46" s="4203"/>
      <c r="C46" s="4203"/>
      <c r="D46" s="4203"/>
      <c r="E46" s="4203"/>
      <c r="F46" s="1574"/>
      <c r="G46" s="4191" t="s">
        <v>333</v>
      </c>
      <c r="H46" s="4192"/>
      <c r="I46" s="635"/>
      <c r="J46" s="42"/>
      <c r="K46" s="4197" t="s">
        <v>3168</v>
      </c>
      <c r="L46" s="4198"/>
      <c r="M46" s="4198"/>
      <c r="N46" s="4199"/>
      <c r="P46" s="533" t="s">
        <v>2475</v>
      </c>
      <c r="Q46" s="96"/>
      <c r="AE46" s="128"/>
      <c r="AF46" s="128"/>
    </row>
    <row r="47" spans="1:295" s="35" customFormat="1" ht="4.5" customHeight="1">
      <c r="A47" s="1574"/>
      <c r="B47" s="1574"/>
      <c r="C47" s="1574"/>
      <c r="D47" s="1574"/>
      <c r="E47" s="1574"/>
      <c r="F47" s="1574"/>
      <c r="G47" s="227"/>
      <c r="H47" s="227"/>
      <c r="I47" s="227"/>
      <c r="J47" s="42"/>
      <c r="K47" s="4200"/>
      <c r="L47" s="4200"/>
      <c r="M47" s="4200"/>
      <c r="N47" s="4200"/>
      <c r="P47" s="4201" t="s">
        <v>3938</v>
      </c>
      <c r="Q47" s="4201"/>
      <c r="AE47" s="128"/>
      <c r="AF47" s="128"/>
    </row>
    <row r="48" spans="1:295" s="83" customFormat="1" ht="10.5" customHeight="1">
      <c r="D48" s="636" t="s">
        <v>2465</v>
      </c>
      <c r="E48" s="35"/>
      <c r="F48" s="637" t="s">
        <v>3070</v>
      </c>
      <c r="G48" s="4217" t="s">
        <v>3895</v>
      </c>
      <c r="H48" s="4217"/>
      <c r="I48" s="4217"/>
      <c r="J48" s="35"/>
      <c r="K48" s="637" t="s">
        <v>3070</v>
      </c>
      <c r="L48" s="4217" t="s">
        <v>3894</v>
      </c>
      <c r="M48" s="4217"/>
      <c r="N48" s="4217"/>
      <c r="O48" s="35"/>
      <c r="P48" s="4201"/>
      <c r="Q48" s="4201"/>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5" t="s">
        <v>3000</v>
      </c>
      <c r="B49" s="4185"/>
      <c r="C49" s="4185"/>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02"/>
      <c r="Q49" s="4202"/>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5"/>
      <c r="B50" s="4185"/>
      <c r="C50" s="4185"/>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08" t="str">
        <f>IF('Part I-Project Identification'!$F$30="","",VLOOKUP('Part I-Project Identification'!$J$30,'DCA Underwriting Assumptions'!$G$136:$N$295,8,FALSE))</f>
        <v>Atlanta</v>
      </c>
      <c r="Q50" s="4209"/>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5"/>
      <c r="B51" s="4185"/>
      <c r="C51" s="4185"/>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10"/>
      <c r="Q51" s="4211"/>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5"/>
      <c r="B52" s="4185"/>
      <c r="C52" s="4185"/>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3995" t="s">
        <v>3939</v>
      </c>
      <c r="Q52" s="3995"/>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193">
        <f>'Part III-A-Uses of Funds'!$G$146</f>
        <v>16513230</v>
      </c>
      <c r="Q53" s="419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5" t="s">
        <v>3930</v>
      </c>
      <c r="Q54" s="3995"/>
      <c r="R54" s="4235" t="s">
        <v>6304</v>
      </c>
      <c r="S54" s="4235"/>
      <c r="T54" s="4235"/>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5" t="s">
        <v>2995</v>
      </c>
      <c r="B56" s="4185"/>
      <c r="C56" s="4185"/>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193">
        <f>'Part III-A-Uses of Funds'!$G$146-'Part III-A-Uses of Funds'!$G$92-'Part III-A-Uses of Funds'!$G$114-'Part III-A-Uses of Funds'!$G$130-'Part III-A-Uses of Funds'!$G$131-'Part III-A-Uses of Funds'!$G$132</f>
        <v>15971144</v>
      </c>
      <c r="Q56" s="419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5"/>
      <c r="B57" s="4185"/>
      <c r="C57" s="4185"/>
      <c r="D57" s="841" t="s">
        <v>2246</v>
      </c>
      <c r="E57" s="842">
        <v>1</v>
      </c>
      <c r="F57" s="1572">
        <f>IF('Part V-Revenues &amp; Expenses'!$L$149 =0,"",'Part V-Revenues &amp; Expenses'!$L$149)</f>
        <v>15</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15 units = </v>
      </c>
      <c r="I57" s="1573">
        <f>IF(F57="","",F57*G57)</f>
        <v>3015368.9999999995</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12" t="s">
        <v>3366</v>
      </c>
      <c r="Q57" s="4212"/>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5"/>
      <c r="B58" s="4185"/>
      <c r="C58" s="4185"/>
      <c r="D58" s="841" t="s">
        <v>2247</v>
      </c>
      <c r="E58" s="842">
        <v>2</v>
      </c>
      <c r="F58" s="1572">
        <f>IF('Part V-Revenues &amp; Expenses'!$M$149 =0,"",'Part V-Revenues &amp; Expenses'!$M$149)</f>
        <v>28</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28 units = </v>
      </c>
      <c r="I58" s="1573">
        <f>IF(F58="","",F58*G58)</f>
        <v>6821698.7999999989</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13"/>
      <c r="Q58" s="4214"/>
      <c r="R58" s="430"/>
      <c r="S58" s="4218" t="s">
        <v>3933</v>
      </c>
      <c r="T58" s="4219"/>
      <c r="U58" s="4219"/>
      <c r="V58" s="422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f>IF('Part V-Revenues &amp; Expenses'!$N$149 =0,"",'Part V-Revenues &amp; Expenses'!$N$149)</f>
        <v>9</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9 units = </v>
      </c>
      <c r="I59" s="1573">
        <f>IF(F59="","",F59*G59)</f>
        <v>2560555.8000000003</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15"/>
      <c r="Q59" s="4216"/>
      <c r="S59" s="4221"/>
      <c r="T59" s="4222"/>
      <c r="U59" s="4222"/>
      <c r="V59" s="422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196" t="s">
        <v>3163</v>
      </c>
      <c r="Q60" s="4196"/>
      <c r="S60" s="4221"/>
      <c r="T60" s="4222"/>
      <c r="U60" s="4222"/>
      <c r="V60" s="422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52</v>
      </c>
      <c r="G61" s="638"/>
      <c r="H61" s="1107"/>
      <c r="I61" s="1108">
        <f>SUM(I56:I60)</f>
        <v>12397623.6</v>
      </c>
      <c r="J61" s="1109"/>
      <c r="K61" s="1106">
        <f>SUM(K56:K60)</f>
        <v>0</v>
      </c>
      <c r="L61" s="1109"/>
      <c r="M61" s="1107"/>
      <c r="N61" s="1108">
        <f>SUM(N56:N60)</f>
        <v>0</v>
      </c>
      <c r="O61" s="578"/>
      <c r="P61" s="1114" t="s">
        <v>2891</v>
      </c>
      <c r="Q61" s="1114" t="s">
        <v>245</v>
      </c>
      <c r="R61" s="430"/>
      <c r="S61" s="4221"/>
      <c r="T61" s="4222"/>
      <c r="U61" s="4222"/>
      <c r="V61" s="422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1"/>
      <c r="T62" s="4222"/>
      <c r="U62" s="4222"/>
      <c r="V62" s="422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221"/>
      <c r="T63" s="4222"/>
      <c r="U63" s="4222"/>
      <c r="V63" s="422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3" t="str">
        <f>IF(F64="","",F64*G64)</f>
        <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196" t="s">
        <v>3164</v>
      </c>
      <c r="Q64" s="4196"/>
      <c r="S64" s="4221"/>
      <c r="T64" s="4222"/>
      <c r="U64" s="4222"/>
      <c r="V64" s="422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3" t="str">
        <f>IF(F65="","",F65*G65)</f>
        <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2891</v>
      </c>
      <c r="Q65" s="1114" t="s">
        <v>245</v>
      </c>
      <c r="S65" s="4221"/>
      <c r="T65" s="4222"/>
      <c r="U65" s="4222"/>
      <c r="V65" s="422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3" t="str">
        <f>IF(F66="","",F66*G66)</f>
        <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3</v>
      </c>
      <c r="Q66" s="1113">
        <f>'Part VIII Scoring Criteria'!P112</f>
        <v>3</v>
      </c>
      <c r="S66" s="4221"/>
      <c r="T66" s="4222"/>
      <c r="U66" s="4222"/>
      <c r="V66" s="422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230" t="s">
        <v>2493</v>
      </c>
      <c r="Q67" s="4230"/>
      <c r="S67" s="4221"/>
      <c r="T67" s="4222"/>
      <c r="U67" s="4222"/>
      <c r="V67" s="422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230"/>
      <c r="Q68" s="4230"/>
      <c r="S68" s="4221"/>
      <c r="T68" s="4222"/>
      <c r="U68" s="4222"/>
      <c r="V68" s="422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0"/>
      <c r="Q69" s="4230"/>
      <c r="R69" s="430"/>
      <c r="S69" s="4221"/>
      <c r="T69" s="4222"/>
      <c r="U69" s="4222"/>
      <c r="V69" s="422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231"/>
      <c r="Q70" s="4231"/>
      <c r="R70" s="430"/>
      <c r="S70" s="4224"/>
      <c r="T70" s="4225"/>
      <c r="U70" s="4225"/>
      <c r="V70" s="422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73" t="str">
        <f>IF(F71="","",F71*G71)</f>
        <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04">
        <f>IF(P58&gt;1,P58, IF(OR('Part VIII Scoring Criteria'!$O$112='Part VIII Scoring Criteria'!$M$112,AND('Part III-A-Uses of Funds'!$T$179="Yes",'Part VIII Scoring Criteria'!$O$377&gt;0)),H77+M77,H77))</f>
        <v>12397623.6</v>
      </c>
      <c r="Q71" s="4205"/>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3" t="str">
        <f>IF(F72="","",F72*G72)</f>
        <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06"/>
      <c r="Q72" s="4207"/>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227" t="s">
        <v>3449</v>
      </c>
      <c r="Q73" s="422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228"/>
      <c r="Q74" s="422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228"/>
      <c r="Q75" s="422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8"/>
      <c r="Q76" s="422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52</v>
      </c>
      <c r="G77" s="341"/>
      <c r="H77" s="4236">
        <f>I54+I61+I68+I75</f>
        <v>12397623.6</v>
      </c>
      <c r="I77" s="4236"/>
      <c r="J77" s="4236"/>
      <c r="K77" s="629">
        <f>K54+K61+K68+K75</f>
        <v>0</v>
      </c>
      <c r="L77" s="630"/>
      <c r="M77" s="4236">
        <f>N54+N61+N68+N75</f>
        <v>0</v>
      </c>
      <c r="N77" s="4236"/>
      <c r="O77" s="4236"/>
      <c r="P77" s="4228"/>
      <c r="Q77" s="422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229"/>
      <c r="Q78" s="4229"/>
      <c r="AE78" s="128"/>
      <c r="AF78" s="128"/>
    </row>
    <row r="79" spans="1:295" s="35" customFormat="1" ht="10.5" customHeight="1">
      <c r="A79" s="4000"/>
      <c r="B79" s="4001"/>
      <c r="C79" s="4001"/>
      <c r="D79" s="4001"/>
      <c r="E79" s="4001"/>
      <c r="F79" s="4001"/>
      <c r="G79" s="4001"/>
      <c r="H79" s="4001"/>
      <c r="I79" s="4001"/>
      <c r="J79" s="4002"/>
      <c r="K79" s="4004"/>
      <c r="L79" s="4005"/>
      <c r="M79" s="4005"/>
      <c r="N79" s="4005"/>
      <c r="O79" s="4005"/>
      <c r="P79" s="4005"/>
      <c r="Q79" s="4006"/>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zoomScale="130" zoomScaleNormal="130" workbookViewId="0">
      <selection activeCell="A338" sqref="A338"/>
    </sheetView>
  </sheetViews>
  <sheetFormatPr baseColWidth="10" defaultColWidth="9.1640625" defaultRowHeight="13"/>
  <cols>
    <col min="1" max="1" width="6" style="27" customWidth="1"/>
    <col min="2" max="2" width="3.5" style="27" customWidth="1"/>
    <col min="3" max="3" width="10.5" style="27" customWidth="1"/>
    <col min="4" max="4" width="10.1640625" style="27" customWidth="1"/>
    <col min="5" max="5" width="6.1640625" style="27" customWidth="1"/>
    <col min="6" max="6" width="9.1640625" style="27" customWidth="1"/>
    <col min="7" max="9" width="11.5" style="27" customWidth="1"/>
    <col min="10" max="10" width="9.1640625" style="27" customWidth="1"/>
    <col min="11" max="11" width="11.83203125" style="27" customWidth="1"/>
    <col min="12" max="12" width="14.83203125" style="27" customWidth="1"/>
    <col min="13" max="13" width="6.83203125" style="27" customWidth="1"/>
    <col min="14" max="14" width="2.83203125" style="75" customWidth="1"/>
    <col min="15" max="16" width="6.6640625" style="1202" customWidth="1"/>
    <col min="17" max="17" width="6" style="27" customWidth="1"/>
    <col min="18" max="21" width="9.1640625" style="27" customWidth="1"/>
    <col min="22" max="23" width="10" style="27" customWidth="1"/>
    <col min="24" max="16384" width="9.1640625" style="27"/>
  </cols>
  <sheetData>
    <row r="1" spans="1:25" s="35" customFormat="1" ht="14" customHeight="1">
      <c r="A1" s="3620" t="str">
        <f>CONCATENATE("PART EIGHT - SCORING CRITERIA","  -  ",'Part I-Project Identification'!$O$7," ",'Part I-Project Identification'!$F$29,", ",'Part I-Project Identification'!F30,", ",'Part I-Project Identification'!J30," County")</f>
        <v>PART EIGHT - SCORING CRITERIA  -  2022-0 Cave Spring Townhomes, Cave Spring, Floyd County</v>
      </c>
      <c r="B1" s="3621"/>
      <c r="C1" s="3621"/>
      <c r="D1" s="3621"/>
      <c r="E1" s="3621"/>
      <c r="F1" s="3621"/>
      <c r="G1" s="3621"/>
      <c r="H1" s="3621"/>
      <c r="I1" s="3621"/>
      <c r="J1" s="3621"/>
      <c r="K1" s="3621"/>
      <c r="L1" s="3621"/>
      <c r="M1" s="3621"/>
      <c r="N1" s="3621"/>
      <c r="O1" s="3621"/>
      <c r="P1" s="3622"/>
      <c r="Q1" s="4532" t="s">
        <v>6652</v>
      </c>
      <c r="R1" s="4532"/>
      <c r="S1" s="4532"/>
      <c r="T1" s="4532"/>
      <c r="U1" s="4532"/>
      <c r="V1" s="4532"/>
      <c r="W1" s="2662"/>
      <c r="X1" s="2601"/>
    </row>
    <row r="2" spans="1:25" s="35" customFormat="1" ht="4.25" customHeight="1">
      <c r="A2" s="36"/>
      <c r="B2" s="36"/>
      <c r="C2" s="37"/>
      <c r="D2" s="36"/>
      <c r="E2" s="36"/>
      <c r="F2" s="36"/>
      <c r="G2" s="36"/>
      <c r="H2" s="36"/>
      <c r="I2" s="36"/>
      <c r="J2" s="36"/>
      <c r="K2" s="36"/>
      <c r="L2" s="36"/>
      <c r="M2" s="38"/>
      <c r="N2" s="72"/>
      <c r="O2" s="1203"/>
      <c r="P2" s="1203"/>
      <c r="Q2" s="4532"/>
      <c r="R2" s="4532"/>
      <c r="S2" s="4532"/>
      <c r="T2" s="4532"/>
      <c r="U2" s="4532"/>
      <c r="V2" s="4532"/>
      <c r="W2" s="2662"/>
      <c r="X2" s="2601"/>
    </row>
    <row r="3" spans="1:25" s="42" customFormat="1" ht="12" customHeight="1">
      <c r="A3" s="4421" t="s">
        <v>6666</v>
      </c>
      <c r="B3" s="4421"/>
      <c r="C3" s="4421"/>
      <c r="D3" s="4421"/>
      <c r="E3" s="4421"/>
      <c r="F3" s="4421"/>
      <c r="G3" s="4421"/>
      <c r="H3" s="4421"/>
      <c r="I3" s="4421"/>
      <c r="J3" s="4421"/>
      <c r="K3" s="4421"/>
      <c r="L3" s="4421"/>
      <c r="M3" s="855"/>
      <c r="N3" s="73"/>
      <c r="O3" s="84" t="s">
        <v>2051</v>
      </c>
      <c r="P3" s="1171" t="s">
        <v>245</v>
      </c>
      <c r="Q3" s="4532"/>
      <c r="R3" s="4532"/>
      <c r="S3" s="4532"/>
      <c r="T3" s="4532"/>
      <c r="U3" s="4532"/>
      <c r="V3" s="4532"/>
      <c r="W3" s="2662"/>
      <c r="X3" s="2601"/>
    </row>
    <row r="4" spans="1:25" s="44" customFormat="1" ht="12" customHeight="1">
      <c r="A4" s="4421"/>
      <c r="B4" s="4421"/>
      <c r="C4" s="4421"/>
      <c r="D4" s="4421"/>
      <c r="E4" s="4421"/>
      <c r="F4" s="4421"/>
      <c r="G4" s="4421"/>
      <c r="H4" s="4421"/>
      <c r="I4" s="4421"/>
      <c r="J4" s="4421"/>
      <c r="K4" s="4421"/>
      <c r="L4" s="4421"/>
      <c r="M4" s="855"/>
      <c r="N4" s="85"/>
      <c r="O4" s="186" t="s">
        <v>2052</v>
      </c>
      <c r="P4" s="186" t="s">
        <v>2052</v>
      </c>
      <c r="Q4" s="4532"/>
      <c r="R4" s="4532"/>
      <c r="S4" s="4532"/>
      <c r="T4" s="4532"/>
      <c r="U4" s="4532"/>
      <c r="V4" s="4532"/>
    </row>
    <row r="5" spans="1:25" s="44" customFormat="1" ht="3" customHeight="1" thickBot="1">
      <c r="A5" s="42"/>
      <c r="B5" s="42"/>
      <c r="C5" s="42"/>
      <c r="D5" s="42"/>
      <c r="E5" s="42"/>
      <c r="F5" s="42"/>
      <c r="G5" s="42"/>
      <c r="H5" s="42"/>
      <c r="I5" s="42"/>
      <c r="J5" s="42"/>
      <c r="K5" s="42"/>
      <c r="M5" s="2133"/>
      <c r="N5" s="10"/>
      <c r="O5" s="872"/>
      <c r="P5" s="30"/>
      <c r="Q5" s="4532"/>
      <c r="R5" s="4532"/>
      <c r="S5" s="4532"/>
      <c r="T5" s="4532"/>
      <c r="U5" s="4532"/>
      <c r="V5" s="4532"/>
    </row>
    <row r="6" spans="1:25" s="44" customFormat="1" ht="13.5" customHeight="1" thickTop="1" thickBot="1">
      <c r="A6" s="42"/>
      <c r="B6" s="4451" t="str">
        <f>'Part I-Project Identification'!$A$6</f>
        <v>May 12 2022 Core Application</v>
      </c>
      <c r="C6" s="4451"/>
      <c r="D6" s="4451"/>
      <c r="E6" s="4451"/>
      <c r="F6" s="4451"/>
      <c r="G6" s="484"/>
      <c r="H6" s="42"/>
      <c r="I6" s="42"/>
      <c r="J6" s="42"/>
      <c r="L6" s="69" t="s">
        <v>1153</v>
      </c>
      <c r="M6" s="3"/>
      <c r="N6" s="9"/>
      <c r="O6" s="2099">
        <f>O441</f>
        <v>65</v>
      </c>
      <c r="P6" s="2099">
        <f>P441</f>
        <v>25</v>
      </c>
      <c r="Q6" s="2656" t="s">
        <v>6744</v>
      </c>
      <c r="R6" s="2653"/>
      <c r="S6" s="2653"/>
      <c r="T6" s="2653"/>
      <c r="U6" s="2653"/>
      <c r="V6" s="2653"/>
      <c r="W6" s="2653"/>
      <c r="X6" s="2653"/>
      <c r="Y6" s="2653"/>
    </row>
    <row r="7" spans="1:25" s="43" customFormat="1" ht="3.5"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6138</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6139</v>
      </c>
      <c r="D10" s="52"/>
      <c r="E10" s="52"/>
      <c r="F10" s="52"/>
      <c r="G10" s="66"/>
      <c r="H10" s="185" t="s">
        <v>3833</v>
      </c>
      <c r="I10" s="66"/>
      <c r="J10" s="66"/>
      <c r="K10" s="66"/>
      <c r="L10" s="66"/>
      <c r="M10" s="1497" t="s">
        <v>3832</v>
      </c>
      <c r="N10" s="66"/>
      <c r="O10" s="66"/>
      <c r="P10" s="1148">
        <f>IF(P12&lt;2,0,IF(AND(P12&gt;1,P12&lt;5),1,IF(P12&gt;4,P12-3)))</f>
        <v>0</v>
      </c>
      <c r="Q10" s="2653"/>
      <c r="R10" s="2653"/>
      <c r="S10" s="2653"/>
      <c r="T10" s="2653"/>
      <c r="U10" s="2653"/>
      <c r="V10" s="2653"/>
      <c r="W10" s="2653"/>
      <c r="X10" s="2653"/>
      <c r="Y10" s="2653"/>
    </row>
    <row r="11" spans="1:25" s="43" customFormat="1" ht="3.5"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3393</v>
      </c>
      <c r="B12" s="1519" t="s">
        <v>3394</v>
      </c>
      <c r="C12" s="1195"/>
      <c r="D12" s="1195"/>
      <c r="E12" s="952" t="s">
        <v>3401</v>
      </c>
      <c r="F12" s="4448" t="s">
        <v>6498</v>
      </c>
      <c r="G12" s="4448"/>
      <c r="H12" s="4448"/>
      <c r="I12" s="4448"/>
      <c r="J12" s="4448"/>
      <c r="K12" s="4448"/>
      <c r="L12" s="4448"/>
      <c r="M12" s="4448"/>
      <c r="N12" s="4448"/>
      <c r="O12" s="1520" t="s">
        <v>3812</v>
      </c>
      <c r="P12" s="1521">
        <f>SUM(P13:P31)</f>
        <v>0</v>
      </c>
      <c r="Q12" s="4531" t="s">
        <v>6550</v>
      </c>
      <c r="R12" s="4531"/>
      <c r="S12" s="4531"/>
      <c r="T12" s="4531"/>
      <c r="U12" s="4531"/>
      <c r="V12" s="1495"/>
    </row>
    <row r="13" spans="1:25" s="42" customFormat="1" ht="10.5" customHeight="1">
      <c r="A13" s="1183" t="s">
        <v>1669</v>
      </c>
      <c r="B13" s="1180" t="s">
        <v>3395</v>
      </c>
      <c r="C13" s="1181"/>
      <c r="D13" s="1182"/>
      <c r="E13" s="1514">
        <f>$O$102</f>
        <v>20</v>
      </c>
      <c r="F13" s="4449" t="str">
        <f>$A$108</f>
        <v xml:space="preserve">The desirables have been measured from Site entrance on Fincher Street/Stewart Circle. All desirables are less than 1 mile from the site entrance, to include: Dollar General, KC's Supermarket, Local Joes, Cave Spring Medical Center, J &amp; J Pharmacy, Reach for the Stars Daycare, Cave Spring Elementary School, a town square, Cave Spring Community Center, Rolater Park, Cave Spring Library, Cave Spring Fire Department, United Community Bank, First Baptist Church, and United States Postal Service. The subject property is not located in a USDA Food Desert. </v>
      </c>
      <c r="G13" s="4450"/>
      <c r="H13" s="4450"/>
      <c r="I13" s="4450"/>
      <c r="J13" s="4450"/>
      <c r="K13" s="4450"/>
      <c r="L13" s="4450"/>
      <c r="M13" s="4450"/>
      <c r="N13" s="4450"/>
      <c r="O13" s="4450"/>
      <c r="P13" s="1527"/>
      <c r="Q13" s="4531"/>
      <c r="R13" s="4531"/>
      <c r="S13" s="4531"/>
      <c r="T13" s="4531"/>
      <c r="U13" s="4531"/>
      <c r="V13" s="1495"/>
    </row>
    <row r="14" spans="1:25" s="42" customFormat="1" ht="10.5" customHeight="1">
      <c r="A14" s="1183" t="s">
        <v>496</v>
      </c>
      <c r="B14" s="953" t="s">
        <v>4040</v>
      </c>
      <c r="C14" s="1102"/>
      <c r="D14" s="1184"/>
      <c r="E14" s="2329">
        <f>$O$112</f>
        <v>3</v>
      </c>
      <c r="F14" s="4442" t="str">
        <f>$A$146</f>
        <v>N/A</v>
      </c>
      <c r="G14" s="4443"/>
      <c r="H14" s="4443"/>
      <c r="I14" s="4443"/>
      <c r="J14" s="4443"/>
      <c r="K14" s="4443"/>
      <c r="L14" s="4443"/>
      <c r="M14" s="4443"/>
      <c r="N14" s="4443"/>
      <c r="O14" s="4444"/>
      <c r="P14" s="1528"/>
      <c r="Q14" s="4531"/>
      <c r="R14" s="4531"/>
      <c r="S14" s="4531"/>
      <c r="T14" s="4531"/>
      <c r="U14" s="4531"/>
    </row>
    <row r="15" spans="1:25" s="42" customFormat="1" ht="10.5" customHeight="1">
      <c r="A15" s="1183" t="s">
        <v>720</v>
      </c>
      <c r="B15" s="953" t="s">
        <v>3340</v>
      </c>
      <c r="C15" s="1102"/>
      <c r="D15" s="1184"/>
      <c r="E15" s="2329">
        <f>$O$151</f>
        <v>0</v>
      </c>
      <c r="F15" s="4442" t="str">
        <f>$A$164</f>
        <v>N/A</v>
      </c>
      <c r="G15" s="4443"/>
      <c r="H15" s="4443"/>
      <c r="I15" s="4443"/>
      <c r="J15" s="4443"/>
      <c r="K15" s="4443"/>
      <c r="L15" s="4443"/>
      <c r="M15" s="4443"/>
      <c r="N15" s="4443"/>
      <c r="O15" s="4444"/>
      <c r="P15" s="1528"/>
      <c r="Q15" s="3295"/>
      <c r="R15" s="3295"/>
      <c r="S15" s="3295"/>
      <c r="T15" s="3295"/>
      <c r="U15" s="3295"/>
    </row>
    <row r="16" spans="1:25" s="42" customFormat="1" ht="10.5" customHeight="1">
      <c r="A16" s="2096" t="s">
        <v>280</v>
      </c>
      <c r="B16" s="953" t="s">
        <v>3396</v>
      </c>
      <c r="C16" s="1102"/>
      <c r="D16" s="1184"/>
      <c r="E16" s="1516">
        <f>$O$168</f>
        <v>0</v>
      </c>
      <c r="F16" s="4442" t="str">
        <f>$A$185</f>
        <v>N/A</v>
      </c>
      <c r="G16" s="4443"/>
      <c r="H16" s="4443"/>
      <c r="I16" s="4443"/>
      <c r="J16" s="4443"/>
      <c r="K16" s="4443"/>
      <c r="L16" s="4443"/>
      <c r="M16" s="4443"/>
      <c r="N16" s="4443"/>
      <c r="O16" s="4444"/>
      <c r="P16" s="1528"/>
      <c r="Q16" s="3295"/>
      <c r="R16" s="3295"/>
      <c r="S16" s="3295"/>
      <c r="T16" s="3295"/>
      <c r="U16" s="3295"/>
    </row>
    <row r="17" spans="1:35" s="42" customFormat="1" ht="10.5" customHeight="1">
      <c r="A17" s="1183" t="s">
        <v>401</v>
      </c>
      <c r="B17" s="1190" t="s">
        <v>3397</v>
      </c>
      <c r="C17" s="1191"/>
      <c r="D17" s="1192"/>
      <c r="E17" s="1517" t="s">
        <v>1611</v>
      </c>
      <c r="F17" s="4452" t="str">
        <f>$A$200</f>
        <v>N/A</v>
      </c>
      <c r="G17" s="4453"/>
      <c r="H17" s="4453"/>
      <c r="I17" s="4453"/>
      <c r="J17" s="4453"/>
      <c r="K17" s="4453"/>
      <c r="L17" s="4453"/>
      <c r="M17" s="4453"/>
      <c r="N17" s="4453"/>
      <c r="O17" s="4454"/>
      <c r="P17" s="1528"/>
      <c r="Q17" s="3295"/>
      <c r="R17" s="3295"/>
      <c r="S17" s="3295"/>
      <c r="T17" s="3295"/>
      <c r="U17" s="3295"/>
    </row>
    <row r="18" spans="1:35" s="42" customFormat="1" ht="10.5" customHeight="1">
      <c r="A18" s="1183" t="s">
        <v>342</v>
      </c>
      <c r="B18" s="953" t="s">
        <v>4041</v>
      </c>
      <c r="C18" s="1102"/>
      <c r="D18" s="1184"/>
      <c r="E18" s="1515">
        <f>$O$204</f>
        <v>4</v>
      </c>
      <c r="F18" s="4442" t="str">
        <f>$A$219</f>
        <v>Tract Income Level is identified as Middle. Site is located in tract 20.0 which is 18.42% below poverty level. Health insurance coverage rate indicator scored above 60th percentile according to the 2019 dataset.</v>
      </c>
      <c r="G18" s="4443"/>
      <c r="H18" s="4443"/>
      <c r="I18" s="4443"/>
      <c r="J18" s="4443"/>
      <c r="K18" s="4443"/>
      <c r="L18" s="4443"/>
      <c r="M18" s="4443"/>
      <c r="N18" s="4443"/>
      <c r="O18" s="4444"/>
      <c r="P18" s="1528"/>
      <c r="Q18" s="4498" t="str">
        <f>IF(OR($A$108="",$A$146="",$A$164="",$A$185="",$A$200="",$A$219="",$A$237="",$A$247="",$A$256="",$A$280="",$A$305="",$A$313="",$A$337="",$A$373="",$A$392="",$A$413="",$A$419="",$A$429="",$A$437=""),"Some Applicant Scoring Justification boxes are empty! Check to see if points claimed.","")</f>
        <v/>
      </c>
      <c r="R18" s="4499"/>
      <c r="S18" s="4499"/>
    </row>
    <row r="19" spans="1:35" s="42" customFormat="1" ht="10.5" customHeight="1">
      <c r="A19" s="1183" t="s">
        <v>4043</v>
      </c>
      <c r="B19" s="953" t="s">
        <v>3263</v>
      </c>
      <c r="C19" s="1102"/>
      <c r="D19" s="1184"/>
      <c r="E19" s="1515">
        <f>$O$232</f>
        <v>0</v>
      </c>
      <c r="F19" s="4442" t="str">
        <f>$A$237</f>
        <v>N/A</v>
      </c>
      <c r="G19" s="4443"/>
      <c r="H19" s="4443"/>
      <c r="I19" s="4443"/>
      <c r="J19" s="4443"/>
      <c r="K19" s="4443"/>
      <c r="L19" s="4443"/>
      <c r="M19" s="4443"/>
      <c r="N19" s="4443"/>
      <c r="O19" s="4444"/>
      <c r="P19" s="1528"/>
      <c r="Q19" s="4498"/>
      <c r="R19" s="4499"/>
      <c r="S19" s="4499"/>
    </row>
    <row r="20" spans="1:35" s="42" customFormat="1" ht="10.5" customHeight="1">
      <c r="A20" s="1183" t="s">
        <v>4055</v>
      </c>
      <c r="B20" s="953" t="s">
        <v>4044</v>
      </c>
      <c r="C20" s="1102"/>
      <c r="D20" s="1184"/>
      <c r="E20" s="1517">
        <f>$O$241</f>
        <v>0</v>
      </c>
      <c r="F20" s="4442" t="str">
        <f>$A$247</f>
        <v>N/A</v>
      </c>
      <c r="G20" s="4443"/>
      <c r="H20" s="4443"/>
      <c r="I20" s="4443"/>
      <c r="J20" s="4443"/>
      <c r="K20" s="4443"/>
      <c r="L20" s="4443"/>
      <c r="M20" s="4443"/>
      <c r="N20" s="4443"/>
      <c r="O20" s="4444"/>
      <c r="P20" s="1528"/>
      <c r="Q20" s="4498"/>
      <c r="R20" s="4499"/>
      <c r="S20" s="4499"/>
    </row>
    <row r="21" spans="1:35" s="42" customFormat="1" ht="10.5" customHeight="1">
      <c r="A21" s="1189" t="s">
        <v>6247</v>
      </c>
      <c r="B21" s="1190" t="s">
        <v>4045</v>
      </c>
      <c r="C21" s="1191"/>
      <c r="D21" s="1192"/>
      <c r="E21" s="1518">
        <f>$O$251</f>
        <v>5</v>
      </c>
      <c r="F21" s="4452" t="str">
        <f>$A$256</f>
        <v>There have never been 9% credits awarded in the local government boundary of Cave Spring.</v>
      </c>
      <c r="G21" s="4453"/>
      <c r="H21" s="4453"/>
      <c r="I21" s="4453"/>
      <c r="J21" s="4453"/>
      <c r="K21" s="4453"/>
      <c r="L21" s="4453"/>
      <c r="M21" s="4453"/>
      <c r="N21" s="4453"/>
      <c r="O21" s="4454"/>
      <c r="P21" s="1528"/>
      <c r="Q21" s="4498"/>
      <c r="R21" s="4499"/>
      <c r="S21" s="4499"/>
    </row>
    <row r="22" spans="1:35" s="42" customFormat="1" ht="10.5" customHeight="1">
      <c r="A22" s="1183" t="s">
        <v>6644</v>
      </c>
      <c r="B22" s="953" t="s">
        <v>6554</v>
      </c>
      <c r="C22" s="1102"/>
      <c r="D22" s="1184"/>
      <c r="E22" s="1515">
        <f>$O$273</f>
        <v>0</v>
      </c>
      <c r="F22" s="4442" t="str">
        <f>$A$280</f>
        <v>Site is not located in Atlanta metro pool.</v>
      </c>
      <c r="G22" s="4443"/>
      <c r="H22" s="4443"/>
      <c r="I22" s="4443"/>
      <c r="J22" s="4443"/>
      <c r="K22" s="4443"/>
      <c r="L22" s="4443"/>
      <c r="M22" s="4443"/>
      <c r="N22" s="4443"/>
      <c r="O22" s="4444"/>
      <c r="P22" s="1528"/>
      <c r="Q22" s="4498"/>
      <c r="R22" s="4499"/>
      <c r="S22" s="4499"/>
    </row>
    <row r="23" spans="1:35" s="42" customFormat="1" ht="10.5" customHeight="1">
      <c r="A23" s="1183" t="s">
        <v>6646</v>
      </c>
      <c r="B23" s="953" t="s">
        <v>6645</v>
      </c>
      <c r="C23" s="1102"/>
      <c r="D23" s="1184"/>
      <c r="E23" s="1515">
        <f>$O$284</f>
        <v>0</v>
      </c>
      <c r="F23" s="4442" t="str">
        <f>$A$305</f>
        <v>N/A</v>
      </c>
      <c r="G23" s="4443"/>
      <c r="H23" s="4443"/>
      <c r="I23" s="4443"/>
      <c r="J23" s="4443"/>
      <c r="K23" s="4443"/>
      <c r="L23" s="4443"/>
      <c r="M23" s="4443"/>
      <c r="N23" s="4443"/>
      <c r="O23" s="4444"/>
      <c r="P23" s="1528"/>
      <c r="Q23" s="4498"/>
      <c r="R23" s="4499"/>
      <c r="S23" s="4499"/>
    </row>
    <row r="24" spans="1:35" s="42" customFormat="1" ht="10.5" customHeight="1">
      <c r="A24" s="2096" t="s">
        <v>3370</v>
      </c>
      <c r="B24" s="2534" t="s">
        <v>6560</v>
      </c>
      <c r="C24" s="2535"/>
      <c r="D24" s="2536"/>
      <c r="E24" s="1516">
        <f>$O$309</f>
        <v>2</v>
      </c>
      <c r="F24" s="4492" t="str">
        <f>$A$313</f>
        <v>Northwest Georgia Housing Authority received its CORES-certified designation on May 24, 2022. The approval letter is in the Enriched Property Services folder.</v>
      </c>
      <c r="G24" s="4493"/>
      <c r="H24" s="4493"/>
      <c r="I24" s="4493"/>
      <c r="J24" s="4493"/>
      <c r="K24" s="4493"/>
      <c r="L24" s="4493"/>
      <c r="M24" s="4493"/>
      <c r="N24" s="4493"/>
      <c r="O24" s="4494"/>
      <c r="P24" s="1528"/>
      <c r="Q24" s="4498"/>
      <c r="R24" s="4499"/>
      <c r="S24" s="4499"/>
    </row>
    <row r="25" spans="1:35" s="42" customFormat="1" ht="10.5" customHeight="1">
      <c r="A25" s="1183" t="s">
        <v>3374</v>
      </c>
      <c r="B25" s="953" t="s">
        <v>3398</v>
      </c>
      <c r="C25" s="1102"/>
      <c r="D25" s="1184"/>
      <c r="E25" s="1515">
        <f>$O$333</f>
        <v>0</v>
      </c>
      <c r="F25" s="4442" t="str">
        <f>$A$337</f>
        <v>N/A</v>
      </c>
      <c r="G25" s="4443"/>
      <c r="H25" s="4443"/>
      <c r="I25" s="4443"/>
      <c r="J25" s="4443"/>
      <c r="K25" s="4443"/>
      <c r="L25" s="4443"/>
      <c r="M25" s="4443"/>
      <c r="N25" s="4443"/>
      <c r="O25" s="4444"/>
      <c r="P25" s="1528"/>
      <c r="Q25" s="4498"/>
      <c r="R25" s="4499"/>
      <c r="S25" s="4499"/>
    </row>
    <row r="26" spans="1:35" s="42" customFormat="1" ht="10.5" customHeight="1">
      <c r="A26" s="1183" t="s">
        <v>3377</v>
      </c>
      <c r="B26" s="953" t="s">
        <v>3399</v>
      </c>
      <c r="C26" s="1102"/>
      <c r="D26" s="1184"/>
      <c r="E26" s="1515">
        <f>$O$341</f>
        <v>1</v>
      </c>
      <c r="F26" s="4442" t="str">
        <f>$A$373</f>
        <v>Cave Spring NWGHA 2022, LP will execute a 75-year ground lease at receipt of tax credit award. Documents are in Site Control folder.</v>
      </c>
      <c r="G26" s="4443"/>
      <c r="H26" s="4443"/>
      <c r="I26" s="4443"/>
      <c r="J26" s="4443"/>
      <c r="K26" s="4443"/>
      <c r="L26" s="4443"/>
      <c r="M26" s="4443"/>
      <c r="N26" s="4443"/>
      <c r="O26" s="4444"/>
      <c r="P26" s="1528"/>
      <c r="Q26" s="4498"/>
      <c r="R26" s="4499"/>
      <c r="S26" s="4499"/>
    </row>
    <row r="27" spans="1:35" s="42" customFormat="1" ht="10.5" customHeight="1">
      <c r="A27" s="1183" t="s">
        <v>3378</v>
      </c>
      <c r="B27" s="953" t="s">
        <v>3400</v>
      </c>
      <c r="C27" s="1102"/>
      <c r="D27" s="1184"/>
      <c r="E27" s="1517">
        <f>$O$377</f>
        <v>0</v>
      </c>
      <c r="F27" s="4442" t="str">
        <f>$A$392</f>
        <v>Project not eligible.</v>
      </c>
      <c r="G27" s="4443"/>
      <c r="H27" s="4443"/>
      <c r="I27" s="4443"/>
      <c r="J27" s="4443"/>
      <c r="K27" s="4443"/>
      <c r="L27" s="4443"/>
      <c r="M27" s="4443"/>
      <c r="N27" s="4443"/>
      <c r="O27" s="4444"/>
      <c r="P27" s="1528"/>
      <c r="Q27" s="2652"/>
      <c r="R27" s="2128"/>
      <c r="S27" s="2128"/>
      <c r="AA27" s="4"/>
      <c r="AB27" s="4"/>
      <c r="AC27" s="4"/>
      <c r="AD27" s="4"/>
      <c r="AE27" s="4"/>
      <c r="AF27" s="4"/>
    </row>
    <row r="28" spans="1:35" s="42" customFormat="1" ht="10.5" customHeight="1">
      <c r="A28" s="1185" t="s">
        <v>3380</v>
      </c>
      <c r="B28" s="1186" t="s">
        <v>6643</v>
      </c>
      <c r="C28" s="1187"/>
      <c r="D28" s="1188"/>
      <c r="E28" s="2116">
        <f>$O$404</f>
        <v>3</v>
      </c>
      <c r="F28" s="4445" t="str">
        <f>$A$413</f>
        <v>Applicant has a tenant selection preference as identified in the Integrated Supportive Housing folder. Applicant is seeking points in Prior Performance and Applicant has a controlling interest in the General Partnership. Past performance projects with Section 811 PBRA commitments are 2018-045, 2019-504, and 2020-082.</v>
      </c>
      <c r="G28" s="4446"/>
      <c r="H28" s="4446"/>
      <c r="I28" s="4446"/>
      <c r="J28" s="4446"/>
      <c r="K28" s="4446"/>
      <c r="L28" s="4446"/>
      <c r="M28" s="4446"/>
      <c r="N28" s="4446"/>
      <c r="O28" s="4447"/>
      <c r="P28" s="1529"/>
      <c r="Q28" s="2652"/>
      <c r="R28" s="2128"/>
      <c r="S28" s="2128"/>
      <c r="X28" s="4"/>
      <c r="Y28" s="4"/>
      <c r="Z28" s="4"/>
      <c r="AA28" s="4"/>
      <c r="AB28" s="4"/>
      <c r="AC28" s="4"/>
      <c r="AD28" s="4"/>
      <c r="AE28" s="4"/>
      <c r="AF28" s="4"/>
      <c r="AG28" s="4"/>
      <c r="AH28" s="4"/>
      <c r="AI28" s="4"/>
    </row>
    <row r="29" spans="1:35" s="42" customFormat="1" ht="10.5" customHeight="1">
      <c r="A29" s="1183" t="s">
        <v>3381</v>
      </c>
      <c r="B29" s="953" t="s">
        <v>6135</v>
      </c>
      <c r="C29" s="1102"/>
      <c r="D29" s="1184"/>
      <c r="E29" s="1515">
        <f>$O$417</f>
        <v>0</v>
      </c>
      <c r="F29" s="4442" t="str">
        <f>$A$419</f>
        <v>Not eligible - new construction</v>
      </c>
      <c r="G29" s="4443"/>
      <c r="H29" s="4443"/>
      <c r="I29" s="4443"/>
      <c r="J29" s="4443"/>
      <c r="K29" s="4443"/>
      <c r="L29" s="4443"/>
      <c r="M29" s="4443"/>
      <c r="N29" s="4443"/>
      <c r="O29" s="4444"/>
      <c r="P29" s="1528"/>
      <c r="Q29" s="2652"/>
      <c r="R29" s="2128"/>
      <c r="S29" s="2128"/>
    </row>
    <row r="30" spans="1:35" s="42" customFormat="1" ht="10.5" customHeight="1">
      <c r="A30" s="1183" t="s">
        <v>3805</v>
      </c>
      <c r="B30" s="953" t="s">
        <v>6558</v>
      </c>
      <c r="C30" s="1102"/>
      <c r="D30" s="1184"/>
      <c r="E30" s="1515">
        <f>$O$427</f>
        <v>0</v>
      </c>
      <c r="F30" s="4442" t="str">
        <f>$A$429</f>
        <v>Not eligible - new construction</v>
      </c>
      <c r="G30" s="4443"/>
      <c r="H30" s="4443"/>
      <c r="I30" s="4443"/>
      <c r="J30" s="4443"/>
      <c r="K30" s="4443"/>
      <c r="L30" s="4443"/>
      <c r="M30" s="4443"/>
      <c r="N30" s="4443"/>
      <c r="O30" s="4444"/>
      <c r="P30" s="1528"/>
      <c r="Q30" s="2652"/>
      <c r="R30" s="2128"/>
      <c r="S30" s="2128"/>
      <c r="AA30" s="3958" t="s">
        <v>6568</v>
      </c>
      <c r="AB30" s="3958"/>
      <c r="AC30" s="3958"/>
      <c r="AD30" s="3958"/>
      <c r="AE30" s="3958"/>
      <c r="AF30" s="3958"/>
    </row>
    <row r="31" spans="1:35" s="42" customFormat="1" ht="10.5" customHeight="1">
      <c r="A31" s="1185" t="s">
        <v>6561</v>
      </c>
      <c r="B31" s="1186" t="s">
        <v>6559</v>
      </c>
      <c r="C31" s="1187"/>
      <c r="D31" s="1188"/>
      <c r="E31" s="2116">
        <f>$O$433</f>
        <v>0</v>
      </c>
      <c r="F31" s="4445" t="str">
        <f>$A$437</f>
        <v>Not eligible - new construction</v>
      </c>
      <c r="G31" s="4446"/>
      <c r="H31" s="4446"/>
      <c r="I31" s="4446"/>
      <c r="J31" s="4446"/>
      <c r="K31" s="4446"/>
      <c r="L31" s="4446"/>
      <c r="M31" s="4446"/>
      <c r="N31" s="4446"/>
      <c r="O31" s="4447"/>
      <c r="P31" s="1529"/>
      <c r="Q31" s="2652"/>
      <c r="R31" s="2128"/>
      <c r="S31" s="2128"/>
      <c r="X31" s="3958" t="s">
        <v>6569</v>
      </c>
      <c r="Y31" s="3958"/>
      <c r="Z31" s="3958"/>
      <c r="AA31" s="3958"/>
      <c r="AB31" s="3958"/>
      <c r="AC31" s="3958"/>
      <c r="AD31" s="3958" t="s">
        <v>6570</v>
      </c>
      <c r="AE31" s="3958"/>
      <c r="AF31" s="3958"/>
      <c r="AG31" s="3958"/>
      <c r="AH31" s="3958"/>
      <c r="AI31" s="3958"/>
    </row>
    <row r="32" spans="1:35" s="160" customFormat="1" ht="5.25" customHeight="1">
      <c r="C32" s="90"/>
      <c r="D32" s="90"/>
      <c r="E32" s="90"/>
      <c r="F32" s="90"/>
      <c r="G32" s="1920"/>
      <c r="H32" s="1968"/>
      <c r="I32" s="1968"/>
      <c r="J32" s="1968"/>
      <c r="K32" s="1968"/>
    </row>
    <row r="33" spans="1:46" s="160" customFormat="1" ht="12.75" customHeight="1">
      <c r="A33" s="154" t="s">
        <v>689</v>
      </c>
      <c r="B33" s="107" t="s">
        <v>6140</v>
      </c>
      <c r="C33" s="103"/>
      <c r="D33" s="90"/>
      <c r="E33" s="90"/>
      <c r="F33" s="90"/>
      <c r="G33" s="4503" t="s">
        <v>6128</v>
      </c>
      <c r="H33" s="4503"/>
      <c r="I33" s="4500" t="s">
        <v>6508</v>
      </c>
      <c r="J33" s="4501"/>
      <c r="K33" s="4501"/>
      <c r="L33" s="4502"/>
      <c r="M33" s="4455" t="s">
        <v>6141</v>
      </c>
      <c r="N33" s="4455"/>
      <c r="O33" s="4455"/>
      <c r="P33" s="4455"/>
      <c r="Q33" s="1972"/>
      <c r="R33" s="1972"/>
      <c r="S33" s="107" t="s">
        <v>6140</v>
      </c>
      <c r="T33" s="1972"/>
      <c r="U33" s="1972"/>
      <c r="V33" s="1972"/>
      <c r="X33" s="4486" t="s">
        <v>6128</v>
      </c>
      <c r="Y33" s="4488"/>
      <c r="Z33" s="4486" t="s">
        <v>6508</v>
      </c>
      <c r="AA33" s="4487"/>
      <c r="AB33" s="4487"/>
      <c r="AC33" s="4488"/>
      <c r="AD33" s="4495" t="s">
        <v>6128</v>
      </c>
      <c r="AE33" s="4496"/>
      <c r="AF33" s="4497" t="s">
        <v>6508</v>
      </c>
      <c r="AG33" s="4495"/>
      <c r="AH33" s="4495"/>
      <c r="AI33" s="4496"/>
    </row>
    <row r="34" spans="1:46" s="160" customFormat="1" ht="11.25" customHeight="1">
      <c r="A34" s="457"/>
      <c r="B34" s="2265"/>
      <c r="C34" s="442"/>
      <c r="D34" s="442"/>
      <c r="E34" s="442"/>
      <c r="F34" s="442"/>
      <c r="G34" s="2266">
        <v>0.09</v>
      </c>
      <c r="H34" s="2266">
        <v>0.04</v>
      </c>
      <c r="I34" s="2266">
        <v>0.04</v>
      </c>
      <c r="J34" s="2266" t="s">
        <v>6551</v>
      </c>
      <c r="K34" s="2266" t="s">
        <v>6552</v>
      </c>
      <c r="L34" s="2266" t="s">
        <v>6553</v>
      </c>
      <c r="M34" s="4489" t="str">
        <f>'Part I-Project Identification'!F12</f>
        <v>9% Credit Competitive Round only</v>
      </c>
      <c r="N34" s="4490"/>
      <c r="O34" s="4490"/>
      <c r="P34" s="4491"/>
      <c r="Q34" s="1972"/>
      <c r="R34" s="457"/>
      <c r="S34" s="2265"/>
      <c r="T34" s="442"/>
      <c r="U34" s="442"/>
      <c r="V34" s="442"/>
      <c r="W34" s="442"/>
      <c r="X34" s="2266">
        <v>0.09</v>
      </c>
      <c r="Y34" s="2266">
        <v>0.04</v>
      </c>
      <c r="Z34" s="2266">
        <v>0.04</v>
      </c>
      <c r="AA34" s="2266" t="s">
        <v>6551</v>
      </c>
      <c r="AB34" s="2266" t="s">
        <v>6552</v>
      </c>
      <c r="AC34" s="2266" t="s">
        <v>6553</v>
      </c>
      <c r="AD34" s="2266">
        <v>0.09</v>
      </c>
      <c r="AE34" s="2266">
        <v>0.04</v>
      </c>
      <c r="AF34" s="2266">
        <v>0.04</v>
      </c>
      <c r="AG34" s="2266" t="s">
        <v>6551</v>
      </c>
      <c r="AH34" s="2266" t="s">
        <v>6552</v>
      </c>
      <c r="AI34" s="2266" t="s">
        <v>6553</v>
      </c>
    </row>
    <row r="35" spans="1:46" s="160" customFormat="1" ht="10.5" customHeight="1">
      <c r="A35" s="2409" t="s">
        <v>691</v>
      </c>
      <c r="B35" s="2267" t="s">
        <v>6129</v>
      </c>
      <c r="C35" s="2268"/>
      <c r="D35" s="2269"/>
      <c r="E35" s="2269"/>
      <c r="F35" s="2269"/>
      <c r="G35" s="2270">
        <v>10</v>
      </c>
      <c r="H35" s="2271">
        <v>10</v>
      </c>
      <c r="I35" s="2271">
        <v>10</v>
      </c>
      <c r="J35" s="2270">
        <v>10</v>
      </c>
      <c r="K35" s="2272">
        <v>10</v>
      </c>
      <c r="L35" s="2272">
        <v>10</v>
      </c>
      <c r="Q35" s="1969"/>
      <c r="R35" s="2409" t="s">
        <v>691</v>
      </c>
      <c r="S35" s="2267" t="s">
        <v>6129</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6130</v>
      </c>
      <c r="C36" s="2274"/>
      <c r="D36" s="2275"/>
      <c r="E36" s="2275"/>
      <c r="F36" s="2275"/>
      <c r="G36" s="2276">
        <v>3</v>
      </c>
      <c r="H36" s="2277">
        <v>3</v>
      </c>
      <c r="I36" s="2277"/>
      <c r="J36" s="2276"/>
      <c r="K36" s="2278"/>
      <c r="L36" s="2278"/>
      <c r="M36" s="2654" t="s">
        <v>6142</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6130</v>
      </c>
      <c r="T36" s="2468"/>
      <c r="U36" s="2469"/>
      <c r="V36" s="2469"/>
      <c r="W36" s="2469"/>
      <c r="X36" s="2332">
        <f>O88</f>
        <v>3</v>
      </c>
      <c r="Y36" s="2345">
        <f>O88</f>
        <v>3</v>
      </c>
      <c r="Z36" s="2344">
        <f>O88</f>
        <v>3</v>
      </c>
      <c r="AA36" s="2403"/>
      <c r="AB36" s="2404">
        <f>O88</f>
        <v>3</v>
      </c>
      <c r="AC36" s="2405">
        <f>O88</f>
        <v>3</v>
      </c>
      <c r="AD36" s="2336">
        <f>P88</f>
        <v>0</v>
      </c>
      <c r="AE36" s="2340">
        <f>P88</f>
        <v>0</v>
      </c>
      <c r="AF36" s="2332">
        <f>P88</f>
        <v>0</v>
      </c>
      <c r="AG36" s="2477"/>
      <c r="AH36" s="2478">
        <f>P88</f>
        <v>0</v>
      </c>
      <c r="AI36" s="2340">
        <f>P88</f>
        <v>0</v>
      </c>
    </row>
    <row r="37" spans="1:46" s="160" customFormat="1" ht="10.5" customHeight="1">
      <c r="A37" s="2409" t="s">
        <v>1669</v>
      </c>
      <c r="B37" s="2273" t="s">
        <v>3395</v>
      </c>
      <c r="C37" s="2274"/>
      <c r="D37" s="2275"/>
      <c r="E37" s="2275"/>
      <c r="F37" s="2275"/>
      <c r="G37" s="2276">
        <v>20</v>
      </c>
      <c r="H37" s="2277">
        <v>12</v>
      </c>
      <c r="I37" s="2277"/>
      <c r="J37" s="2276"/>
      <c r="K37" s="2278"/>
      <c r="L37" s="2278"/>
      <c r="Q37" s="1969"/>
      <c r="R37" s="2409" t="s">
        <v>1669</v>
      </c>
      <c r="S37" s="2273" t="s">
        <v>3395</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4040</v>
      </c>
      <c r="C38" s="2274"/>
      <c r="D38" s="2275"/>
      <c r="E38" s="2275"/>
      <c r="F38" s="2275"/>
      <c r="G38" s="2276">
        <v>6</v>
      </c>
      <c r="H38" s="2277">
        <v>4</v>
      </c>
      <c r="I38" s="2277"/>
      <c r="J38" s="2276"/>
      <c r="K38" s="2278"/>
      <c r="L38" s="2278"/>
      <c r="Q38" s="1969"/>
      <c r="R38" s="2409" t="s">
        <v>496</v>
      </c>
      <c r="S38" s="2273" t="s">
        <v>4040</v>
      </c>
      <c r="T38" s="2468"/>
      <c r="U38" s="2469"/>
      <c r="V38" s="2469"/>
      <c r="W38" s="2469"/>
      <c r="X38" s="2333">
        <f>O112</f>
        <v>3</v>
      </c>
      <c r="Y38" s="2347">
        <f>O112</f>
        <v>3</v>
      </c>
      <c r="Z38" s="2348"/>
      <c r="AA38" s="2403"/>
      <c r="AB38" s="2403"/>
      <c r="AC38" s="2406"/>
      <c r="AD38" s="2337">
        <f>P112</f>
        <v>3</v>
      </c>
      <c r="AE38" s="2341">
        <f>P112</f>
        <v>3</v>
      </c>
      <c r="AF38" s="2276"/>
      <c r="AG38" s="2477"/>
      <c r="AH38" s="2477"/>
      <c r="AI38" s="2277"/>
    </row>
    <row r="39" spans="1:46" s="160" customFormat="1" ht="10.5" customHeight="1">
      <c r="A39" s="2409" t="s">
        <v>720</v>
      </c>
      <c r="B39" s="2273" t="s">
        <v>3340</v>
      </c>
      <c r="C39" s="2274"/>
      <c r="D39" s="2275"/>
      <c r="E39" s="2275"/>
      <c r="F39" s="2275"/>
      <c r="G39" s="2276">
        <v>3</v>
      </c>
      <c r="H39" s="2277">
        <v>2</v>
      </c>
      <c r="I39" s="2277"/>
      <c r="J39" s="2276"/>
      <c r="K39" s="2278"/>
      <c r="L39" s="2278"/>
      <c r="M39" s="4237" t="s">
        <v>6567</v>
      </c>
      <c r="N39" s="4238"/>
      <c r="O39" s="4238"/>
      <c r="P39" s="4238"/>
      <c r="Q39" s="1969"/>
      <c r="R39" s="2409" t="s">
        <v>720</v>
      </c>
      <c r="S39" s="2273" t="s">
        <v>3340</v>
      </c>
      <c r="T39" s="2468"/>
      <c r="U39" s="2469"/>
      <c r="V39" s="2469"/>
      <c r="W39" s="2469"/>
      <c r="X39" s="2276">
        <f>O151</f>
        <v>0</v>
      </c>
      <c r="Y39" s="2349">
        <f>O151</f>
        <v>0</v>
      </c>
      <c r="Z39" s="2348"/>
      <c r="AA39" s="2403"/>
      <c r="AB39" s="2403"/>
      <c r="AC39" s="2406"/>
      <c r="AD39" s="2331">
        <f>P151</f>
        <v>0</v>
      </c>
      <c r="AE39" s="2277">
        <f>P151</f>
        <v>0</v>
      </c>
      <c r="AF39" s="2276"/>
      <c r="AG39" s="2477"/>
      <c r="AH39" s="2477"/>
      <c r="AI39" s="2277"/>
    </row>
    <row r="40" spans="1:46" s="160" customFormat="1" ht="10.5" customHeight="1">
      <c r="A40" s="2409" t="s">
        <v>280</v>
      </c>
      <c r="B40" s="2273" t="s">
        <v>3396</v>
      </c>
      <c r="C40" s="2274"/>
      <c r="D40" s="2275"/>
      <c r="E40" s="2275"/>
      <c r="F40" s="2275"/>
      <c r="G40" s="2276">
        <v>7</v>
      </c>
      <c r="H40" s="2277">
        <v>5</v>
      </c>
      <c r="I40" s="2277"/>
      <c r="J40" s="2276"/>
      <c r="K40" s="2278"/>
      <c r="L40" s="2278"/>
      <c r="M40" s="4237"/>
      <c r="N40" s="4238"/>
      <c r="O40" s="4238"/>
      <c r="P40" s="4238"/>
      <c r="Q40" s="1969"/>
      <c r="R40" s="2409" t="s">
        <v>280</v>
      </c>
      <c r="S40" s="2273" t="s">
        <v>3396</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3397</v>
      </c>
      <c r="C41" s="2274"/>
      <c r="D41" s="2275"/>
      <c r="E41" s="2275"/>
      <c r="F41" s="2275"/>
      <c r="G41" s="2276">
        <v>3</v>
      </c>
      <c r="H41" s="2277"/>
      <c r="I41" s="2277"/>
      <c r="J41" s="2276"/>
      <c r="K41" s="2278"/>
      <c r="L41" s="2278"/>
      <c r="M41" s="183" t="s">
        <v>6562</v>
      </c>
      <c r="N41" s="183"/>
      <c r="O41" s="183"/>
      <c r="P41" s="1559" t="s">
        <v>2654</v>
      </c>
      <c r="Q41" s="1969"/>
      <c r="R41" s="2409" t="s">
        <v>401</v>
      </c>
      <c r="S41" s="2273" t="s">
        <v>3397</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4041</v>
      </c>
      <c r="C42" s="2274"/>
      <c r="D42" s="2275"/>
      <c r="E42" s="2275"/>
      <c r="F42" s="2275"/>
      <c r="G42" s="2276">
        <v>10</v>
      </c>
      <c r="H42" s="2277">
        <v>5</v>
      </c>
      <c r="I42" s="2277"/>
      <c r="J42" s="2276"/>
      <c r="K42" s="2278"/>
      <c r="L42" s="2278"/>
      <c r="M42" s="183" t="s">
        <v>3308</v>
      </c>
      <c r="N42" s="183"/>
      <c r="O42" s="183"/>
      <c r="P42" s="2358" t="s">
        <v>2654</v>
      </c>
      <c r="Q42" s="1969"/>
      <c r="R42" s="2409" t="s">
        <v>342</v>
      </c>
      <c r="S42" s="2273" t="s">
        <v>4041</v>
      </c>
      <c r="T42" s="2468"/>
      <c r="U42" s="2469"/>
      <c r="V42" s="2469"/>
      <c r="W42" s="2469"/>
      <c r="X42" s="2332">
        <f>O204</f>
        <v>4</v>
      </c>
      <c r="Y42" s="2345">
        <f>O204</f>
        <v>4</v>
      </c>
      <c r="Z42" s="2348"/>
      <c r="AA42" s="2403"/>
      <c r="AB42" s="2403"/>
      <c r="AC42" s="2406"/>
      <c r="AD42" s="2336">
        <f>P204</f>
        <v>0</v>
      </c>
      <c r="AE42" s="2340">
        <f>P204</f>
        <v>0</v>
      </c>
      <c r="AF42" s="2276"/>
      <c r="AG42" s="2477"/>
      <c r="AH42" s="2477"/>
      <c r="AI42" s="2277"/>
    </row>
    <row r="43" spans="1:46" s="160" customFormat="1" ht="10.5" customHeight="1">
      <c r="A43" s="2409" t="s">
        <v>343</v>
      </c>
      <c r="B43" s="2273" t="s">
        <v>6131</v>
      </c>
      <c r="C43" s="2274"/>
      <c r="D43" s="2275"/>
      <c r="E43" s="2275"/>
      <c r="F43" s="2275"/>
      <c r="G43" s="2276">
        <v>1</v>
      </c>
      <c r="H43" s="2277"/>
      <c r="I43" s="2277"/>
      <c r="J43" s="2276"/>
      <c r="K43" s="2278"/>
      <c r="L43" s="2278"/>
      <c r="M43" s="2417" t="s">
        <v>6146</v>
      </c>
      <c r="N43" s="2463"/>
      <c r="O43" s="2463"/>
      <c r="P43" s="2359" t="s">
        <v>2654</v>
      </c>
      <c r="Q43" s="1969"/>
      <c r="R43" s="2409" t="s">
        <v>343</v>
      </c>
      <c r="S43" s="2273" t="s">
        <v>6131</v>
      </c>
      <c r="T43" s="2468"/>
      <c r="U43" s="2469"/>
      <c r="V43" s="2469"/>
      <c r="W43" s="2469"/>
      <c r="X43" s="2332">
        <f>O224</f>
        <v>0</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6516</v>
      </c>
      <c r="N44" s="2463"/>
      <c r="O44" s="568" t="s">
        <v>6145</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6132</v>
      </c>
      <c r="C45" s="2279"/>
      <c r="D45" s="2280"/>
      <c r="E45" s="2280"/>
      <c r="F45" s="2280"/>
      <c r="G45" s="2276">
        <v>3</v>
      </c>
      <c r="H45" s="2277"/>
      <c r="I45" s="2277"/>
      <c r="J45" s="2276"/>
      <c r="K45" s="2278"/>
      <c r="L45" s="2278"/>
      <c r="M45" s="2417"/>
      <c r="N45" s="2463"/>
      <c r="O45" s="568" t="s">
        <v>6563</v>
      </c>
      <c r="P45" s="2585" t="str">
        <f>IF('Part VII-Threshold Criteria'!P344="Agree","Yes","")</f>
        <v/>
      </c>
      <c r="Q45" s="1969"/>
      <c r="R45" s="2409" t="s">
        <v>1605</v>
      </c>
      <c r="S45" s="2273" t="s">
        <v>6132</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3371</v>
      </c>
      <c r="B46" s="2273" t="s">
        <v>4045</v>
      </c>
      <c r="C46" s="2279"/>
      <c r="D46" s="2280"/>
      <c r="E46" s="2280"/>
      <c r="F46" s="2280"/>
      <c r="G46" s="2276">
        <v>5</v>
      </c>
      <c r="H46" s="2277"/>
      <c r="I46" s="2277"/>
      <c r="J46" s="2276"/>
      <c r="K46" s="2278"/>
      <c r="L46" s="2278"/>
      <c r="M46" s="1615"/>
      <c r="N46" s="2464"/>
      <c r="O46" s="2418" t="s">
        <v>6564</v>
      </c>
      <c r="P46" s="2586" t="str">
        <f>IF('Part VII-Threshold Criteria'!P346="Agree","Yes","")</f>
        <v/>
      </c>
      <c r="Q46" s="1969"/>
      <c r="R46" s="2409" t="s">
        <v>3371</v>
      </c>
      <c r="S46" s="2273" t="s">
        <v>4045</v>
      </c>
      <c r="T46" s="2470"/>
      <c r="U46" s="2471"/>
      <c r="V46" s="2471"/>
      <c r="W46" s="2471"/>
      <c r="X46" s="2332">
        <f>O251</f>
        <v>5</v>
      </c>
      <c r="Y46" s="2349"/>
      <c r="Z46" s="2348"/>
      <c r="AA46" s="2403"/>
      <c r="AB46" s="2403"/>
      <c r="AC46" s="2406"/>
      <c r="AD46" s="2336">
        <f>P251</f>
        <v>0</v>
      </c>
      <c r="AE46" s="2277"/>
      <c r="AF46" s="2276"/>
      <c r="AG46" s="2477"/>
      <c r="AH46" s="2477"/>
      <c r="AI46" s="2277"/>
    </row>
    <row r="47" spans="1:46" s="160" customFormat="1" ht="10.5" customHeight="1">
      <c r="A47" s="2409" t="s">
        <v>2081</v>
      </c>
      <c r="B47" s="2273" t="s">
        <v>3806</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3806</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3371</v>
      </c>
      <c r="B48" s="2273" t="s">
        <v>6554</v>
      </c>
      <c r="C48" s="2279"/>
      <c r="D48" s="2280"/>
      <c r="E48" s="2280"/>
      <c r="F48" s="2280"/>
      <c r="G48" s="2276">
        <v>2</v>
      </c>
      <c r="H48" s="2277">
        <v>2</v>
      </c>
      <c r="I48" s="2277">
        <v>2</v>
      </c>
      <c r="J48" s="2276">
        <v>2</v>
      </c>
      <c r="K48" s="2278">
        <v>2</v>
      </c>
      <c r="L48" s="2278">
        <v>2</v>
      </c>
      <c r="M48" s="2460" t="s">
        <v>6565</v>
      </c>
      <c r="N48" s="2461"/>
      <c r="O48" s="2462"/>
      <c r="P48" s="2497" t="s">
        <v>2654</v>
      </c>
      <c r="R48" s="2409" t="s">
        <v>3371</v>
      </c>
      <c r="S48" s="2273" t="s">
        <v>6554</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6707</v>
      </c>
      <c r="AR48" s="2465"/>
      <c r="AS48" s="586"/>
      <c r="AT48" s="2582">
        <f>'Part V-Revenues &amp; Expenses'!P115+'Part V-Revenues &amp; Expenses'!P122+'Part V-Revenues &amp; Expenses'!P123</f>
        <v>52</v>
      </c>
    </row>
    <row r="49" spans="1:46" s="160" customFormat="1" ht="10.5" customHeight="1">
      <c r="A49" s="2409" t="s">
        <v>3372</v>
      </c>
      <c r="B49" s="2273" t="s">
        <v>6555</v>
      </c>
      <c r="C49" s="2279"/>
      <c r="D49" s="2280"/>
      <c r="E49" s="2280"/>
      <c r="F49" s="2280"/>
      <c r="G49" s="2276">
        <v>2</v>
      </c>
      <c r="H49" s="2277">
        <v>2</v>
      </c>
      <c r="I49" s="2277">
        <v>2</v>
      </c>
      <c r="J49" s="2276">
        <v>2</v>
      </c>
      <c r="K49" s="2278">
        <v>2</v>
      </c>
      <c r="L49" s="2278">
        <v>2</v>
      </c>
      <c r="M49" s="183" t="s">
        <v>6566</v>
      </c>
      <c r="N49" s="586"/>
      <c r="O49" s="586"/>
      <c r="P49" s="595" t="str">
        <f>'Part II-Sources of Funds'!$L$14</f>
        <v>Yes</v>
      </c>
      <c r="R49" s="2409" t="s">
        <v>3372</v>
      </c>
      <c r="S49" s="2273" t="s">
        <v>6555</v>
      </c>
      <c r="T49" s="2470"/>
      <c r="U49" s="2471"/>
      <c r="V49" s="2471"/>
      <c r="W49" s="2471"/>
      <c r="X49" s="2344">
        <f>O284</f>
        <v>0</v>
      </c>
      <c r="Y49" s="2345">
        <f>O284</f>
        <v>0</v>
      </c>
      <c r="Z49" s="2344">
        <f>O284</f>
        <v>0</v>
      </c>
      <c r="AA49" s="2404">
        <f>O284</f>
        <v>0</v>
      </c>
      <c r="AB49" s="2404">
        <f>O284</f>
        <v>0</v>
      </c>
      <c r="AC49" s="2405">
        <f>O284</f>
        <v>0</v>
      </c>
      <c r="AD49" s="2346">
        <f>P284</f>
        <v>0</v>
      </c>
      <c r="AE49" s="2345">
        <f>P284</f>
        <v>0</v>
      </c>
      <c r="AF49" s="2344">
        <f>P284</f>
        <v>0</v>
      </c>
      <c r="AG49" s="2404">
        <f>P284</f>
        <v>0</v>
      </c>
      <c r="AH49" s="2404">
        <f>P284</f>
        <v>0</v>
      </c>
      <c r="AI49" s="2345">
        <f>P284</f>
        <v>0</v>
      </c>
      <c r="AQ49" s="2592" t="s">
        <v>6698</v>
      </c>
      <c r="AR49" s="1970"/>
      <c r="AS49" s="1970"/>
      <c r="AT49" s="2583">
        <f>'Part V-Revenues &amp; Expenses'!P118+'Part V-Revenues &amp; Expenses'!P121-'Part V-Revenues &amp; Expenses'!$P$122-'Part V-Revenues &amp; Expenses'!$P$123</f>
        <v>0</v>
      </c>
    </row>
    <row r="50" spans="1:46" s="160" customFormat="1" ht="10.5" customHeight="1">
      <c r="A50" s="2409" t="s">
        <v>3370</v>
      </c>
      <c r="B50" s="2273" t="s">
        <v>6560</v>
      </c>
      <c r="C50" s="2279"/>
      <c r="D50" s="2280"/>
      <c r="E50" s="2280"/>
      <c r="F50" s="2280"/>
      <c r="G50" s="2276">
        <v>2</v>
      </c>
      <c r="H50" s="2277"/>
      <c r="I50" s="2277"/>
      <c r="J50" s="2276">
        <v>2</v>
      </c>
      <c r="K50" s="2278">
        <v>2</v>
      </c>
      <c r="L50" s="2278">
        <v>2</v>
      </c>
      <c r="Q50" s="1969"/>
      <c r="R50" s="2409" t="s">
        <v>3370</v>
      </c>
      <c r="S50" s="2273" t="s">
        <v>6560</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3373</v>
      </c>
      <c r="B51" s="2273" t="s">
        <v>6133</v>
      </c>
      <c r="C51" s="2279"/>
      <c r="D51" s="2280"/>
      <c r="E51" s="2280"/>
      <c r="F51" s="2280"/>
      <c r="G51" s="2276">
        <v>2</v>
      </c>
      <c r="H51" s="2277"/>
      <c r="I51" s="2277"/>
      <c r="J51" s="2276">
        <v>2</v>
      </c>
      <c r="K51" s="2278">
        <v>2</v>
      </c>
      <c r="L51" s="2278">
        <v>2</v>
      </c>
      <c r="M51" s="4241" t="s">
        <v>6742</v>
      </c>
      <c r="N51" s="4242"/>
      <c r="O51" s="4242"/>
      <c r="P51" s="4242"/>
      <c r="Q51" s="536"/>
      <c r="R51" s="2409" t="s">
        <v>3373</v>
      </c>
      <c r="S51" s="2273" t="s">
        <v>6133</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3374</v>
      </c>
      <c r="B52" s="2273" t="s">
        <v>3398</v>
      </c>
      <c r="C52" s="2279"/>
      <c r="D52" s="2280"/>
      <c r="E52" s="2280"/>
      <c r="F52" s="2280"/>
      <c r="G52" s="2276">
        <v>2</v>
      </c>
      <c r="H52" s="2277"/>
      <c r="I52" s="2277"/>
      <c r="J52" s="2276">
        <v>2</v>
      </c>
      <c r="K52" s="2278">
        <v>2</v>
      </c>
      <c r="L52" s="2278">
        <v>2</v>
      </c>
      <c r="M52" s="4241"/>
      <c r="N52" s="4242"/>
      <c r="O52" s="4242"/>
      <c r="P52" s="4242"/>
      <c r="R52" s="2409" t="s">
        <v>3374</v>
      </c>
      <c r="S52" s="2273" t="s">
        <v>3398</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3377</v>
      </c>
      <c r="B53" s="2273" t="s">
        <v>3399</v>
      </c>
      <c r="C53" s="2279"/>
      <c r="D53" s="2280"/>
      <c r="E53" s="2280"/>
      <c r="F53" s="2280"/>
      <c r="G53" s="2276">
        <v>4</v>
      </c>
      <c r="H53" s="2277">
        <v>2</v>
      </c>
      <c r="I53" s="2277">
        <v>2</v>
      </c>
      <c r="J53" s="2276">
        <v>4</v>
      </c>
      <c r="K53" s="2278">
        <v>4</v>
      </c>
      <c r="L53" s="2278">
        <v>4</v>
      </c>
      <c r="M53" s="4243"/>
      <c r="N53" s="4244"/>
      <c r="O53" s="4244"/>
      <c r="P53" s="4244"/>
      <c r="R53" s="2409" t="s">
        <v>3377</v>
      </c>
      <c r="S53" s="2273" t="s">
        <v>3399</v>
      </c>
      <c r="T53" s="2470"/>
      <c r="U53" s="2471"/>
      <c r="V53" s="2471"/>
      <c r="W53" s="2471"/>
      <c r="X53" s="2344">
        <f>O341</f>
        <v>1</v>
      </c>
      <c r="Y53" s="2345">
        <f>O341</f>
        <v>1</v>
      </c>
      <c r="Z53" s="2344">
        <f>O341</f>
        <v>1</v>
      </c>
      <c r="AA53" s="2404">
        <f>O341</f>
        <v>1</v>
      </c>
      <c r="AB53" s="2404">
        <f>O341</f>
        <v>1</v>
      </c>
      <c r="AC53" s="2405">
        <f>O341</f>
        <v>1</v>
      </c>
      <c r="AD53" s="2346">
        <f>P341</f>
        <v>0</v>
      </c>
      <c r="AE53" s="2345">
        <f>P341</f>
        <v>0</v>
      </c>
      <c r="AF53" s="2344">
        <f>P341</f>
        <v>0</v>
      </c>
      <c r="AG53" s="2404">
        <f>P341</f>
        <v>0</v>
      </c>
      <c r="AH53" s="2404">
        <f>P341</f>
        <v>0</v>
      </c>
      <c r="AI53" s="2345">
        <f>P341</f>
        <v>0</v>
      </c>
    </row>
    <row r="54" spans="1:46" s="160" customFormat="1" ht="10.5" customHeight="1">
      <c r="A54" s="2409" t="s">
        <v>3378</v>
      </c>
      <c r="B54" s="2273" t="s">
        <v>3400</v>
      </c>
      <c r="C54" s="2279"/>
      <c r="D54" s="2280"/>
      <c r="E54" s="2280"/>
      <c r="F54" s="2280"/>
      <c r="G54" s="2276">
        <v>2</v>
      </c>
      <c r="H54" s="2277"/>
      <c r="I54" s="2277"/>
      <c r="J54" s="2276"/>
      <c r="K54" s="2278"/>
      <c r="L54" s="2278"/>
      <c r="M54" s="4456" t="s">
        <v>6128</v>
      </c>
      <c r="N54" s="4457"/>
      <c r="O54" s="4457"/>
      <c r="P54" s="4458"/>
      <c r="R54" s="2409" t="s">
        <v>3378</v>
      </c>
      <c r="S54" s="2273" t="s">
        <v>3400</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3379</v>
      </c>
      <c r="B55" s="2273" t="s">
        <v>6134</v>
      </c>
      <c r="C55" s="2279"/>
      <c r="D55" s="2280"/>
      <c r="E55" s="2280"/>
      <c r="F55" s="2280"/>
      <c r="G55" s="2276">
        <v>10</v>
      </c>
      <c r="H55" s="2277">
        <v>10</v>
      </c>
      <c r="I55" s="2277">
        <v>10</v>
      </c>
      <c r="J55" s="2276">
        <v>10</v>
      </c>
      <c r="K55" s="2278">
        <v>10</v>
      </c>
      <c r="L55" s="2278">
        <v>10</v>
      </c>
      <c r="M55" s="4459"/>
      <c r="N55" s="4460"/>
      <c r="O55" s="4460"/>
      <c r="P55" s="4461"/>
      <c r="R55" s="2409" t="s">
        <v>3379</v>
      </c>
      <c r="S55" s="2273" t="s">
        <v>6134</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3380</v>
      </c>
      <c r="B56" s="2273" t="s">
        <v>6556</v>
      </c>
      <c r="C56" s="2279"/>
      <c r="D56" s="2280"/>
      <c r="E56" s="2280"/>
      <c r="F56" s="2280"/>
      <c r="G56" s="2276">
        <v>3</v>
      </c>
      <c r="H56" s="2277">
        <v>3</v>
      </c>
      <c r="I56" s="2277">
        <v>3</v>
      </c>
      <c r="J56" s="2276">
        <v>3</v>
      </c>
      <c r="K56" s="2278">
        <v>3</v>
      </c>
      <c r="L56" s="2278">
        <v>3</v>
      </c>
      <c r="R56" s="2409" t="s">
        <v>3380</v>
      </c>
      <c r="S56" s="2273" t="s">
        <v>6556</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3381</v>
      </c>
      <c r="B57" s="2273" t="s">
        <v>6135</v>
      </c>
      <c r="C57" s="2279"/>
      <c r="D57" s="2280"/>
      <c r="E57" s="2280"/>
      <c r="F57" s="2280"/>
      <c r="G57" s="2276"/>
      <c r="H57" s="2277"/>
      <c r="I57" s="2277">
        <v>6</v>
      </c>
      <c r="J57" s="2276">
        <v>6</v>
      </c>
      <c r="K57" s="2278">
        <v>6</v>
      </c>
      <c r="L57" s="2278">
        <v>6</v>
      </c>
      <c r="M57" s="4237" t="s">
        <v>6143</v>
      </c>
      <c r="N57" s="4238"/>
      <c r="O57" s="4238"/>
      <c r="P57" s="4238"/>
      <c r="Q57" s="1969"/>
      <c r="R57" s="2409" t="s">
        <v>3381</v>
      </c>
      <c r="S57" s="2273" t="s">
        <v>6135</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3382</v>
      </c>
      <c r="B58" s="2273" t="s">
        <v>6557</v>
      </c>
      <c r="C58" s="2279"/>
      <c r="D58" s="2280"/>
      <c r="E58" s="2280"/>
      <c r="F58" s="2280"/>
      <c r="G58" s="2276"/>
      <c r="H58" s="2277"/>
      <c r="I58" s="2277">
        <v>6</v>
      </c>
      <c r="J58" s="2276">
        <v>6</v>
      </c>
      <c r="K58" s="2278">
        <v>6</v>
      </c>
      <c r="L58" s="2278">
        <v>6</v>
      </c>
      <c r="M58" s="4239"/>
      <c r="N58" s="4240"/>
      <c r="O58" s="4240"/>
      <c r="P58" s="4240"/>
      <c r="Q58" s="1969"/>
      <c r="R58" s="2409" t="s">
        <v>3382</v>
      </c>
      <c r="S58" s="2273" t="s">
        <v>6557</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3805</v>
      </c>
      <c r="B59" s="2273" t="s">
        <v>6558</v>
      </c>
      <c r="C59" s="2279"/>
      <c r="D59" s="2280"/>
      <c r="E59" s="2280"/>
      <c r="F59" s="2280"/>
      <c r="G59" s="2276"/>
      <c r="H59" s="2277"/>
      <c r="I59" s="2277">
        <v>4</v>
      </c>
      <c r="J59" s="2276">
        <v>4</v>
      </c>
      <c r="K59" s="2278">
        <v>4</v>
      </c>
      <c r="L59" s="2278">
        <v>4</v>
      </c>
      <c r="M59" s="4537" t="s">
        <v>2393</v>
      </c>
      <c r="N59" s="4538"/>
      <c r="O59" s="4538"/>
      <c r="P59" s="4539"/>
      <c r="R59" s="2409" t="s">
        <v>3805</v>
      </c>
      <c r="S59" s="2273" t="s">
        <v>6558</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6561</v>
      </c>
      <c r="B60" s="2281" t="s">
        <v>6559</v>
      </c>
      <c r="C60" s="2282"/>
      <c r="D60" s="2283"/>
      <c r="E60" s="2283"/>
      <c r="F60" s="2283"/>
      <c r="G60" s="2284"/>
      <c r="H60" s="2285"/>
      <c r="I60" s="2285">
        <v>6</v>
      </c>
      <c r="J60" s="2284">
        <v>4</v>
      </c>
      <c r="K60" s="2286">
        <v>6</v>
      </c>
      <c r="L60" s="2286">
        <v>4</v>
      </c>
      <c r="M60" s="4540"/>
      <c r="N60" s="4541"/>
      <c r="O60" s="4541"/>
      <c r="P60" s="4542"/>
      <c r="Q60" s="1969"/>
      <c r="R60" s="2409" t="s">
        <v>6561</v>
      </c>
      <c r="S60" s="2281" t="s">
        <v>6559</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6248</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65</v>
      </c>
      <c r="Y62" s="2343">
        <f t="shared" ref="Y62" si="1">SUM(Y35:Y60)</f>
        <v>58</v>
      </c>
      <c r="Z62" s="2343">
        <f>SUM(Z35:Z60)</f>
        <v>31</v>
      </c>
      <c r="AA62" s="2343">
        <f>SUM(AA35:AA60)</f>
        <v>30</v>
      </c>
      <c r="AB62" s="2343">
        <f>SUM(AB35:AB60)</f>
        <v>33</v>
      </c>
      <c r="AC62" s="2343">
        <f>SUM(AC35:AC60)</f>
        <v>33</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3831</v>
      </c>
      <c r="M63" s="1203">
        <v>10</v>
      </c>
      <c r="N63" s="108"/>
      <c r="O63" s="1104">
        <v>10</v>
      </c>
      <c r="P63" s="1104">
        <f>MIN($M63, $M63-P66-P71-P67)</f>
        <v>10</v>
      </c>
      <c r="Q63" s="110" t="s">
        <v>416</v>
      </c>
      <c r="R63" s="36"/>
    </row>
    <row r="64" spans="1:46" s="43" customFormat="1" ht="3.5"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3807</v>
      </c>
      <c r="D65" s="48"/>
      <c r="E65" s="48"/>
      <c r="F65" s="1207"/>
      <c r="N65" s="64" t="s">
        <v>1842</v>
      </c>
      <c r="P65" s="2093">
        <f>SUM(P66:P68)</f>
        <v>0</v>
      </c>
      <c r="Q65" s="36" t="s">
        <v>6246</v>
      </c>
    </row>
    <row r="66" spans="1:20" s="43" customFormat="1" ht="12.75" customHeight="1">
      <c r="A66" s="191"/>
      <c r="B66" s="2094" t="s">
        <v>1845</v>
      </c>
      <c r="C66" s="111" t="s">
        <v>3810</v>
      </c>
      <c r="D66" s="48"/>
      <c r="E66" s="48"/>
      <c r="F66" s="1207"/>
      <c r="H66" s="185" t="s">
        <v>3177</v>
      </c>
      <c r="J66" s="49"/>
      <c r="N66" s="415" t="s">
        <v>1845</v>
      </c>
      <c r="P66" s="1152">
        <f>F74</f>
        <v>0</v>
      </c>
    </row>
    <row r="67" spans="1:20" s="43" customFormat="1" ht="12.75" customHeight="1">
      <c r="A67" s="191"/>
      <c r="B67" s="2094" t="s">
        <v>1847</v>
      </c>
      <c r="C67" s="111" t="s">
        <v>6245</v>
      </c>
      <c r="D67" s="48"/>
      <c r="E67" s="48"/>
      <c r="F67" s="1490"/>
      <c r="H67" s="185" t="s">
        <v>3808</v>
      </c>
      <c r="J67" s="49"/>
      <c r="N67" s="415" t="s">
        <v>1847</v>
      </c>
      <c r="P67" s="1493">
        <f>J74</f>
        <v>0</v>
      </c>
    </row>
    <row r="68" spans="1:20" s="43" customFormat="1" ht="12.75" customHeight="1">
      <c r="A68" s="191"/>
      <c r="B68" s="2094" t="s">
        <v>2333</v>
      </c>
      <c r="C68" s="111" t="s">
        <v>3809</v>
      </c>
      <c r="D68" s="48"/>
      <c r="E68" s="48"/>
      <c r="F68" s="1490"/>
      <c r="H68" s="185" t="s">
        <v>3813</v>
      </c>
      <c r="J68" s="49"/>
      <c r="N68" s="415" t="s">
        <v>2333</v>
      </c>
      <c r="P68" s="1494"/>
    </row>
    <row r="69" spans="1:20" s="43" customFormat="1" ht="12.75" customHeight="1">
      <c r="C69" s="4275" t="s">
        <v>3897</v>
      </c>
      <c r="D69" s="4276"/>
      <c r="E69" s="4276"/>
      <c r="F69" s="4276"/>
      <c r="G69" s="4276"/>
      <c r="H69" s="4276"/>
      <c r="I69" s="4276"/>
      <c r="J69" s="4276"/>
      <c r="K69" s="4276"/>
      <c r="L69" s="4276"/>
      <c r="M69" s="4276"/>
      <c r="N69" s="4276"/>
      <c r="O69" s="4276"/>
      <c r="P69" s="427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6246</v>
      </c>
    </row>
    <row r="72" spans="1:20" s="453" customFormat="1" ht="3" customHeight="1">
      <c r="A72" s="595"/>
      <c r="B72" s="592"/>
      <c r="C72" s="593"/>
      <c r="D72" s="140"/>
      <c r="K72" s="881"/>
      <c r="L72" s="881"/>
      <c r="M72" s="1019"/>
      <c r="N72" s="415"/>
      <c r="O72" s="886"/>
      <c r="P72" s="886"/>
    </row>
    <row r="73" spans="1:20" s="42" customFormat="1" ht="12.75" customHeight="1">
      <c r="A73" s="4201" t="s">
        <v>6074</v>
      </c>
      <c r="B73" s="4201"/>
      <c r="C73" s="4201"/>
      <c r="D73" s="4201"/>
      <c r="E73" s="4201"/>
      <c r="F73" s="1492" t="s">
        <v>3392</v>
      </c>
      <c r="G73" s="4434" t="s">
        <v>6076</v>
      </c>
      <c r="H73" s="4434"/>
      <c r="I73" s="4434"/>
      <c r="J73" s="1492" t="s">
        <v>3392</v>
      </c>
      <c r="K73" s="4438" t="s">
        <v>6075</v>
      </c>
      <c r="L73" s="4438"/>
      <c r="M73" s="4438"/>
      <c r="N73" s="4438"/>
      <c r="O73" s="4432" t="s">
        <v>3392</v>
      </c>
      <c r="P73" s="4433"/>
      <c r="R73" s="468"/>
      <c r="S73" s="159"/>
    </row>
    <row r="74" spans="1:20" s="42" customFormat="1" ht="12.75" customHeight="1">
      <c r="A74" s="4431"/>
      <c r="B74" s="4431"/>
      <c r="C74" s="4431"/>
      <c r="D74" s="4431"/>
      <c r="E74" s="4431"/>
      <c r="F74" s="76">
        <f>SUM(F75:F86)</f>
        <v>0</v>
      </c>
      <c r="G74" s="4435"/>
      <c r="H74" s="4436"/>
      <c r="I74" s="4437"/>
      <c r="J74" s="76">
        <f>SUM(J75:J86)</f>
        <v>0</v>
      </c>
      <c r="K74" s="4439"/>
      <c r="L74" s="4440"/>
      <c r="M74" s="4440"/>
      <c r="N74" s="4441"/>
      <c r="O74" s="4422">
        <f>SUM(O75:O86)</f>
        <v>0</v>
      </c>
      <c r="P74" s="4423"/>
      <c r="Q74" s="468"/>
      <c r="R74" s="159"/>
    </row>
    <row r="75" spans="1:20" s="42" customFormat="1" ht="24.75" customHeight="1">
      <c r="A75" s="4424">
        <v>1</v>
      </c>
      <c r="B75" s="4425"/>
      <c r="C75" s="4425"/>
      <c r="D75" s="4425"/>
      <c r="E75" s="4426"/>
      <c r="F75" s="866"/>
      <c r="G75" s="4424">
        <v>1</v>
      </c>
      <c r="H75" s="4425"/>
      <c r="I75" s="4426"/>
      <c r="J75" s="870" t="s">
        <v>1611</v>
      </c>
      <c r="K75" s="4427">
        <v>1</v>
      </c>
      <c r="L75" s="4428"/>
      <c r="M75" s="4428"/>
      <c r="N75" s="4428"/>
      <c r="O75" s="4429" t="s">
        <v>1611</v>
      </c>
      <c r="P75" s="4430"/>
      <c r="Q75" s="466" t="s">
        <v>1181</v>
      </c>
      <c r="R75" s="159"/>
    </row>
    <row r="76" spans="1:20" s="42" customFormat="1" ht="24.75" customHeight="1">
      <c r="A76" s="4268">
        <v>2</v>
      </c>
      <c r="B76" s="4269"/>
      <c r="C76" s="4269"/>
      <c r="D76" s="4269"/>
      <c r="E76" s="4270"/>
      <c r="F76" s="867"/>
      <c r="G76" s="4268">
        <v>2</v>
      </c>
      <c r="H76" s="4269"/>
      <c r="I76" s="4270"/>
      <c r="J76" s="867"/>
      <c r="K76" s="4271">
        <v>2</v>
      </c>
      <c r="L76" s="4272"/>
      <c r="M76" s="4272"/>
      <c r="N76" s="4272"/>
      <c r="O76" s="4273"/>
      <c r="P76" s="4274"/>
      <c r="Q76" s="467"/>
      <c r="R76" s="159"/>
    </row>
    <row r="77" spans="1:20" s="42" customFormat="1" ht="24.75" customHeight="1">
      <c r="A77" s="4268">
        <v>3</v>
      </c>
      <c r="B77" s="4269"/>
      <c r="C77" s="4269"/>
      <c r="D77" s="4269"/>
      <c r="E77" s="4270"/>
      <c r="F77" s="867"/>
      <c r="G77" s="4268">
        <v>3</v>
      </c>
      <c r="H77" s="4269"/>
      <c r="I77" s="4270"/>
      <c r="J77" s="1193" t="s">
        <v>2578</v>
      </c>
      <c r="K77" s="4271">
        <v>3</v>
      </c>
      <c r="L77" s="4272"/>
      <c r="M77" s="4272"/>
      <c r="N77" s="4272"/>
      <c r="O77" s="4247" t="s">
        <v>2578</v>
      </c>
      <c r="P77" s="4248"/>
      <c r="Q77" s="4245" t="s">
        <v>3811</v>
      </c>
      <c r="R77" s="4246"/>
      <c r="S77" s="1495"/>
      <c r="T77" s="1495"/>
    </row>
    <row r="78" spans="1:20" s="42" customFormat="1" ht="24.75" customHeight="1">
      <c r="A78" s="4268">
        <v>4</v>
      </c>
      <c r="B78" s="4269"/>
      <c r="C78" s="4269"/>
      <c r="D78" s="4269"/>
      <c r="E78" s="4270"/>
      <c r="F78" s="867"/>
      <c r="G78" s="4268">
        <v>4</v>
      </c>
      <c r="H78" s="4269"/>
      <c r="I78" s="4270"/>
      <c r="J78" s="867"/>
      <c r="K78" s="4271">
        <v>4</v>
      </c>
      <c r="L78" s="4272"/>
      <c r="M78" s="4272"/>
      <c r="N78" s="4272"/>
      <c r="O78" s="4247" t="s">
        <v>2578</v>
      </c>
      <c r="P78" s="4248"/>
      <c r="Q78" s="4245"/>
      <c r="R78" s="4246"/>
      <c r="S78" s="1495"/>
      <c r="T78" s="1495"/>
    </row>
    <row r="79" spans="1:20" s="42" customFormat="1" ht="24.75" customHeight="1">
      <c r="A79" s="4268">
        <v>5</v>
      </c>
      <c r="B79" s="4269"/>
      <c r="C79" s="4269"/>
      <c r="D79" s="4269"/>
      <c r="E79" s="4270"/>
      <c r="F79" s="867"/>
      <c r="G79" s="4268">
        <v>5</v>
      </c>
      <c r="H79" s="4269"/>
      <c r="I79" s="4270"/>
      <c r="J79" s="1193" t="s">
        <v>3147</v>
      </c>
      <c r="K79" s="4271">
        <v>5</v>
      </c>
      <c r="L79" s="4272"/>
      <c r="M79" s="4272"/>
      <c r="N79" s="4272"/>
      <c r="O79" s="4273"/>
      <c r="P79" s="4274"/>
      <c r="Q79" s="4245"/>
      <c r="R79" s="4246"/>
      <c r="S79" s="1495"/>
      <c r="T79" s="1495"/>
    </row>
    <row r="80" spans="1:20" s="42" customFormat="1" ht="24" customHeight="1">
      <c r="A80" s="4268">
        <v>6</v>
      </c>
      <c r="B80" s="4269"/>
      <c r="C80" s="4269"/>
      <c r="D80" s="4269"/>
      <c r="E80" s="4270"/>
      <c r="F80" s="867"/>
      <c r="G80" s="4268">
        <v>6</v>
      </c>
      <c r="H80" s="4269"/>
      <c r="I80" s="4270"/>
      <c r="J80" s="867"/>
      <c r="K80" s="4271">
        <v>6</v>
      </c>
      <c r="L80" s="4272"/>
      <c r="M80" s="4272"/>
      <c r="N80" s="4272"/>
      <c r="O80" s="4273"/>
      <c r="P80" s="4274"/>
      <c r="Q80" s="4245"/>
      <c r="R80" s="4246"/>
    </row>
    <row r="81" spans="1:19" s="42" customFormat="1" ht="24.75" customHeight="1">
      <c r="A81" s="4268">
        <v>7</v>
      </c>
      <c r="B81" s="4269"/>
      <c r="C81" s="4269"/>
      <c r="D81" s="4269"/>
      <c r="E81" s="4270"/>
      <c r="F81" s="867"/>
      <c r="G81" s="4268">
        <v>7</v>
      </c>
      <c r="H81" s="4269"/>
      <c r="I81" s="4270"/>
      <c r="J81" s="1193" t="s">
        <v>3148</v>
      </c>
      <c r="K81" s="4271">
        <v>7</v>
      </c>
      <c r="L81" s="4272"/>
      <c r="M81" s="4272"/>
      <c r="N81" s="4272"/>
      <c r="O81" s="4273"/>
      <c r="P81" s="4274"/>
      <c r="Q81" s="159"/>
      <c r="R81" s="159"/>
    </row>
    <row r="82" spans="1:19" s="42" customFormat="1" ht="24.75" customHeight="1">
      <c r="A82" s="4268">
        <v>8</v>
      </c>
      <c r="B82" s="4269"/>
      <c r="C82" s="4269"/>
      <c r="D82" s="4269"/>
      <c r="E82" s="4270"/>
      <c r="F82" s="867"/>
      <c r="G82" s="4268">
        <v>8</v>
      </c>
      <c r="H82" s="4269"/>
      <c r="I82" s="4270"/>
      <c r="J82" s="867"/>
      <c r="K82" s="4271">
        <v>8</v>
      </c>
      <c r="L82" s="4272"/>
      <c r="M82" s="4272"/>
      <c r="N82" s="4272"/>
      <c r="O82" s="4273"/>
      <c r="P82" s="4274"/>
      <c r="Q82" s="159"/>
      <c r="R82" s="159"/>
    </row>
    <row r="83" spans="1:19" s="42" customFormat="1" ht="24.75" customHeight="1">
      <c r="A83" s="4268">
        <v>9</v>
      </c>
      <c r="B83" s="4269"/>
      <c r="C83" s="4269"/>
      <c r="D83" s="4269"/>
      <c r="E83" s="4270"/>
      <c r="F83" s="867"/>
      <c r="G83" s="4268">
        <v>9</v>
      </c>
      <c r="H83" s="4269"/>
      <c r="I83" s="4270"/>
      <c r="J83" s="1193" t="s">
        <v>3149</v>
      </c>
      <c r="K83" s="4271">
        <v>9</v>
      </c>
      <c r="L83" s="4272"/>
      <c r="M83" s="4272"/>
      <c r="N83" s="4272"/>
      <c r="O83" s="4273"/>
      <c r="P83" s="4274"/>
      <c r="Q83" s="159"/>
      <c r="R83" s="159"/>
    </row>
    <row r="84" spans="1:19" s="42" customFormat="1" ht="24.75" customHeight="1">
      <c r="A84" s="4268">
        <v>10</v>
      </c>
      <c r="B84" s="4269"/>
      <c r="C84" s="4269"/>
      <c r="D84" s="4269"/>
      <c r="E84" s="4270"/>
      <c r="F84" s="867"/>
      <c r="G84" s="4268">
        <v>10</v>
      </c>
      <c r="H84" s="4269"/>
      <c r="I84" s="4270"/>
      <c r="J84" s="867"/>
      <c r="K84" s="4271">
        <v>10</v>
      </c>
      <c r="L84" s="4272"/>
      <c r="M84" s="4272"/>
      <c r="N84" s="4272"/>
      <c r="O84" s="4273"/>
      <c r="P84" s="4274"/>
      <c r="Q84" s="159"/>
    </row>
    <row r="85" spans="1:19" s="42" customFormat="1" ht="24.75" customHeight="1">
      <c r="A85" s="4268">
        <v>11</v>
      </c>
      <c r="B85" s="4269"/>
      <c r="C85" s="4269"/>
      <c r="D85" s="4269"/>
      <c r="E85" s="4270"/>
      <c r="F85" s="867"/>
      <c r="G85" s="4268">
        <v>11</v>
      </c>
      <c r="H85" s="4269"/>
      <c r="I85" s="4270"/>
      <c r="J85" s="1193" t="s">
        <v>3150</v>
      </c>
      <c r="K85" s="4268">
        <v>11</v>
      </c>
      <c r="L85" s="4269"/>
      <c r="M85" s="4269"/>
      <c r="N85" s="4270"/>
      <c r="O85" s="4273"/>
      <c r="P85" s="4274"/>
      <c r="Q85" s="159"/>
      <c r="R85" s="159"/>
    </row>
    <row r="86" spans="1:19" s="42" customFormat="1" ht="24.75" customHeight="1">
      <c r="A86" s="4509">
        <v>12</v>
      </c>
      <c r="B86" s="4510"/>
      <c r="C86" s="4510"/>
      <c r="D86" s="4510"/>
      <c r="E86" s="4511"/>
      <c r="F86" s="868"/>
      <c r="G86" s="4509">
        <v>12</v>
      </c>
      <c r="H86" s="4510"/>
      <c r="I86" s="4511"/>
      <c r="J86" s="868"/>
      <c r="K86" s="4509">
        <v>12</v>
      </c>
      <c r="L86" s="4510"/>
      <c r="M86" s="4510"/>
      <c r="N86" s="4511"/>
      <c r="O86" s="4512"/>
      <c r="P86" s="4513"/>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3928</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3</v>
      </c>
      <c r="P88" s="1104">
        <f>IF(AND(P92&gt;0,P96&gt;0),"AorB?",MIN($M$88,P92+P96))</f>
        <v>0</v>
      </c>
      <c r="Q88" s="110" t="s">
        <v>416</v>
      </c>
      <c r="S88" s="1978"/>
    </row>
    <row r="89" spans="1:19" s="43" customFormat="1" ht="2.25" customHeight="1">
      <c r="A89" s="463"/>
      <c r="B89" s="113"/>
      <c r="E89" s="57"/>
      <c r="F89" s="43" t="s">
        <v>3820</v>
      </c>
      <c r="G89" s="88"/>
      <c r="H89" s="52"/>
      <c r="I89" s="45"/>
      <c r="K89" s="533"/>
      <c r="L89" s="871"/>
      <c r="M89" s="872"/>
      <c r="N89" s="7"/>
      <c r="O89" s="3"/>
      <c r="P89" s="3"/>
      <c r="Q89" s="110"/>
      <c r="R89" s="401"/>
    </row>
    <row r="90" spans="1:19" s="43" customFormat="1" ht="13.5" customHeight="1">
      <c r="A90" s="139" t="s">
        <v>1842</v>
      </c>
      <c r="B90" s="882" t="s">
        <v>6144</v>
      </c>
      <c r="E90" s="57"/>
      <c r="G90" s="88"/>
      <c r="H90" s="55" t="s">
        <v>6653</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294" t="s">
        <v>3814</v>
      </c>
      <c r="C91" s="4294"/>
      <c r="D91" s="4294"/>
      <c r="E91" s="4294"/>
      <c r="F91" s="4294"/>
      <c r="G91" s="4294"/>
      <c r="H91" s="4294"/>
      <c r="I91" s="4294"/>
      <c r="J91" s="4294"/>
      <c r="K91" s="4294"/>
      <c r="L91" s="4294"/>
      <c r="M91" s="872"/>
      <c r="N91" s="7"/>
      <c r="Q91" s="7"/>
      <c r="R91" s="401"/>
    </row>
    <row r="92" spans="1:19" s="103" customFormat="1" ht="13.5" customHeight="1">
      <c r="B92" s="4294"/>
      <c r="C92" s="4294"/>
      <c r="D92" s="4294"/>
      <c r="E92" s="4294"/>
      <c r="F92" s="4294"/>
      <c r="G92" s="4294"/>
      <c r="H92" s="4294"/>
      <c r="I92" s="4294"/>
      <c r="J92" s="4294"/>
      <c r="K92" s="4294"/>
      <c r="L92" s="4294"/>
      <c r="M92" s="877">
        <v>2</v>
      </c>
      <c r="N92" s="415" t="s">
        <v>1842</v>
      </c>
      <c r="O92" s="887">
        <f>IF(AND($J$88="9%",$L$88="New Supply"),MIN($M92,O93+O94),0)</f>
        <v>0</v>
      </c>
      <c r="P92" s="887">
        <f>IF(NOT($J$88="9%"),0,MIN($M92, P93+P94))</f>
        <v>0</v>
      </c>
    </row>
    <row r="93" spans="1:19" s="103" customFormat="1" ht="13.5" customHeight="1">
      <c r="A93" s="139"/>
      <c r="B93" s="1512" t="s">
        <v>1845</v>
      </c>
      <c r="C93" s="1500" t="s">
        <v>3815</v>
      </c>
      <c r="D93" s="52"/>
      <c r="H93" s="52" t="s">
        <v>3816</v>
      </c>
      <c r="I93" s="1498"/>
      <c r="J93" s="1567">
        <f>'Part V-Revenues &amp; Expenses'!B50</f>
        <v>56.153846153846153</v>
      </c>
      <c r="L93" s="4324" t="str">
        <f>IF(AND(O93&gt;0,O94&gt;0), "CHOOSE EITHER A OR B, NOT BOTH!", "")</f>
        <v/>
      </c>
      <c r="M93" s="1019">
        <v>2</v>
      </c>
      <c r="N93" s="187" t="s">
        <v>1845</v>
      </c>
      <c r="O93" s="534"/>
      <c r="P93" s="544"/>
      <c r="Q93" s="1532" t="str">
        <f>IF(OR($O93=$M93,$O93=0,$O93=""),"","*CHECK!*")</f>
        <v/>
      </c>
      <c r="R93" s="1001" t="s">
        <v>4061</v>
      </c>
    </row>
    <row r="94" spans="1:19" s="103" customFormat="1" ht="13.5" customHeight="1">
      <c r="A94" s="1499" t="s">
        <v>2986</v>
      </c>
      <c r="B94" s="1512" t="s">
        <v>1847</v>
      </c>
      <c r="C94" s="1500" t="s">
        <v>3817</v>
      </c>
      <c r="D94" s="52"/>
      <c r="I94" s="1498"/>
      <c r="K94" s="52"/>
      <c r="L94" s="4324"/>
      <c r="M94" s="1019">
        <v>2</v>
      </c>
      <c r="N94" s="187" t="s">
        <v>1847</v>
      </c>
      <c r="O94" s="535"/>
      <c r="P94" s="545"/>
      <c r="Q94" s="1532" t="str">
        <f>IF(OR($O94=$M94,$O94=0,$O94=""),"","*CHECK!*")</f>
        <v/>
      </c>
      <c r="R94" s="1001" t="s">
        <v>4061</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543" t="s">
        <v>3818</v>
      </c>
      <c r="I96" s="4544"/>
      <c r="J96" s="1503" t="s">
        <v>3819</v>
      </c>
      <c r="M96" s="877">
        <v>3</v>
      </c>
      <c r="N96" s="163" t="s">
        <v>1844</v>
      </c>
      <c r="O96" s="887">
        <f>IF(AND(O97="Yes", O98="Yes"),$M$96,0)</f>
        <v>3</v>
      </c>
      <c r="P96" s="887">
        <f>IF(AND(P97="Yes", P98="Yes"),$M$96,0)</f>
        <v>0</v>
      </c>
    </row>
    <row r="97" spans="1:21" s="453" customFormat="1" ht="13.5" customHeight="1">
      <c r="A97" s="452"/>
      <c r="B97" s="1512" t="s">
        <v>1845</v>
      </c>
      <c r="C97" s="1501">
        <v>0.3</v>
      </c>
      <c r="D97" s="953" t="s">
        <v>3179</v>
      </c>
      <c r="E97" s="454"/>
      <c r="F97" s="869"/>
      <c r="H97" s="1200">
        <v>20</v>
      </c>
      <c r="I97" s="1201"/>
      <c r="J97" s="1502">
        <f>'Part V-Revenues &amp; Expenses'!P65</f>
        <v>52</v>
      </c>
      <c r="K97" s="2514">
        <f>IF(OR('Part V-Revenues &amp; Expenses'!$P$65="", 'Part V-Revenues &amp; Expenses'!$P$65=0),0,H97/'Part V-Revenues &amp; Expenses'!$P$65)</f>
        <v>0.38461538461538464</v>
      </c>
      <c r="L97" s="2515">
        <f>IF(OR('Part V-Revenues &amp; Expenses'!$P$65="", 'Part V-Revenues &amp; Expenses'!$P$65=0),0,I97/'Part V-Revenues &amp; Expenses'!$P$65)</f>
        <v>0</v>
      </c>
      <c r="M97" s="1019"/>
      <c r="N97" s="415" t="s">
        <v>1845</v>
      </c>
      <c r="O97" s="883" t="str">
        <f>IF(AND(K97 &gt;= $C$97,O98="Yes"),"Yes","No")</f>
        <v>Yes</v>
      </c>
      <c r="P97" s="883" t="str">
        <f>IF(AND(L97 &gt;= $C$97,P98="Yes"),"Yes","No")</f>
        <v>No</v>
      </c>
    </row>
    <row r="98" spans="1:21" s="453" customFormat="1" ht="13.5" customHeight="1">
      <c r="A98" s="595"/>
      <c r="B98" s="1512" t="s">
        <v>1847</v>
      </c>
      <c r="C98" s="911" t="s">
        <v>3326</v>
      </c>
      <c r="E98" s="922"/>
      <c r="F98" s="869"/>
      <c r="I98" s="885"/>
      <c r="J98" s="885"/>
      <c r="K98" s="885"/>
      <c r="L98" s="885"/>
      <c r="M98" s="885"/>
      <c r="N98" s="415" t="s">
        <v>1847</v>
      </c>
      <c r="O98" s="231" t="s">
        <v>2651</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4"/>
      <c r="B100" s="4005"/>
      <c r="C100" s="4005"/>
      <c r="D100" s="4005"/>
      <c r="E100" s="4005"/>
      <c r="F100" s="4005"/>
      <c r="G100" s="4005"/>
      <c r="H100" s="4005"/>
      <c r="I100" s="4005"/>
      <c r="J100" s="4005"/>
      <c r="K100" s="4005"/>
      <c r="L100" s="4005"/>
      <c r="M100" s="4005"/>
      <c r="N100" s="4005"/>
      <c r="O100" s="4005"/>
      <c r="P100" s="4006"/>
      <c r="Q100" s="466"/>
    </row>
    <row r="101" spans="1:21" ht="7.5" customHeight="1" thickBot="1"/>
    <row r="102" spans="1:21" s="43" customFormat="1" ht="13.5" customHeight="1" thickBot="1">
      <c r="A102" s="154" t="s">
        <v>1669</v>
      </c>
      <c r="B102" s="106" t="s">
        <v>3369</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514" t="s">
        <v>4046</v>
      </c>
      <c r="J105" s="4515"/>
      <c r="K105" s="4515"/>
      <c r="L105" s="4516"/>
      <c r="M105" s="598">
        <v>20</v>
      </c>
      <c r="N105" s="187" t="s">
        <v>1842</v>
      </c>
      <c r="O105" s="2321">
        <v>20</v>
      </c>
      <c r="P105" s="2322"/>
      <c r="Q105" s="1532"/>
      <c r="R105" s="1001" t="s">
        <v>4061</v>
      </c>
    </row>
    <row r="106" spans="1:21" s="103" customFormat="1" ht="12.75" customHeight="1">
      <c r="A106" s="139" t="s">
        <v>1844</v>
      </c>
      <c r="B106" s="177" t="s">
        <v>3281</v>
      </c>
      <c r="D106" s="1120"/>
      <c r="F106" s="1566"/>
      <c r="H106" s="840" t="s">
        <v>3339</v>
      </c>
      <c r="I106" s="4517"/>
      <c r="J106" s="4518"/>
      <c r="K106" s="4518"/>
      <c r="L106" s="4519"/>
      <c r="M106" s="1558" t="s">
        <v>1165</v>
      </c>
      <c r="N106" s="478" t="s">
        <v>1844</v>
      </c>
      <c r="O106" s="2323">
        <v>0</v>
      </c>
      <c r="P106" s="2324"/>
      <c r="R106" s="1001" t="s">
        <v>4061</v>
      </c>
    </row>
    <row r="107" spans="1:21" s="43" customFormat="1" ht="12.75" customHeight="1" thickBot="1">
      <c r="A107" s="42"/>
      <c r="B107" s="1197" t="s">
        <v>3242</v>
      </c>
      <c r="C107" s="42"/>
      <c r="D107" s="48"/>
      <c r="E107" s="48"/>
      <c r="F107" s="48"/>
      <c r="G107" s="48"/>
      <c r="H107" s="36"/>
      <c r="I107" s="4520"/>
      <c r="J107" s="4521"/>
      <c r="K107" s="4521"/>
      <c r="L107" s="4522"/>
      <c r="M107" s="46"/>
      <c r="N107" s="62"/>
      <c r="O107" s="3"/>
      <c r="P107" s="1205"/>
    </row>
    <row r="108" spans="1:21" s="43" customFormat="1" ht="90" customHeight="1" thickTop="1" thickBot="1">
      <c r="A108" s="4329" t="s">
        <v>6956</v>
      </c>
      <c r="B108" s="4330"/>
      <c r="C108" s="4330"/>
      <c r="D108" s="4330"/>
      <c r="E108" s="4330"/>
      <c r="F108" s="4330"/>
      <c r="G108" s="4330"/>
      <c r="H108" s="4330"/>
      <c r="I108" s="4330"/>
      <c r="J108" s="4330"/>
      <c r="K108" s="4330"/>
      <c r="L108" s="4330"/>
      <c r="M108" s="4330"/>
      <c r="N108" s="4330"/>
      <c r="O108" s="4330"/>
      <c r="P108" s="4331"/>
      <c r="Q108" s="1078" t="s">
        <v>1181</v>
      </c>
      <c r="R108" s="467"/>
    </row>
    <row r="109" spans="1:21" s="43" customFormat="1" ht="11.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4"/>
      <c r="B110" s="4005"/>
      <c r="C110" s="4005"/>
      <c r="D110" s="4005"/>
      <c r="E110" s="4005"/>
      <c r="F110" s="4005"/>
      <c r="G110" s="4005"/>
      <c r="H110" s="4005"/>
      <c r="I110" s="4005"/>
      <c r="J110" s="4005"/>
      <c r="K110" s="4005"/>
      <c r="L110" s="4005"/>
      <c r="M110" s="4005"/>
      <c r="N110" s="4005"/>
      <c r="O110" s="4005"/>
      <c r="P110" s="4006"/>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6147</v>
      </c>
      <c r="I112" s="2112" t="s">
        <v>6143</v>
      </c>
      <c r="J112" s="1982" t="str">
        <f>M59</f>
        <v>Rural</v>
      </c>
      <c r="K112" s="1981" t="s">
        <v>363</v>
      </c>
      <c r="L112" s="1982" t="str">
        <f>M54</f>
        <v>New Supply</v>
      </c>
      <c r="M112" s="1203">
        <v>6</v>
      </c>
      <c r="N112" s="478"/>
      <c r="O112" s="2100">
        <f>MAX(O130,O137)</f>
        <v>3</v>
      </c>
      <c r="P112" s="2100">
        <f>MAX(P130,P137)</f>
        <v>3</v>
      </c>
      <c r="Q112" s="110" t="s">
        <v>416</v>
      </c>
      <c r="R112" s="2437"/>
      <c r="S112" s="2437"/>
      <c r="T112" s="2437"/>
      <c r="U112" s="2437"/>
    </row>
    <row r="113" spans="1:21" s="43" customFormat="1" ht="17.25" customHeight="1">
      <c r="A113" s="154"/>
      <c r="B113" s="111" t="s">
        <v>3327</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3821</v>
      </c>
      <c r="D114" s="1120"/>
      <c r="E114" s="103"/>
      <c r="F114" s="103"/>
      <c r="G114" s="103"/>
      <c r="H114" s="45"/>
      <c r="I114" s="49"/>
      <c r="M114" s="1491"/>
      <c r="N114" s="478"/>
      <c r="O114" s="230"/>
      <c r="P114" s="549"/>
      <c r="Q114" s="110"/>
      <c r="R114" s="2437"/>
      <c r="S114" s="2437"/>
      <c r="T114" s="2437"/>
      <c r="U114" s="2437"/>
    </row>
    <row r="115" spans="1:21" s="43" customFormat="1" ht="11.25" customHeight="1">
      <c r="A115" s="154"/>
      <c r="B115" s="399" t="s">
        <v>1847</v>
      </c>
      <c r="C115" s="36" t="s">
        <v>3822</v>
      </c>
      <c r="D115" s="1120"/>
      <c r="E115" s="103"/>
      <c r="F115" s="103"/>
      <c r="G115" s="103"/>
      <c r="H115" s="45"/>
      <c r="I115" s="49"/>
      <c r="J115" s="48"/>
      <c r="K115" s="48"/>
      <c r="L115" s="103"/>
      <c r="M115" s="103"/>
      <c r="N115" s="478"/>
      <c r="O115" s="389"/>
      <c r="P115" s="550"/>
      <c r="Q115" s="110"/>
      <c r="R115" s="2437"/>
      <c r="S115" s="2437"/>
      <c r="T115" s="2437"/>
      <c r="U115" s="2437"/>
    </row>
    <row r="116" spans="1:21" s="43" customFormat="1" ht="11.25" customHeight="1">
      <c r="A116" s="154"/>
      <c r="B116" s="399" t="s">
        <v>2333</v>
      </c>
      <c r="C116" s="36" t="s">
        <v>6149</v>
      </c>
      <c r="D116" s="1120"/>
      <c r="E116" s="103"/>
      <c r="F116" s="103"/>
      <c r="G116" s="103"/>
      <c r="H116" s="45"/>
      <c r="I116" s="49"/>
      <c r="J116" s="48"/>
      <c r="K116" s="48"/>
      <c r="L116" s="103"/>
      <c r="M116" s="103"/>
      <c r="N116" s="478"/>
      <c r="O116" s="389"/>
      <c r="P116" s="550"/>
      <c r="Q116" s="110"/>
      <c r="R116" s="2437"/>
      <c r="S116" s="2437"/>
      <c r="T116" s="2437"/>
      <c r="U116" s="2437"/>
    </row>
    <row r="117" spans="1:21" s="43" customFormat="1" ht="11.25" customHeight="1">
      <c r="A117" s="154"/>
      <c r="B117" s="399" t="s">
        <v>1151</v>
      </c>
      <c r="C117" s="36" t="s">
        <v>6573</v>
      </c>
      <c r="D117" s="1120"/>
      <c r="E117" s="103"/>
      <c r="F117" s="103"/>
      <c r="G117" s="103"/>
      <c r="H117" s="45"/>
      <c r="I117" s="49"/>
      <c r="J117" s="48"/>
      <c r="K117" s="48"/>
      <c r="L117" s="103"/>
      <c r="M117" s="103"/>
      <c r="N117" s="478"/>
      <c r="O117" s="389"/>
      <c r="P117" s="550"/>
      <c r="Q117" s="110"/>
      <c r="R117" s="2437"/>
      <c r="S117" s="2437"/>
      <c r="T117" s="2437"/>
      <c r="U117" s="2437"/>
    </row>
    <row r="118" spans="1:21" s="43" customFormat="1" ht="11.25" customHeight="1">
      <c r="A118" s="154"/>
      <c r="B118" s="399">
        <v>5</v>
      </c>
      <c r="C118" s="36" t="s">
        <v>6574</v>
      </c>
      <c r="D118" s="1120"/>
      <c r="E118" s="103"/>
      <c r="F118" s="103"/>
      <c r="G118" s="103"/>
      <c r="H118" s="45"/>
      <c r="I118" s="49"/>
      <c r="J118" s="48"/>
      <c r="K118" s="48"/>
      <c r="L118" s="103"/>
      <c r="M118" s="103"/>
      <c r="N118" s="478"/>
      <c r="O118" s="231"/>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6577</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3328</v>
      </c>
      <c r="D122" s="41"/>
      <c r="F122" s="4463" t="s">
        <v>3217</v>
      </c>
      <c r="G122" s="4463"/>
      <c r="H122" s="4463"/>
      <c r="I122" s="4463"/>
      <c r="J122" s="4463" t="s">
        <v>3218</v>
      </c>
      <c r="K122" s="4463"/>
      <c r="L122" s="4463"/>
      <c r="M122" s="4463"/>
      <c r="N122" s="478"/>
      <c r="O122" s="4464" t="s">
        <v>3887</v>
      </c>
      <c r="P122" s="4465"/>
      <c r="Q122" s="110"/>
      <c r="R122" s="2437"/>
      <c r="S122" s="2437"/>
      <c r="T122" s="2437"/>
      <c r="U122" s="2437"/>
    </row>
    <row r="123" spans="1:21" s="43" customFormat="1" ht="12" customHeight="1">
      <c r="B123" s="2436"/>
      <c r="C123" s="2434" t="s">
        <v>6576</v>
      </c>
      <c r="E123" s="291"/>
      <c r="F123" s="4468"/>
      <c r="G123" s="4469"/>
      <c r="H123" s="4466"/>
      <c r="I123" s="4467"/>
      <c r="J123" s="4468"/>
      <c r="K123" s="4469"/>
      <c r="L123" s="4466"/>
      <c r="M123" s="4467"/>
      <c r="N123" s="478"/>
      <c r="Q123" s="110"/>
      <c r="R123" s="2437"/>
      <c r="S123" s="2437"/>
      <c r="T123" s="2437"/>
      <c r="U123" s="2437"/>
    </row>
    <row r="124" spans="1:21" s="43" customFormat="1" ht="12" customHeight="1">
      <c r="A124" s="2436"/>
      <c r="B124" s="2436"/>
      <c r="C124" s="2436"/>
      <c r="D124" s="414"/>
      <c r="E124" s="2435" t="s">
        <v>6150</v>
      </c>
      <c r="F124" s="4327"/>
      <c r="G124" s="4328"/>
      <c r="H124" s="4313"/>
      <c r="I124" s="4314"/>
      <c r="J124" s="4327"/>
      <c r="K124" s="4328"/>
      <c r="L124" s="4313"/>
      <c r="M124" s="4314"/>
      <c r="N124" s="478"/>
      <c r="O124" s="1627"/>
      <c r="P124" s="1173"/>
      <c r="Q124" s="110"/>
      <c r="R124" s="2437"/>
      <c r="S124" s="2437"/>
      <c r="T124" s="2437"/>
      <c r="U124" s="2437"/>
    </row>
    <row r="125" spans="1:21" s="43" customFormat="1" ht="12" customHeight="1">
      <c r="A125" s="4339" t="s">
        <v>6687</v>
      </c>
      <c r="B125" s="4339"/>
      <c r="C125" s="2434" t="s">
        <v>6575</v>
      </c>
      <c r="E125" s="291"/>
      <c r="F125" s="4332"/>
      <c r="G125" s="4333"/>
      <c r="H125" s="4249"/>
      <c r="I125" s="4250"/>
      <c r="J125" s="4332"/>
      <c r="K125" s="4333"/>
      <c r="L125" s="4249"/>
      <c r="M125" s="4250"/>
      <c r="N125" s="478"/>
      <c r="O125" s="478"/>
      <c r="P125" s="478"/>
      <c r="Q125" s="110"/>
      <c r="R125" s="2437"/>
      <c r="S125" s="2437"/>
      <c r="T125" s="2437"/>
      <c r="U125" s="2437"/>
    </row>
    <row r="126" spans="1:21" s="43" customFormat="1" ht="12" customHeight="1">
      <c r="A126" s="4339"/>
      <c r="B126" s="4339"/>
      <c r="C126" s="414"/>
      <c r="D126" s="414"/>
      <c r="E126" s="2435" t="s">
        <v>3367</v>
      </c>
      <c r="F126" s="4325"/>
      <c r="G126" s="4326"/>
      <c r="H126" s="4308"/>
      <c r="I126" s="4309"/>
      <c r="J126" s="4325"/>
      <c r="K126" s="4326"/>
      <c r="L126" s="4308"/>
      <c r="M126" s="430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5" customHeight="1">
      <c r="A128" s="2600" t="s">
        <v>6710</v>
      </c>
      <c r="B128" s="106"/>
      <c r="D128" s="41"/>
      <c r="I128" s="4335" t="str">
        <f>IF(AND(O130&gt;0,O137&gt;0),"Pick A or B, not both!","")</f>
        <v/>
      </c>
      <c r="J128" s="4335"/>
      <c r="K128" s="4335" t="str">
        <f>IF(AND(P130&gt;0,P137&gt;0),"Pick A or B, not both!","")</f>
        <v/>
      </c>
      <c r="L128" s="4335"/>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5" customHeight="1">
      <c r="A130" s="144" t="s">
        <v>1842</v>
      </c>
      <c r="B130" s="177" t="s">
        <v>3239</v>
      </c>
      <c r="D130" s="41"/>
      <c r="F130" s="1197" t="s">
        <v>6691</v>
      </c>
      <c r="M130" s="1203">
        <v>6</v>
      </c>
      <c r="N130" s="415" t="s">
        <v>1842</v>
      </c>
      <c r="O130" s="2101">
        <f>IF(OR($J$112="Atlanta Metro",$J$112="Other Metro"),MIN($M130,O132+O133),0)</f>
        <v>0</v>
      </c>
      <c r="P130" s="2101">
        <f>IF(OR($J$112="Atlanta Metro",$J$112="Other Metro"),MIN($M130,P132+P133),0)</f>
        <v>0</v>
      </c>
      <c r="Q130" s="110"/>
    </row>
    <row r="131" spans="1:21" s="43" customFormat="1" ht="12.5" customHeight="1">
      <c r="A131" s="144"/>
      <c r="B131" s="36" t="s">
        <v>6151</v>
      </c>
      <c r="D131" s="41"/>
      <c r="F131" s="45"/>
      <c r="M131" s="1974"/>
      <c r="N131" s="415"/>
      <c r="O131" s="231"/>
      <c r="P131" s="551"/>
      <c r="Q131" s="110"/>
    </row>
    <row r="132" spans="1:21" s="436" customFormat="1" ht="25.5" customHeight="1">
      <c r="B132" s="462" t="s">
        <v>1845</v>
      </c>
      <c r="C132" s="4462" t="s">
        <v>6685</v>
      </c>
      <c r="D132" s="4462"/>
      <c r="E132" s="4462"/>
      <c r="F132" s="4462"/>
      <c r="G132" s="4462"/>
      <c r="H132" s="4462"/>
      <c r="I132" s="4462"/>
      <c r="J132" s="4462"/>
      <c r="K132" s="4462"/>
      <c r="L132" s="4462"/>
      <c r="M132" s="2454">
        <v>6</v>
      </c>
      <c r="N132" s="493" t="s">
        <v>1845</v>
      </c>
      <c r="O132" s="2580"/>
      <c r="P132" s="2581"/>
      <c r="Q132" s="1532"/>
      <c r="R132" s="1001" t="s">
        <v>4061</v>
      </c>
    </row>
    <row r="133" spans="1:21" s="436" customFormat="1" ht="12" customHeight="1">
      <c r="A133" s="595" t="s">
        <v>1276</v>
      </c>
      <c r="B133" s="462" t="s">
        <v>1847</v>
      </c>
      <c r="C133" s="4290" t="s">
        <v>6686</v>
      </c>
      <c r="D133" s="4290"/>
      <c r="E133" s="4290"/>
      <c r="F133" s="4290"/>
      <c r="G133" s="2572"/>
      <c r="J133" s="4470" t="s">
        <v>6682</v>
      </c>
      <c r="K133" s="4471"/>
      <c r="L133" s="4472"/>
      <c r="M133" s="598">
        <v>5</v>
      </c>
      <c r="N133" s="460" t="s">
        <v>1847</v>
      </c>
      <c r="O133" s="2596"/>
      <c r="P133" s="2597"/>
      <c r="Q133" s="2391" t="s">
        <v>6678</v>
      </c>
      <c r="R133" s="1492" t="s">
        <v>6268</v>
      </c>
      <c r="S133" s="1492" t="s">
        <v>6148</v>
      </c>
    </row>
    <row r="134" spans="1:21" s="436" customFormat="1" ht="12" customHeight="1">
      <c r="B134" s="462"/>
      <c r="C134" s="4290"/>
      <c r="D134" s="4290"/>
      <c r="E134" s="4290"/>
      <c r="F134" s="4290"/>
      <c r="G134" s="2572"/>
      <c r="H134" s="4212" t="s">
        <v>6680</v>
      </c>
      <c r="I134" s="4212"/>
      <c r="J134" s="4473"/>
      <c r="K134" s="4474"/>
      <c r="L134" s="4475"/>
      <c r="M134" s="4315" t="str">
        <f>IF(AND(O133&gt;0,O132&gt;0),"Pick A1 or A2!","")</f>
        <v/>
      </c>
      <c r="N134" s="4316"/>
      <c r="O134" s="4316"/>
      <c r="P134" s="4316"/>
      <c r="Q134" s="1004"/>
      <c r="R134" s="1983">
        <v>0.25</v>
      </c>
      <c r="S134" s="1983">
        <v>5</v>
      </c>
    </row>
    <row r="135" spans="1:21" s="436" customFormat="1" ht="12" customHeight="1">
      <c r="B135" s="462"/>
      <c r="C135" s="4290"/>
      <c r="D135" s="4290"/>
      <c r="E135" s="4290"/>
      <c r="F135" s="4290"/>
      <c r="G135" s="2572"/>
      <c r="H135" s="2326"/>
      <c r="I135" s="2574"/>
      <c r="J135" s="4473"/>
      <c r="K135" s="4474"/>
      <c r="L135" s="4475"/>
      <c r="Q135" s="1004"/>
      <c r="R135" s="1983">
        <v>0.5</v>
      </c>
      <c r="S135" s="1983">
        <v>4.5</v>
      </c>
    </row>
    <row r="136" spans="1:21" s="436" customFormat="1" ht="12" customHeight="1">
      <c r="B136" s="462"/>
      <c r="C136" s="4290"/>
      <c r="D136" s="4290"/>
      <c r="E136" s="4290"/>
      <c r="F136" s="4290"/>
      <c r="G136" s="2572"/>
      <c r="J136" s="4473"/>
      <c r="K136" s="4474"/>
      <c r="L136" s="4475"/>
      <c r="M136" s="103"/>
      <c r="N136" s="103"/>
      <c r="O136" s="103"/>
      <c r="P136" s="103"/>
      <c r="Q136" s="522"/>
      <c r="R136" s="1984">
        <v>1</v>
      </c>
      <c r="S136" s="1984">
        <v>4</v>
      </c>
    </row>
    <row r="137" spans="1:21" s="436" customFormat="1" ht="12" customHeight="1">
      <c r="A137" s="144" t="s">
        <v>1844</v>
      </c>
      <c r="B137" s="1146" t="s">
        <v>3240</v>
      </c>
      <c r="C137" s="649"/>
      <c r="D137" s="649"/>
      <c r="F137" s="2571" t="s">
        <v>6677</v>
      </c>
      <c r="J137" s="4504" t="s">
        <v>3237</v>
      </c>
      <c r="K137" s="4505"/>
      <c r="L137" s="2433" t="s">
        <v>3238</v>
      </c>
      <c r="M137" s="1675">
        <v>3</v>
      </c>
      <c r="N137" s="478" t="s">
        <v>1844</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3</v>
      </c>
      <c r="Q137" s="2391" t="s">
        <v>6679</v>
      </c>
      <c r="R137" s="2575">
        <v>0.25</v>
      </c>
      <c r="S137" s="2575">
        <v>3</v>
      </c>
    </row>
    <row r="138" spans="1:21" s="43" customFormat="1" ht="12" customHeight="1">
      <c r="A138" s="154"/>
      <c r="B138" s="2132" t="s">
        <v>1845</v>
      </c>
      <c r="C138" s="4290" t="s">
        <v>6692</v>
      </c>
      <c r="D138" s="4290"/>
      <c r="E138" s="4290"/>
      <c r="F138" s="4290"/>
      <c r="G138" s="2572"/>
      <c r="H138" s="4212" t="s">
        <v>6681</v>
      </c>
      <c r="I138" s="4212"/>
      <c r="J138" s="4506" t="s">
        <v>6697</v>
      </c>
      <c r="K138" s="4507"/>
      <c r="L138" s="4508"/>
      <c r="M138" s="598">
        <v>3</v>
      </c>
      <c r="N138" s="460" t="s">
        <v>1845</v>
      </c>
      <c r="O138" s="4292"/>
      <c r="P138" s="4295"/>
      <c r="Q138" s="1004" t="str">
        <f>IF(OR($O140=$M140,$O140=0,$O140=""),"","*CHECK!*")</f>
        <v/>
      </c>
      <c r="R138" s="1983">
        <v>0.5</v>
      </c>
      <c r="S138" s="1983">
        <v>2</v>
      </c>
      <c r="U138" s="436"/>
    </row>
    <row r="139" spans="1:21" s="43" customFormat="1" ht="12" customHeight="1">
      <c r="A139" s="154"/>
      <c r="B139" s="2555"/>
      <c r="C139" s="4290"/>
      <c r="D139" s="4290"/>
      <c r="E139" s="4290"/>
      <c r="F139" s="4290"/>
      <c r="G139" s="103"/>
      <c r="H139" s="2326"/>
      <c r="I139" s="2574"/>
      <c r="J139" s="4278" t="s">
        <v>6571</v>
      </c>
      <c r="K139" s="4279"/>
      <c r="L139" s="4280"/>
      <c r="M139" s="103"/>
      <c r="O139" s="4293"/>
      <c r="P139" s="4296"/>
      <c r="Q139" s="110"/>
      <c r="R139" s="1984">
        <v>1</v>
      </c>
      <c r="S139" s="1984">
        <v>1</v>
      </c>
      <c r="U139" s="436"/>
    </row>
    <row r="140" spans="1:21" s="43" customFormat="1" ht="11.25" customHeight="1">
      <c r="A140" s="595" t="s">
        <v>1276</v>
      </c>
      <c r="B140" s="2132" t="s">
        <v>1847</v>
      </c>
      <c r="C140" s="4290" t="s">
        <v>6684</v>
      </c>
      <c r="D140" s="4290"/>
      <c r="E140" s="4290"/>
      <c r="F140" s="4290"/>
      <c r="G140" s="4290"/>
      <c r="H140" s="4290"/>
      <c r="I140" s="2573"/>
      <c r="J140" s="4281"/>
      <c r="K140" s="4282"/>
      <c r="L140" s="4283"/>
      <c r="M140" s="598">
        <v>1</v>
      </c>
      <c r="N140" s="460" t="s">
        <v>1847</v>
      </c>
      <c r="O140" s="4525"/>
      <c r="P140" s="4338"/>
      <c r="U140" s="436"/>
    </row>
    <row r="141" spans="1:21" s="43" customFormat="1" ht="11.25" customHeight="1">
      <c r="B141" s="2576"/>
      <c r="C141" s="4290"/>
      <c r="D141" s="4290"/>
      <c r="E141" s="4290"/>
      <c r="F141" s="4290"/>
      <c r="G141" s="4290"/>
      <c r="H141" s="4290"/>
      <c r="I141" s="2573"/>
      <c r="J141" s="4284"/>
      <c r="K141" s="4285"/>
      <c r="L141" s="4286"/>
      <c r="O141" s="4525"/>
      <c r="P141" s="4338"/>
      <c r="T141" s="436"/>
      <c r="U141" s="436"/>
    </row>
    <row r="142" spans="1:21" s="436" customFormat="1" ht="12" customHeight="1">
      <c r="A142" s="2131" t="s">
        <v>1276</v>
      </c>
      <c r="B142" s="2132" t="s">
        <v>2333</v>
      </c>
      <c r="C142" s="4290" t="s">
        <v>6683</v>
      </c>
      <c r="D142" s="4290"/>
      <c r="E142" s="4290"/>
      <c r="F142" s="4290"/>
      <c r="G142" s="4290"/>
      <c r="H142" s="4290"/>
      <c r="I142" s="4291"/>
      <c r="J142" s="4278" t="s">
        <v>6572</v>
      </c>
      <c r="K142" s="4279"/>
      <c r="L142" s="4280"/>
      <c r="M142" s="2454">
        <v>2</v>
      </c>
      <c r="N142" s="493" t="s">
        <v>2333</v>
      </c>
      <c r="O142" s="4336"/>
      <c r="P142" s="4523"/>
      <c r="Q142" s="1004"/>
      <c r="R142" s="1001"/>
    </row>
    <row r="143" spans="1:21" s="43" customFormat="1" ht="36.75" customHeight="1">
      <c r="C143" s="4290"/>
      <c r="D143" s="4290"/>
      <c r="E143" s="4290"/>
      <c r="F143" s="4290"/>
      <c r="G143" s="4290"/>
      <c r="H143" s="4290"/>
      <c r="I143" s="4291"/>
      <c r="J143" s="4287"/>
      <c r="K143" s="4288"/>
      <c r="L143" s="4289"/>
      <c r="O143" s="4337"/>
      <c r="P143" s="4524"/>
    </row>
    <row r="144" spans="1:21" s="43" customFormat="1" ht="12.5" customHeight="1">
      <c r="A144" s="36" t="s">
        <v>3368</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29.25" customHeight="1" thickTop="1" thickBot="1">
      <c r="A146" s="4329" t="s">
        <v>907</v>
      </c>
      <c r="B146" s="4330"/>
      <c r="C146" s="4330"/>
      <c r="D146" s="4330"/>
      <c r="E146" s="4330"/>
      <c r="F146" s="4330"/>
      <c r="G146" s="4330"/>
      <c r="H146" s="4330"/>
      <c r="I146" s="4330"/>
      <c r="J146" s="4330"/>
      <c r="K146" s="4330"/>
      <c r="L146" s="4330"/>
      <c r="M146" s="4330"/>
      <c r="N146" s="4330"/>
      <c r="O146" s="4330"/>
      <c r="P146" s="4331"/>
      <c r="Q146" s="1078" t="s">
        <v>1181</v>
      </c>
      <c r="R146" s="467"/>
    </row>
    <row r="147" spans="1:19" s="103" customFormat="1" ht="11.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4"/>
      <c r="B148" s="4005"/>
      <c r="C148" s="4005"/>
      <c r="D148" s="4005"/>
      <c r="E148" s="4005"/>
      <c r="F148" s="4005"/>
      <c r="G148" s="4005"/>
      <c r="H148" s="4005"/>
      <c r="I148" s="4005"/>
      <c r="J148" s="4005"/>
      <c r="K148" s="4005"/>
      <c r="L148" s="4005"/>
      <c r="M148" s="4005"/>
      <c r="N148" s="4005"/>
      <c r="O148" s="4005"/>
      <c r="P148" s="4006"/>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6152</v>
      </c>
      <c r="C151" s="1206"/>
      <c r="D151" s="1206"/>
      <c r="E151" s="1206"/>
      <c r="G151" s="2114" t="s">
        <v>3823</v>
      </c>
      <c r="H151" s="2115" t="str">
        <f>'Part VII-Threshold Criteria'!$J$35</f>
        <v>Family</v>
      </c>
      <c r="M151" s="872">
        <v>3</v>
      </c>
      <c r="N151" s="74"/>
      <c r="O151" s="2102">
        <v>0</v>
      </c>
      <c r="P151" s="2103"/>
      <c r="Q151" s="1532" t="str">
        <f>IF(OR($O151&lt;=$M151,$O151=0,$O151=""),"","*CHECK!*")</f>
        <v/>
      </c>
      <c r="R151" s="2105" t="s">
        <v>416</v>
      </c>
      <c r="S151" s="1001" t="s">
        <v>4061</v>
      </c>
    </row>
    <row r="152" spans="1:19" customFormat="1" ht="18.75" customHeight="1">
      <c r="C152" s="2176" t="s">
        <v>6726</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6725</v>
      </c>
      <c r="F153" s="2485"/>
      <c r="G153" s="2485"/>
      <c r="H153" s="2485"/>
      <c r="I153" s="2486"/>
      <c r="J153" s="4310" t="s">
        <v>6633</v>
      </c>
      <c r="K153" s="4311"/>
      <c r="L153" s="4311"/>
      <c r="M153" s="4312"/>
    </row>
    <row r="154" spans="1:19" customFormat="1" ht="12.75" customHeight="1">
      <c r="B154" s="2139"/>
      <c r="C154" s="2139"/>
      <c r="D154" s="2139"/>
      <c r="F154" s="4297" t="s">
        <v>6634</v>
      </c>
      <c r="G154" s="4297"/>
      <c r="H154" s="4297" t="s">
        <v>6274</v>
      </c>
      <c r="I154" s="4297"/>
      <c r="J154" s="4299" t="s">
        <v>6635</v>
      </c>
      <c r="K154" s="4300"/>
      <c r="L154" s="4297" t="s">
        <v>6636</v>
      </c>
      <c r="M154" s="4302"/>
      <c r="N154" s="1641"/>
      <c r="O154" s="2487"/>
      <c r="P154" s="2488"/>
    </row>
    <row r="155" spans="1:19" customFormat="1" ht="30.75" customHeight="1">
      <c r="B155" s="2139"/>
      <c r="C155" s="2139"/>
      <c r="D155" s="2139"/>
      <c r="F155" s="4297"/>
      <c r="G155" s="4297"/>
      <c r="H155" s="4297"/>
      <c r="I155" s="4297"/>
      <c r="J155" s="4301"/>
      <c r="K155" s="4300"/>
      <c r="L155" s="4300"/>
      <c r="M155" s="4302"/>
      <c r="N155" s="1641"/>
      <c r="O155" s="2489"/>
      <c r="P155" s="2488"/>
    </row>
    <row r="156" spans="1:19" customFormat="1" ht="12" customHeight="1">
      <c r="B156" s="2325" t="s">
        <v>6637</v>
      </c>
      <c r="C156" s="2141"/>
      <c r="D156" s="2138"/>
      <c r="F156" s="4298"/>
      <c r="G156" s="4298"/>
      <c r="H156" s="4298"/>
      <c r="I156" s="4298"/>
      <c r="J156" s="4301"/>
      <c r="K156" s="4300"/>
      <c r="L156" s="4300"/>
      <c r="M156" s="4302"/>
      <c r="N156" s="1641"/>
      <c r="O156" s="2489"/>
      <c r="P156" s="2488"/>
    </row>
    <row r="157" spans="1:19" customFormat="1">
      <c r="B157" s="4303"/>
      <c r="C157" s="4304"/>
      <c r="D157" s="4304"/>
      <c r="E157" s="4305"/>
      <c r="F157" s="4303"/>
      <c r="G157" s="4305"/>
      <c r="H157" s="4303"/>
      <c r="I157" s="4305"/>
      <c r="J157" s="4306"/>
      <c r="K157" s="4307"/>
      <c r="L157" s="4306"/>
      <c r="M157" s="4307"/>
      <c r="N157" s="4261"/>
      <c r="O157" s="4262"/>
      <c r="P157" s="2490"/>
    </row>
    <row r="158" spans="1:19" customFormat="1">
      <c r="B158" s="4263"/>
      <c r="C158" s="4264"/>
      <c r="D158" s="4264"/>
      <c r="E158" s="4265"/>
      <c r="F158" s="4263"/>
      <c r="G158" s="4265"/>
      <c r="H158" s="4263"/>
      <c r="I158" s="4265"/>
      <c r="J158" s="4266"/>
      <c r="K158" s="4267"/>
      <c r="L158" s="4266"/>
      <c r="M158" s="4267"/>
      <c r="N158" s="4251"/>
      <c r="O158" s="4252"/>
      <c r="P158" s="2490"/>
    </row>
    <row r="159" spans="1:19" customFormat="1">
      <c r="B159" s="4263"/>
      <c r="C159" s="4264"/>
      <c r="D159" s="4264"/>
      <c r="E159" s="4265"/>
      <c r="F159" s="4263"/>
      <c r="G159" s="4265"/>
      <c r="H159" s="4263"/>
      <c r="I159" s="4265"/>
      <c r="J159" s="4266"/>
      <c r="K159" s="4267"/>
      <c r="L159" s="4266"/>
      <c r="M159" s="4267"/>
      <c r="N159" s="4251"/>
      <c r="O159" s="4252"/>
      <c r="P159" s="2490"/>
    </row>
    <row r="160" spans="1:19" customFormat="1">
      <c r="B160" s="4263"/>
      <c r="C160" s="4264"/>
      <c r="D160" s="4264"/>
      <c r="E160" s="4265"/>
      <c r="F160" s="4263"/>
      <c r="G160" s="4265"/>
      <c r="H160" s="4263"/>
      <c r="I160" s="4265"/>
      <c r="J160" s="4266"/>
      <c r="K160" s="4267"/>
      <c r="L160" s="4266"/>
      <c r="M160" s="4267"/>
      <c r="N160" s="4251"/>
      <c r="O160" s="4252"/>
      <c r="P160" s="2490"/>
    </row>
    <row r="161" spans="1:26" customFormat="1">
      <c r="B161" s="4263"/>
      <c r="C161" s="4264"/>
      <c r="D161" s="4264"/>
      <c r="E161" s="4265"/>
      <c r="F161" s="4263"/>
      <c r="G161" s="4265"/>
      <c r="H161" s="4263"/>
      <c r="I161" s="4265"/>
      <c r="J161" s="4266"/>
      <c r="K161" s="4267"/>
      <c r="L161" s="4266"/>
      <c r="M161" s="4267"/>
      <c r="N161" s="4251"/>
      <c r="O161" s="4252"/>
      <c r="P161" s="2490"/>
    </row>
    <row r="162" spans="1:26" customFormat="1">
      <c r="B162" s="4254"/>
      <c r="C162" s="4255"/>
      <c r="D162" s="4255"/>
      <c r="E162" s="4256"/>
      <c r="F162" s="4254"/>
      <c r="G162" s="4256"/>
      <c r="H162" s="4254"/>
      <c r="I162" s="4256"/>
      <c r="J162" s="4257"/>
      <c r="K162" s="4258"/>
      <c r="L162" s="4257"/>
      <c r="M162" s="4258"/>
      <c r="N162" s="4259"/>
      <c r="O162" s="4260"/>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21.75" customHeight="1" thickTop="1" thickBot="1">
      <c r="A164" s="4329" t="s">
        <v>907</v>
      </c>
      <c r="B164" s="4330"/>
      <c r="C164" s="4330"/>
      <c r="D164" s="4330"/>
      <c r="E164" s="4330"/>
      <c r="F164" s="4330"/>
      <c r="G164" s="4330"/>
      <c r="H164" s="4330"/>
      <c r="I164" s="4330"/>
      <c r="J164" s="4330"/>
      <c r="K164" s="4330"/>
      <c r="L164" s="4330"/>
      <c r="M164" s="4330"/>
      <c r="N164" s="4330"/>
      <c r="O164" s="4330"/>
      <c r="P164" s="4331"/>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4"/>
      <c r="B166" s="4175"/>
      <c r="C166" s="4175"/>
      <c r="D166" s="4175"/>
      <c r="E166" s="4175"/>
      <c r="F166" s="4175"/>
      <c r="G166" s="4175"/>
      <c r="H166" s="4175"/>
      <c r="I166" s="4175"/>
      <c r="J166" s="4175"/>
      <c r="K166" s="4175"/>
      <c r="L166" s="4175"/>
      <c r="M166" s="4175"/>
      <c r="N166" s="4175"/>
      <c r="O166" s="4175"/>
      <c r="P166" s="4176"/>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3341</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6181</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6273</v>
      </c>
      <c r="D171" s="177"/>
      <c r="E171" s="177"/>
      <c r="F171" s="177"/>
      <c r="G171" s="177"/>
      <c r="H171" s="177"/>
      <c r="I171" s="177"/>
      <c r="J171" s="177"/>
      <c r="K171" s="177"/>
      <c r="L171" s="177"/>
      <c r="M171" s="1019">
        <v>2</v>
      </c>
      <c r="N171" s="1012" t="s">
        <v>1615</v>
      </c>
      <c r="O171" s="2040"/>
      <c r="P171" s="2159"/>
      <c r="Q171" s="1532" t="str">
        <f>IF(OR($O171=$M171,$O171=0,$O171=""),"","*CHECK!*")</f>
        <v/>
      </c>
      <c r="R171" s="1001" t="s">
        <v>4061</v>
      </c>
      <c r="S171" s="2128"/>
      <c r="T171" s="2128"/>
      <c r="U171" s="2128"/>
    </row>
    <row r="172" spans="1:26" s="417" customFormat="1" ht="12" customHeight="1">
      <c r="B172" s="1012" t="s">
        <v>2241</v>
      </c>
      <c r="C172" s="4317" t="s">
        <v>6688</v>
      </c>
      <c r="D172" s="4317"/>
      <c r="E172" s="4317"/>
      <c r="F172" s="4317"/>
      <c r="G172" s="4317"/>
      <c r="H172" s="4317"/>
      <c r="I172" s="4317"/>
      <c r="J172" s="4317"/>
      <c r="K172" s="4317"/>
      <c r="L172" s="1012"/>
      <c r="M172" s="4334" t="s">
        <v>6092</v>
      </c>
      <c r="N172" s="4334"/>
      <c r="O172" s="4334"/>
      <c r="P172" s="4334"/>
      <c r="S172" s="2128"/>
      <c r="T172" s="2128"/>
      <c r="U172" s="2128"/>
      <c r="V172" s="1687"/>
      <c r="W172" s="1687"/>
      <c r="X172" s="1687"/>
      <c r="Y172" s="1687"/>
      <c r="Z172" s="1687"/>
    </row>
    <row r="173" spans="1:26" s="43" customFormat="1" ht="12.75" customHeight="1">
      <c r="A173" s="398"/>
      <c r="B173" s="400"/>
      <c r="C173" s="4317"/>
      <c r="D173" s="4317"/>
      <c r="E173" s="4317"/>
      <c r="F173" s="4317"/>
      <c r="G173" s="4317"/>
      <c r="H173" s="4317"/>
      <c r="I173" s="4317"/>
      <c r="J173" s="4317"/>
      <c r="K173" s="4317"/>
      <c r="L173" s="1012" t="s">
        <v>2241</v>
      </c>
      <c r="M173" s="4321" t="s">
        <v>3288</v>
      </c>
      <c r="N173" s="4322"/>
      <c r="O173" s="4322"/>
      <c r="P173" s="4323"/>
      <c r="S173" s="2128"/>
      <c r="T173" s="2128"/>
      <c r="U173" s="2128"/>
    </row>
    <row r="174" spans="1:26" s="33" customFormat="1" ht="12.75" customHeight="1">
      <c r="B174" s="400" t="s">
        <v>2242</v>
      </c>
      <c r="C174" s="135" t="s">
        <v>3959</v>
      </c>
      <c r="D174" s="504"/>
      <c r="E174" s="504"/>
      <c r="F174" s="504"/>
      <c r="G174" s="504"/>
      <c r="H174" s="504"/>
      <c r="L174" s="400" t="s">
        <v>2242</v>
      </c>
      <c r="M174" s="4318" t="s">
        <v>3288</v>
      </c>
      <c r="N174" s="4319"/>
      <c r="O174" s="4319"/>
      <c r="P174" s="4320"/>
      <c r="S174" s="2128"/>
      <c r="T174" s="2128"/>
      <c r="U174" s="2128"/>
      <c r="V174" s="586"/>
      <c r="W174" s="586"/>
      <c r="X174" s="586"/>
      <c r="Y174" s="586"/>
      <c r="Z174" s="586"/>
    </row>
    <row r="175" spans="1:26" s="33" customFormat="1" ht="12.75" customHeight="1">
      <c r="B175" s="400" t="s">
        <v>2243</v>
      </c>
      <c r="C175" s="504" t="s">
        <v>6179</v>
      </c>
      <c r="D175" s="504"/>
      <c r="E175" s="504"/>
      <c r="F175" s="504"/>
      <c r="G175" s="504"/>
      <c r="H175" s="504"/>
      <c r="L175" s="400" t="s">
        <v>2243</v>
      </c>
      <c r="M175" s="4318" t="s">
        <v>3288</v>
      </c>
      <c r="N175" s="4319"/>
      <c r="O175" s="4319"/>
      <c r="P175" s="4320"/>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6180</v>
      </c>
      <c r="D176" s="504"/>
      <c r="E176" s="504"/>
      <c r="F176" s="504"/>
      <c r="G176" s="504"/>
      <c r="L176" s="400" t="s">
        <v>2244</v>
      </c>
      <c r="M176" s="4371" t="s">
        <v>3288</v>
      </c>
      <c r="N176" s="4372"/>
      <c r="O176" s="4372"/>
      <c r="P176" s="4373"/>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6256</v>
      </c>
      <c r="D178" s="1780"/>
      <c r="E178" s="1780"/>
      <c r="F178" s="1780"/>
      <c r="G178" s="1780"/>
      <c r="H178" s="1780"/>
      <c r="I178" s="1780"/>
      <c r="K178" s="1194"/>
      <c r="L178" s="1194"/>
      <c r="R178" s="2128"/>
      <c r="S178" s="2128"/>
      <c r="T178" s="2128"/>
      <c r="U178" s="2128"/>
    </row>
    <row r="179" spans="1:21">
      <c r="A179" s="521"/>
      <c r="B179" s="1012" t="s">
        <v>2241</v>
      </c>
      <c r="C179" s="4390" t="s">
        <v>6183</v>
      </c>
      <c r="D179" s="4390"/>
      <c r="E179" s="4390"/>
      <c r="F179" s="4390"/>
      <c r="G179" s="4390"/>
      <c r="H179" s="4390"/>
      <c r="I179" s="4390"/>
      <c r="J179" s="4390"/>
      <c r="K179" s="4390"/>
      <c r="L179" s="4390"/>
      <c r="M179" s="2453">
        <v>1</v>
      </c>
      <c r="N179" s="1012" t="s">
        <v>4079</v>
      </c>
      <c r="O179" s="2144"/>
      <c r="P179" s="2160"/>
      <c r="Q179" s="1532" t="str">
        <f>IF(OR($O179=$M179,$O179=0,$O179=""),"","*CHECK!*")</f>
        <v/>
      </c>
      <c r="R179" s="1001" t="s">
        <v>4061</v>
      </c>
    </row>
    <row r="180" spans="1:21" ht="36.75" customHeight="1">
      <c r="A180" s="521"/>
      <c r="B180" s="413" t="s">
        <v>2242</v>
      </c>
      <c r="C180" s="4390" t="s">
        <v>6184</v>
      </c>
      <c r="D180" s="4390"/>
      <c r="E180" s="4390"/>
      <c r="F180" s="4390"/>
      <c r="G180" s="4390"/>
      <c r="H180" s="4390"/>
      <c r="I180" s="4390"/>
      <c r="J180" s="4390"/>
      <c r="K180" s="4390"/>
      <c r="L180" s="4390"/>
      <c r="M180" s="2453">
        <v>1</v>
      </c>
      <c r="N180" s="1012" t="s">
        <v>6265</v>
      </c>
      <c r="O180" s="2182"/>
      <c r="P180" s="2183"/>
      <c r="Q180" s="1532" t="str">
        <f>IF(OR($O180=$M180,$O180=0,$O180=""),"","*CHECK!*")</f>
        <v/>
      </c>
      <c r="R180" s="1001" t="s">
        <v>4061</v>
      </c>
    </row>
    <row r="181" spans="1:21" ht="12" customHeight="1">
      <c r="A181" s="521"/>
      <c r="B181" s="2090" t="s">
        <v>2243</v>
      </c>
      <c r="C181" s="2438" t="s">
        <v>6267</v>
      </c>
      <c r="D181" s="1011"/>
      <c r="E181" s="1011"/>
      <c r="F181" s="1011"/>
      <c r="G181" s="1011"/>
      <c r="H181" s="1011"/>
      <c r="I181" s="1011"/>
      <c r="J181" s="1011"/>
      <c r="K181" s="1011"/>
      <c r="L181" s="1011"/>
      <c r="M181" s="1127">
        <v>1</v>
      </c>
      <c r="N181" s="412" t="s">
        <v>6266</v>
      </c>
      <c r="O181" s="2145"/>
      <c r="P181" s="2161"/>
      <c r="Q181" s="1532" t="str">
        <f>IF(OR($O181=$M181,$O181=0,$O181=""),"","*CHECK!*")</f>
        <v/>
      </c>
      <c r="R181" s="1001" t="s">
        <v>4061</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3824</v>
      </c>
      <c r="D183" s="33"/>
      <c r="F183" s="1507"/>
      <c r="K183" s="1172"/>
      <c r="L183" s="401" t="str">
        <f>IF(OR($O183=$M183,$O183=0,$O183=1,$O183=""),"","* * Check Score! * *")</f>
        <v/>
      </c>
      <c r="M183" s="1019">
        <v>2</v>
      </c>
      <c r="N183" s="64" t="s">
        <v>1844</v>
      </c>
      <c r="O183" s="599"/>
      <c r="P183" s="847"/>
      <c r="Q183" s="1004" t="str">
        <f>IF(OR($O183=$M183,$O183=0,$O183=""),"","*CHECK!*")</f>
        <v/>
      </c>
      <c r="R183" s="1001" t="s">
        <v>4061</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329" t="s">
        <v>907</v>
      </c>
      <c r="B185" s="4330"/>
      <c r="C185" s="4330"/>
      <c r="D185" s="4330"/>
      <c r="E185" s="4330"/>
      <c r="F185" s="4330"/>
      <c r="G185" s="4330"/>
      <c r="H185" s="4330"/>
      <c r="I185" s="4330"/>
      <c r="J185" s="4330"/>
      <c r="K185" s="4330"/>
      <c r="L185" s="4330"/>
      <c r="M185" s="4330"/>
      <c r="N185" s="4330"/>
      <c r="O185" s="4330"/>
      <c r="P185" s="4331"/>
      <c r="Q185" s="1078" t="s">
        <v>1181</v>
      </c>
    </row>
    <row r="186" spans="1:21" s="103" customFormat="1" ht="11.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4"/>
      <c r="B187" s="4175"/>
      <c r="C187" s="4175"/>
      <c r="D187" s="4175"/>
      <c r="E187" s="4175"/>
      <c r="F187" s="4175"/>
      <c r="G187" s="4175"/>
      <c r="H187" s="4175"/>
      <c r="I187" s="4175"/>
      <c r="J187" s="4175"/>
      <c r="K187" s="4175"/>
      <c r="L187" s="4175"/>
      <c r="M187" s="4175"/>
      <c r="N187" s="4175"/>
      <c r="O187" s="4175"/>
      <c r="P187" s="4176"/>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3342</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3674</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t="s">
        <v>6926</v>
      </c>
      <c r="P190" s="1382"/>
      <c r="Q190" s="110"/>
      <c r="R190" s="2129"/>
      <c r="S190" s="2129"/>
      <c r="T190" s="2129"/>
      <c r="U190" s="2129"/>
    </row>
    <row r="191" spans="1:21" s="43" customFormat="1" ht="13.5" customHeight="1">
      <c r="A191" s="154"/>
      <c r="B191" s="2146" t="s">
        <v>6257</v>
      </c>
      <c r="C191" s="2123"/>
      <c r="D191" s="2123"/>
      <c r="E191" s="2123"/>
      <c r="F191" s="2123"/>
      <c r="G191" s="2123"/>
      <c r="H191" s="2123"/>
      <c r="L191" s="1508"/>
      <c r="M191" s="872"/>
      <c r="N191" s="872"/>
      <c r="O191" s="872"/>
      <c r="P191" s="872"/>
      <c r="Q191" s="110"/>
      <c r="R191" s="2129"/>
      <c r="S191" s="2129"/>
      <c r="T191" s="2129"/>
      <c r="U191" s="2129"/>
    </row>
    <row r="192" spans="1:21" ht="11.5" customHeight="1">
      <c r="A192" s="139" t="s">
        <v>698</v>
      </c>
      <c r="B192" s="190" t="s">
        <v>6215</v>
      </c>
      <c r="D192" s="33"/>
      <c r="G192" s="488"/>
      <c r="N192" s="27"/>
      <c r="O192" s="527"/>
      <c r="P192" s="527"/>
      <c r="Q192" s="1009"/>
    </row>
    <row r="193" spans="1:24" s="1684" customFormat="1" ht="12.75" customHeight="1">
      <c r="B193" s="462" t="s">
        <v>1845</v>
      </c>
      <c r="C193" s="4317" t="s">
        <v>6212</v>
      </c>
      <c r="D193" s="4317"/>
      <c r="E193" s="4317"/>
      <c r="F193" s="4317"/>
      <c r="G193" s="4317"/>
      <c r="H193" s="4317"/>
      <c r="I193" s="4317"/>
      <c r="J193" s="4317"/>
      <c r="K193" s="4317"/>
      <c r="L193" s="4317"/>
      <c r="M193" s="1125" t="s">
        <v>698</v>
      </c>
      <c r="N193" s="415" t="s">
        <v>1845</v>
      </c>
      <c r="O193" s="1158"/>
      <c r="P193" s="1157"/>
      <c r="Q193" s="1214"/>
      <c r="V193" s="2070"/>
      <c r="W193" s="2070"/>
    </row>
    <row r="194" spans="1:24" s="33" customFormat="1" ht="12.75" customHeight="1">
      <c r="A194" s="521"/>
      <c r="B194" s="462" t="s">
        <v>1847</v>
      </c>
      <c r="C194" s="458" t="s">
        <v>6213</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90" t="s">
        <v>6216</v>
      </c>
      <c r="D195" s="4390"/>
      <c r="E195" s="4390"/>
      <c r="F195" s="4390"/>
      <c r="G195" s="4390"/>
      <c r="H195" s="4390"/>
      <c r="I195" s="4390"/>
      <c r="J195" s="4390"/>
      <c r="K195" s="4390"/>
      <c r="L195" s="4390"/>
      <c r="M195" s="1008"/>
      <c r="N195" s="415" t="s">
        <v>2333</v>
      </c>
      <c r="O195" s="2127"/>
      <c r="P195" s="2126"/>
      <c r="Q195" s="1010"/>
      <c r="V195" s="1209"/>
      <c r="W195" s="1209"/>
    </row>
    <row r="196" spans="1:24" ht="11.5" customHeight="1">
      <c r="A196" s="139" t="s">
        <v>1963</v>
      </c>
      <c r="B196" s="190" t="s">
        <v>6214</v>
      </c>
      <c r="D196" s="33"/>
      <c r="G196" s="488"/>
      <c r="N196" s="27"/>
      <c r="O196" s="527"/>
      <c r="P196" s="527"/>
      <c r="Q196" s="1009"/>
    </row>
    <row r="197" spans="1:24" s="1684" customFormat="1" ht="23.25" customHeight="1">
      <c r="B197" s="462" t="s">
        <v>1845</v>
      </c>
      <c r="C197" s="4317" t="s">
        <v>6217</v>
      </c>
      <c r="D197" s="4317"/>
      <c r="E197" s="4317"/>
      <c r="F197" s="4317"/>
      <c r="G197" s="4317"/>
      <c r="H197" s="4317"/>
      <c r="I197" s="4317"/>
      <c r="J197" s="4317"/>
      <c r="K197" s="4317"/>
      <c r="L197" s="4317"/>
      <c r="M197" s="1125" t="s">
        <v>1963</v>
      </c>
      <c r="N197" s="415" t="s">
        <v>1845</v>
      </c>
      <c r="O197" s="1158"/>
      <c r="P197" s="1157"/>
      <c r="Q197" s="1214"/>
      <c r="V197" s="2070"/>
      <c r="W197" s="2070"/>
    </row>
    <row r="198" spans="1:24" s="33" customFormat="1" ht="23.25" customHeight="1">
      <c r="A198" s="521"/>
      <c r="B198" s="462" t="s">
        <v>1847</v>
      </c>
      <c r="C198" s="4390" t="s">
        <v>6258</v>
      </c>
      <c r="D198" s="4390"/>
      <c r="E198" s="4390"/>
      <c r="F198" s="4390"/>
      <c r="G198" s="4390"/>
      <c r="H198" s="4390"/>
      <c r="I198" s="4390"/>
      <c r="J198" s="4390"/>
      <c r="K198" s="4390"/>
      <c r="L198" s="4390"/>
      <c r="M198" s="961"/>
      <c r="N198" s="415" t="s">
        <v>1847</v>
      </c>
      <c r="O198" s="1937"/>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5" customHeight="1" thickTop="1" thickBot="1">
      <c r="A200" s="4394" t="s">
        <v>907</v>
      </c>
      <c r="B200" s="4395"/>
      <c r="C200" s="4395"/>
      <c r="D200" s="4395"/>
      <c r="E200" s="4395"/>
      <c r="F200" s="4395"/>
      <c r="G200" s="4395"/>
      <c r="H200" s="4395"/>
      <c r="I200" s="4395"/>
      <c r="J200" s="4395"/>
      <c r="K200" s="4395"/>
      <c r="L200" s="4395"/>
      <c r="M200" s="4395"/>
      <c r="N200" s="4395"/>
      <c r="O200" s="4395"/>
      <c r="P200" s="4396"/>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25" customHeight="1">
      <c r="A202" s="4275"/>
      <c r="B202" s="4276"/>
      <c r="C202" s="4276"/>
      <c r="D202" s="4276"/>
      <c r="E202" s="4276"/>
      <c r="F202" s="4276"/>
      <c r="G202" s="4276"/>
      <c r="H202" s="4276"/>
      <c r="I202" s="4276"/>
      <c r="J202" s="4276"/>
      <c r="K202" s="4276"/>
      <c r="L202" s="4276"/>
      <c r="M202" s="4276"/>
      <c r="N202" s="4276"/>
      <c r="O202" s="4276"/>
      <c r="P202" s="4277"/>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4</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3825</v>
      </c>
      <c r="C206" s="92"/>
      <c r="D206" s="59"/>
      <c r="E206" s="59"/>
      <c r="K206" s="1682"/>
      <c r="M206" s="1127">
        <v>5</v>
      </c>
      <c r="N206" s="412" t="s">
        <v>1842</v>
      </c>
      <c r="O206" s="599">
        <v>3</v>
      </c>
      <c r="P206" s="847"/>
      <c r="Q206" s="1532" t="str">
        <f>IF(O206&lt;=M206,"","*CHECK!*")</f>
        <v/>
      </c>
      <c r="R206" s="1001" t="s">
        <v>4061</v>
      </c>
      <c r="S206" s="2130"/>
      <c r="T206" s="2130"/>
      <c r="U206" s="2130"/>
    </row>
    <row r="207" spans="1:24" customFormat="1" ht="12.75" customHeight="1">
      <c r="B207" s="2147"/>
      <c r="C207" s="2140" t="s">
        <v>6259</v>
      </c>
      <c r="D207" s="2148"/>
      <c r="E207" s="2149"/>
      <c r="F207" s="2149"/>
      <c r="G207" s="2148"/>
      <c r="H207" s="2148"/>
      <c r="I207" s="2148"/>
      <c r="J207" s="4348" t="s">
        <v>6942</v>
      </c>
      <c r="K207" s="4349"/>
      <c r="L207" s="4350"/>
      <c r="M207" s="4351"/>
      <c r="N207" s="2150"/>
      <c r="O207" s="1202"/>
      <c r="P207" s="2121"/>
      <c r="Q207" s="27"/>
      <c r="R207" s="2151"/>
      <c r="S207" s="2148"/>
    </row>
    <row r="208" spans="1:24" customFormat="1" ht="12.75" customHeight="1">
      <c r="C208" s="2152" t="s">
        <v>6260</v>
      </c>
      <c r="D208" s="1641"/>
      <c r="J208" s="4415"/>
      <c r="K208" s="4416"/>
      <c r="L208" s="4416"/>
      <c r="M208" s="4417"/>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6218</v>
      </c>
      <c r="C210" s="52"/>
      <c r="E210" s="596"/>
      <c r="K210" s="412"/>
      <c r="L210" s="412"/>
      <c r="M210" s="1127">
        <v>5</v>
      </c>
      <c r="N210" s="412" t="s">
        <v>1844</v>
      </c>
      <c r="O210" s="599">
        <v>1</v>
      </c>
      <c r="P210" s="847"/>
      <c r="Q210" s="1532" t="str">
        <f>IF(O210&lt;=M210,"","*CHECK!*")</f>
        <v/>
      </c>
      <c r="R210" s="1001" t="s">
        <v>4061</v>
      </c>
      <c r="S210" s="2130"/>
      <c r="T210" s="2130"/>
      <c r="U210" s="2130"/>
    </row>
    <row r="211" spans="1:37" customFormat="1">
      <c r="C211" s="2154" t="s">
        <v>6224</v>
      </c>
      <c r="D211" s="27"/>
      <c r="E211" s="4533" t="s">
        <v>6223</v>
      </c>
      <c r="F211" s="4533"/>
      <c r="G211" s="4533"/>
      <c r="H211" s="4533"/>
      <c r="I211" s="2085" t="s">
        <v>6250</v>
      </c>
      <c r="J211" s="4533" t="s">
        <v>6223</v>
      </c>
      <c r="K211" s="4533"/>
      <c r="L211" s="4533"/>
      <c r="M211" s="4533"/>
      <c r="R211" s="27"/>
      <c r="S211" s="27"/>
      <c r="T211" s="27"/>
      <c r="U211" s="27"/>
      <c r="V211" s="27"/>
      <c r="W211" s="27"/>
      <c r="X211" s="27"/>
      <c r="Y211" s="27"/>
      <c r="AH211" s="27"/>
      <c r="AI211" s="27"/>
      <c r="AJ211" s="27"/>
      <c r="AK211" s="27"/>
    </row>
    <row r="212" spans="1:37" customFormat="1" ht="13.5" customHeight="1">
      <c r="B212" s="2155"/>
      <c r="C212" s="2140" t="s">
        <v>6221</v>
      </c>
      <c r="D212" s="27"/>
      <c r="E212" s="4534" t="s">
        <v>6943</v>
      </c>
      <c r="F212" s="4535"/>
      <c r="G212" s="4535"/>
      <c r="H212" s="4536"/>
      <c r="I212" s="2491" t="s">
        <v>907</v>
      </c>
      <c r="J212" s="4412"/>
      <c r="K212" s="4413"/>
      <c r="L212" s="4413"/>
      <c r="M212" s="4414"/>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6222</v>
      </c>
      <c r="D213" s="27"/>
      <c r="E213" s="4403" t="s">
        <v>6944</v>
      </c>
      <c r="F213" s="4404"/>
      <c r="G213" s="4404"/>
      <c r="H213" s="4405"/>
      <c r="I213" s="2578" t="s">
        <v>6945</v>
      </c>
      <c r="J213" s="4418"/>
      <c r="K213" s="4419"/>
      <c r="L213" s="4419"/>
      <c r="M213" s="4420"/>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6219</v>
      </c>
      <c r="D214" s="27"/>
      <c r="E214" s="4403" t="s">
        <v>6943</v>
      </c>
      <c r="F214" s="4404"/>
      <c r="G214" s="4404"/>
      <c r="H214" s="4405"/>
      <c r="I214" s="2578" t="s">
        <v>6945</v>
      </c>
      <c r="J214" s="4418"/>
      <c r="K214" s="4419"/>
      <c r="L214" s="4419"/>
      <c r="M214" s="4420"/>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6220</v>
      </c>
      <c r="D215" s="27"/>
      <c r="E215" s="4400" t="s">
        <v>6943</v>
      </c>
      <c r="F215" s="4401"/>
      <c r="G215" s="4401"/>
      <c r="H215" s="4402"/>
      <c r="I215" s="2579" t="s">
        <v>6945</v>
      </c>
      <c r="J215" s="4409"/>
      <c r="K215" s="4410"/>
      <c r="L215" s="4410"/>
      <c r="M215" s="4411"/>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35" customHeight="1" thickTop="1" thickBot="1">
      <c r="A219" s="4329" t="s">
        <v>6957</v>
      </c>
      <c r="B219" s="4330"/>
      <c r="C219" s="4330"/>
      <c r="D219" s="4330"/>
      <c r="E219" s="4330"/>
      <c r="F219" s="4330"/>
      <c r="G219" s="4330"/>
      <c r="H219" s="4330"/>
      <c r="I219" s="4330"/>
      <c r="J219" s="4330"/>
      <c r="K219" s="4330"/>
      <c r="L219" s="4330"/>
      <c r="M219" s="4330"/>
      <c r="N219" s="4330"/>
      <c r="O219" s="4330"/>
      <c r="P219" s="4331"/>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5"/>
      <c r="B222" s="4276"/>
      <c r="C222" s="4276"/>
      <c r="D222" s="4276"/>
      <c r="E222" s="4276"/>
      <c r="F222" s="4276"/>
      <c r="G222" s="4276"/>
      <c r="H222" s="4276"/>
      <c r="I222" s="4276"/>
      <c r="J222" s="4276"/>
      <c r="K222" s="4276"/>
      <c r="L222" s="4276"/>
      <c r="M222" s="4276"/>
      <c r="N222" s="4276"/>
      <c r="O222" s="4276"/>
      <c r="P222" s="427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4037</v>
      </c>
      <c r="C224" s="442"/>
      <c r="E224" s="117"/>
      <c r="G224" s="2113" t="s">
        <v>6253</v>
      </c>
      <c r="H224" s="1980" t="str">
        <f>IF(OR($M$34="9% Credit Competitive Round only", $M$34="9% Credit &amp; HOME"),"9%",IF(OR($M$34="4% Credit/TE Bond", $M$34="4% Credit/TE Bond &amp; HOME", $M$34="4% Credit/TE Bond &amp; HOME NOFA", $M$34="4% Credit &amp; NHTF", $M$34="4% Credit &amp; NHTF &amp; HOME"),"4%",""))</f>
        <v>9%</v>
      </c>
      <c r="J224" s="2112" t="s">
        <v>363</v>
      </c>
      <c r="K224" s="4391" t="str">
        <f>M54</f>
        <v>New Supply</v>
      </c>
      <c r="L224" s="4392"/>
      <c r="M224" s="152">
        <v>1</v>
      </c>
      <c r="N224" s="1123"/>
      <c r="O224" s="1104">
        <f>IF(O226+O227&gt;$M$224,"Choose",MIN($M$224,SUM(O226:O227)))</f>
        <v>0</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6254</v>
      </c>
      <c r="D225" s="39"/>
      <c r="E225" s="36"/>
      <c r="F225" s="872"/>
      <c r="G225" s="1678" t="s">
        <v>3155</v>
      </c>
      <c r="H225" s="1509">
        <f>IF('Part V-Revenues &amp; Expenses'!$P$67=0,0,'Part V-Revenues &amp; Expenses'!$P$64/'Part V-Revenues &amp; Expenses'!$P$67)</f>
        <v>0</v>
      </c>
      <c r="J225" s="488" t="s">
        <v>3962</v>
      </c>
      <c r="K225" s="4407" t="str">
        <f>'Part V-Revenues &amp; Expenses'!$O$53</f>
        <v>40% of Units at 60% of AMI</v>
      </c>
      <c r="L225" s="4408"/>
      <c r="M225" s="60"/>
      <c r="N225" s="872"/>
      <c r="O225" s="2106"/>
      <c r="P225" s="3"/>
    </row>
    <row r="226" spans="1:24" ht="12" customHeight="1">
      <c r="A226" s="1675" t="s">
        <v>1842</v>
      </c>
      <c r="B226" s="1681" t="s">
        <v>3960</v>
      </c>
      <c r="C226" s="442"/>
      <c r="E226" s="305" t="s">
        <v>3961</v>
      </c>
      <c r="M226" s="598">
        <v>1</v>
      </c>
      <c r="N226" s="478" t="s">
        <v>1842</v>
      </c>
      <c r="O226" s="1685"/>
      <c r="P226" s="1686"/>
      <c r="Q226" s="1004" t="str">
        <f>IF(OR($O226=$M226,$O226=0,$O226=""),"","*CHECK!*")</f>
        <v/>
      </c>
      <c r="R226" s="1001" t="s">
        <v>4061</v>
      </c>
    </row>
    <row r="227" spans="1:24" ht="12" customHeight="1">
      <c r="A227" s="1675" t="s">
        <v>1844</v>
      </c>
      <c r="B227" s="1681" t="s">
        <v>3815</v>
      </c>
      <c r="C227" s="442"/>
      <c r="E227" s="305" t="s">
        <v>4042</v>
      </c>
      <c r="M227" s="1123">
        <v>1</v>
      </c>
      <c r="N227" s="478" t="s">
        <v>1844</v>
      </c>
      <c r="O227" s="535"/>
      <c r="P227" s="545"/>
      <c r="Q227" s="1004" t="str">
        <f>IF(OR($O227=$M227,$O227=0,$O227=""),"","*CHECK!*")</f>
        <v/>
      </c>
      <c r="R227" s="1001" t="s">
        <v>4061</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275"/>
      <c r="B230" s="4276"/>
      <c r="C230" s="4276"/>
      <c r="D230" s="4276"/>
      <c r="E230" s="4276"/>
      <c r="F230" s="4276"/>
      <c r="G230" s="4276"/>
      <c r="H230" s="4276"/>
      <c r="I230" s="4276"/>
      <c r="J230" s="4276"/>
      <c r="K230" s="4276"/>
      <c r="L230" s="4276"/>
      <c r="M230" s="4276"/>
      <c r="N230" s="4276"/>
      <c r="O230" s="4276"/>
      <c r="P230" s="4277"/>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3343</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398"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398"/>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5" customHeight="1" thickTop="1" thickBot="1">
      <c r="A237" s="4329" t="s">
        <v>907</v>
      </c>
      <c r="B237" s="4330"/>
      <c r="C237" s="4330"/>
      <c r="D237" s="4330"/>
      <c r="E237" s="4330"/>
      <c r="F237" s="4330"/>
      <c r="G237" s="4330"/>
      <c r="H237" s="4330"/>
      <c r="I237" s="4330"/>
      <c r="J237" s="4330"/>
      <c r="K237" s="4330"/>
      <c r="L237" s="4330"/>
      <c r="M237" s="4330"/>
      <c r="N237" s="4330"/>
      <c r="O237" s="4330"/>
      <c r="P237" s="4331"/>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5"/>
      <c r="B239" s="4276"/>
      <c r="C239" s="4276"/>
      <c r="D239" s="4276"/>
      <c r="E239" s="4276"/>
      <c r="F239" s="4276"/>
      <c r="G239" s="4276"/>
      <c r="H239" s="4276"/>
      <c r="I239" s="4276"/>
      <c r="J239" s="4276"/>
      <c r="K239" s="4276"/>
      <c r="L239" s="4276"/>
      <c r="M239" s="4276"/>
      <c r="N239" s="4276"/>
      <c r="O239" s="4276"/>
      <c r="P239" s="427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4039</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4061</v>
      </c>
      <c r="S241" s="1067"/>
      <c r="T241" s="1067"/>
      <c r="U241" s="1067"/>
      <c r="V241" s="1067"/>
      <c r="W241" s="1784"/>
      <c r="X241" s="1784"/>
    </row>
    <row r="242" spans="1:27" s="101" customFormat="1" ht="11">
      <c r="A242" s="462"/>
      <c r="B242" s="1007" t="s">
        <v>6261</v>
      </c>
      <c r="C242" s="1007"/>
      <c r="D242" s="1007"/>
      <c r="E242" s="1007"/>
      <c r="F242" s="1007"/>
      <c r="G242" s="1007"/>
      <c r="H242" s="1007"/>
      <c r="I242" s="1007"/>
      <c r="J242" s="1007"/>
      <c r="K242" s="1007"/>
      <c r="L242" s="1007"/>
      <c r="M242" s="1007"/>
      <c r="N242" s="163"/>
      <c r="O242" s="1160" t="s">
        <v>2654</v>
      </c>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6262</v>
      </c>
      <c r="E243" s="458" t="s">
        <v>3311</v>
      </c>
      <c r="G243" s="2164"/>
      <c r="H243" s="412" t="s">
        <v>574</v>
      </c>
      <c r="I243" s="4529"/>
      <c r="J243" s="4529"/>
      <c r="L243" s="2187" t="s">
        <v>6264</v>
      </c>
      <c r="M243" s="4530"/>
      <c r="N243" s="4530"/>
    </row>
    <row r="244" spans="1:27" s="118" customFormat="1" ht="11.25" customHeight="1">
      <c r="A244" s="399"/>
      <c r="B244" s="462" t="s">
        <v>1847</v>
      </c>
      <c r="C244" s="2140" t="s">
        <v>6263</v>
      </c>
      <c r="E244" s="458" t="s">
        <v>3311</v>
      </c>
      <c r="G244" s="2165"/>
      <c r="H244" s="412" t="s">
        <v>574</v>
      </c>
      <c r="I244" s="4399"/>
      <c r="J244" s="4399"/>
      <c r="L244" s="2187" t="s">
        <v>6264</v>
      </c>
      <c r="M244" s="4406"/>
      <c r="N244" s="4406"/>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329" t="s">
        <v>907</v>
      </c>
      <c r="B247" s="4330"/>
      <c r="C247" s="4330"/>
      <c r="D247" s="4330"/>
      <c r="E247" s="4330"/>
      <c r="F247" s="4330"/>
      <c r="G247" s="4330"/>
      <c r="H247" s="4330"/>
      <c r="I247" s="4330"/>
      <c r="J247" s="4330"/>
      <c r="K247" s="4330"/>
      <c r="L247" s="4330"/>
      <c r="M247" s="4330"/>
      <c r="N247" s="4330"/>
      <c r="O247" s="4330"/>
      <c r="P247" s="4331"/>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4"/>
      <c r="B249" s="4175"/>
      <c r="C249" s="4175"/>
      <c r="D249" s="4175"/>
      <c r="E249" s="4175"/>
      <c r="F249" s="4175"/>
      <c r="G249" s="4175"/>
      <c r="H249" s="4175"/>
      <c r="I249" s="4175"/>
      <c r="J249" s="4175"/>
      <c r="K249" s="4175"/>
      <c r="L249" s="4175"/>
      <c r="M249" s="4175"/>
      <c r="N249" s="4175"/>
      <c r="O249" s="4175"/>
      <c r="P249" s="4176"/>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3963</v>
      </c>
      <c r="D251" s="41"/>
      <c r="E251" s="55" t="s">
        <v>6270</v>
      </c>
      <c r="G251" s="61"/>
      <c r="L251" s="1482" t="str">
        <f>IF(AND(O251&gt;0,NOT($M$54="New Supply")), "Ineligible to score in this section, not New Supply!","")</f>
        <v/>
      </c>
      <c r="M251" s="1674">
        <v>5</v>
      </c>
      <c r="N251" s="6"/>
      <c r="O251" s="1104">
        <f>MIN($M251,MAX(O252,O253,O254))</f>
        <v>5</v>
      </c>
      <c r="P251" s="1104">
        <f>MIN($M251,MAX(P252,P253,P254))</f>
        <v>0</v>
      </c>
      <c r="Q251" s="110" t="s">
        <v>416</v>
      </c>
      <c r="R251" s="1001" t="s">
        <v>4061</v>
      </c>
      <c r="S251" s="2166"/>
      <c r="T251" s="2166"/>
      <c r="U251" s="2166"/>
      <c r="V251" s="2166"/>
      <c r="W251" s="1784"/>
      <c r="X251" s="1784"/>
    </row>
    <row r="252" spans="1:27" s="33" customFormat="1" ht="11.25" customHeight="1">
      <c r="A252" s="139" t="s">
        <v>1842</v>
      </c>
      <c r="B252" s="190" t="s">
        <v>6269</v>
      </c>
      <c r="D252" s="596"/>
      <c r="M252" s="1019">
        <v>5</v>
      </c>
      <c r="N252" s="478" t="s">
        <v>1842</v>
      </c>
      <c r="O252" s="2167">
        <v>5</v>
      </c>
      <c r="P252" s="1151"/>
      <c r="Q252" s="1004" t="str">
        <f>IF(OR($O252=$M252,$O252=$M252-1,$O252=0,$O252=""),"","*CHECK!*")</f>
        <v/>
      </c>
      <c r="R252" s="1001" t="s">
        <v>4061</v>
      </c>
      <c r="S252" s="2166"/>
      <c r="T252" s="2166"/>
      <c r="U252" s="2166"/>
      <c r="V252" s="2166"/>
    </row>
    <row r="253" spans="1:27" s="33" customFormat="1" ht="11.25" customHeight="1">
      <c r="A253" s="139" t="s">
        <v>1844</v>
      </c>
      <c r="B253" s="190" t="s">
        <v>6271</v>
      </c>
      <c r="D253" s="596"/>
      <c r="M253" s="1019">
        <v>3</v>
      </c>
      <c r="N253" s="478" t="s">
        <v>1844</v>
      </c>
      <c r="O253" s="534"/>
      <c r="P253" s="544"/>
      <c r="Q253" s="1004" t="str">
        <f t="shared" ref="Q253:Q254" si="3">IF(OR($O253=$M253,$O253=$M253-1,$O253=0,$O253=""),"","*CHECK!*")</f>
        <v/>
      </c>
      <c r="R253" s="1001" t="s">
        <v>4061</v>
      </c>
    </row>
    <row r="254" spans="1:27">
      <c r="A254" s="139" t="s">
        <v>698</v>
      </c>
      <c r="B254" s="190" t="s">
        <v>6272</v>
      </c>
      <c r="E254" s="40" t="s">
        <v>6234</v>
      </c>
      <c r="I254" s="1683"/>
      <c r="L254" s="2087"/>
      <c r="M254" s="1019">
        <v>3</v>
      </c>
      <c r="N254" s="478" t="s">
        <v>698</v>
      </c>
      <c r="O254" s="535"/>
      <c r="P254" s="545"/>
      <c r="Q254" s="1004" t="str">
        <f t="shared" si="3"/>
        <v/>
      </c>
      <c r="R254" s="1001" t="s">
        <v>4061</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21.75" customHeight="1" thickTop="1" thickBot="1">
      <c r="A256" s="4329" t="s">
        <v>6958</v>
      </c>
      <c r="B256" s="4330"/>
      <c r="C256" s="4330"/>
      <c r="D256" s="4330"/>
      <c r="E256" s="4330"/>
      <c r="F256" s="4330"/>
      <c r="G256" s="4330"/>
      <c r="H256" s="4330"/>
      <c r="I256" s="4330"/>
      <c r="J256" s="4330"/>
      <c r="K256" s="4330"/>
      <c r="L256" s="4330"/>
      <c r="M256" s="4330"/>
      <c r="N256" s="4330"/>
      <c r="O256" s="4330"/>
      <c r="P256" s="4331"/>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174"/>
      <c r="B258" s="4175"/>
      <c r="C258" s="4175"/>
      <c r="D258" s="4175"/>
      <c r="E258" s="4175"/>
      <c r="F258" s="4175"/>
      <c r="G258" s="4175"/>
      <c r="H258" s="4175"/>
      <c r="I258" s="4175"/>
      <c r="J258" s="4175"/>
      <c r="K258" s="4175"/>
      <c r="L258" s="4175"/>
      <c r="M258" s="4175"/>
      <c r="N258" s="4175"/>
      <c r="O258" s="4175"/>
      <c r="P258" s="4176"/>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4062</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6618</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6619</v>
      </c>
      <c r="D263" s="61"/>
      <c r="E263" s="61"/>
      <c r="F263" s="44"/>
      <c r="G263" s="27"/>
      <c r="L263" s="401"/>
      <c r="M263" s="1019">
        <v>2</v>
      </c>
      <c r="N263" s="2440" t="s">
        <v>1847</v>
      </c>
      <c r="O263" s="389" t="s">
        <v>6926</v>
      </c>
      <c r="P263" s="550"/>
      <c r="Q263" s="1004"/>
      <c r="R263" s="1103"/>
      <c r="T263" s="1077"/>
      <c r="U263" s="1077"/>
    </row>
    <row r="264" spans="1:21" s="103" customFormat="1" ht="10.5" customHeight="1">
      <c r="A264" s="139"/>
      <c r="B264" s="462" t="s">
        <v>2333</v>
      </c>
      <c r="C264" s="40" t="s">
        <v>6620</v>
      </c>
      <c r="D264" s="61"/>
      <c r="E264" s="61"/>
      <c r="F264" s="44"/>
      <c r="G264" s="27"/>
      <c r="K264" s="478"/>
      <c r="M264" s="1019">
        <v>1</v>
      </c>
      <c r="N264" s="2440" t="s">
        <v>2333</v>
      </c>
      <c r="O264" s="231" t="s">
        <v>6926</v>
      </c>
      <c r="P264" s="551"/>
      <c r="R264" s="414"/>
      <c r="T264" s="1077"/>
      <c r="U264" s="1077"/>
    </row>
    <row r="265" spans="1:21" s="43" customFormat="1" ht="11.25" customHeight="1">
      <c r="A265" s="139" t="s">
        <v>1844</v>
      </c>
      <c r="B265" s="177" t="s">
        <v>3955</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2" t="s">
        <v>6621</v>
      </c>
      <c r="C266" s="4162"/>
      <c r="D266" s="4162"/>
      <c r="E266" s="4162"/>
      <c r="F266" s="4162"/>
      <c r="G266" s="4162"/>
      <c r="H266" s="4162"/>
      <c r="I266" s="4162"/>
      <c r="J266" s="4162"/>
      <c r="K266" s="4162"/>
      <c r="L266" s="4162"/>
      <c r="M266" s="7"/>
      <c r="N266" s="478"/>
      <c r="O266" s="1198" t="s">
        <v>2654</v>
      </c>
      <c r="P266" s="1199"/>
      <c r="Q266" s="414"/>
      <c r="R266" s="401"/>
      <c r="T266" s="1077"/>
      <c r="U266" s="1077"/>
    </row>
    <row r="267" spans="1:21" s="43" customFormat="1" ht="11.25" customHeight="1">
      <c r="A267" s="139" t="s">
        <v>698</v>
      </c>
      <c r="B267" s="177" t="s">
        <v>3827</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6622</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6235</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4"/>
      <c r="B271" s="4175"/>
      <c r="C271" s="4175"/>
      <c r="D271" s="4175"/>
      <c r="E271" s="4175"/>
      <c r="F271" s="4175"/>
      <c r="G271" s="4175"/>
      <c r="H271" s="4175"/>
      <c r="I271" s="4175"/>
      <c r="J271" s="4175"/>
      <c r="K271" s="4175"/>
      <c r="L271" s="4175"/>
      <c r="M271" s="4175"/>
      <c r="N271" s="4175"/>
      <c r="O271" s="4175"/>
      <c r="P271" s="4176"/>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3371</v>
      </c>
      <c r="B273" s="107" t="s">
        <v>6578</v>
      </c>
      <c r="C273" s="92"/>
      <c r="D273" s="59"/>
      <c r="E273" s="59"/>
      <c r="G273" s="2117"/>
      <c r="H273" s="185"/>
      <c r="I273" s="2112" t="s">
        <v>6143</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6579</v>
      </c>
      <c r="D275" s="634"/>
      <c r="E275" s="634"/>
      <c r="F275" s="634"/>
      <c r="G275" s="634"/>
      <c r="H275" s="634"/>
      <c r="L275" s="1013"/>
      <c r="M275" s="2327">
        <v>1</v>
      </c>
      <c r="N275" s="478" t="s">
        <v>1842</v>
      </c>
      <c r="O275" s="230" t="s">
        <v>6926</v>
      </c>
      <c r="P275" s="549"/>
      <c r="Q275" s="1023">
        <f>IF(L275="Yes",1,0)</f>
        <v>0</v>
      </c>
      <c r="R275" s="2130"/>
      <c r="S275" s="2130"/>
      <c r="T275" s="2130"/>
      <c r="U275" s="2130"/>
      <c r="V275" s="2130"/>
    </row>
    <row r="276" spans="1:24" ht="11.25" customHeight="1">
      <c r="A276" s="1675" t="s">
        <v>1844</v>
      </c>
      <c r="B276" s="1128" t="s">
        <v>6580</v>
      </c>
      <c r="D276" s="634"/>
      <c r="L276" s="1013"/>
      <c r="M276" s="2327">
        <v>2</v>
      </c>
      <c r="N276" s="478" t="s">
        <v>1844</v>
      </c>
      <c r="O276" s="2423" t="s">
        <v>6926</v>
      </c>
      <c r="P276" s="551"/>
      <c r="Q276" s="1023">
        <f>IF(L276="Yes",1,0)</f>
        <v>0</v>
      </c>
      <c r="R276" s="2130"/>
      <c r="S276" s="2130"/>
      <c r="T276" s="2130"/>
      <c r="U276" s="2130"/>
      <c r="V276" s="2130"/>
    </row>
    <row r="277" spans="1:24" ht="11.25" customHeight="1">
      <c r="B277" s="2217" t="s">
        <v>6690</v>
      </c>
      <c r="D277" s="634"/>
      <c r="L277" s="1013"/>
      <c r="M277" s="2482"/>
      <c r="N277" s="2482"/>
      <c r="O277" s="2482"/>
      <c r="P277" s="2482"/>
      <c r="Q277" s="1023"/>
      <c r="R277" s="2130"/>
      <c r="S277" s="2130"/>
      <c r="T277" s="2130"/>
      <c r="U277" s="2130"/>
      <c r="V277" s="2130"/>
    </row>
    <row r="278" spans="1:24" ht="38.25" customHeight="1">
      <c r="B278" s="4374"/>
      <c r="C278" s="4375"/>
      <c r="D278" s="4375"/>
      <c r="E278" s="4375"/>
      <c r="F278" s="4375"/>
      <c r="G278" s="4375"/>
      <c r="H278" s="4375"/>
      <c r="I278" s="4375"/>
      <c r="J278" s="4375"/>
      <c r="K278" s="4375"/>
      <c r="L278" s="4375"/>
      <c r="M278" s="4375"/>
      <c r="N278" s="4375"/>
      <c r="O278" s="4375"/>
      <c r="P278" s="4376"/>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5" customHeight="1" thickTop="1" thickBot="1">
      <c r="A280" s="4329" t="s">
        <v>6963</v>
      </c>
      <c r="B280" s="4330"/>
      <c r="C280" s="4330"/>
      <c r="D280" s="4330"/>
      <c r="E280" s="4330"/>
      <c r="F280" s="4330"/>
      <c r="G280" s="4330"/>
      <c r="H280" s="4330"/>
      <c r="I280" s="4330"/>
      <c r="J280" s="4330"/>
      <c r="K280" s="4330"/>
      <c r="L280" s="4330"/>
      <c r="M280" s="4330"/>
      <c r="N280" s="4330"/>
      <c r="O280" s="4330"/>
      <c r="P280" s="4331"/>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275"/>
      <c r="B282" s="4276"/>
      <c r="C282" s="4276"/>
      <c r="D282" s="4276"/>
      <c r="E282" s="4276"/>
      <c r="F282" s="4276"/>
      <c r="G282" s="4276"/>
      <c r="H282" s="4276"/>
      <c r="I282" s="4276"/>
      <c r="J282" s="4276"/>
      <c r="K282" s="4276"/>
      <c r="L282" s="4276"/>
      <c r="M282" s="4276"/>
      <c r="N282" s="4276"/>
      <c r="O282" s="4276"/>
      <c r="P282" s="4277"/>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3372</v>
      </c>
      <c r="B284" s="107" t="s">
        <v>6583</v>
      </c>
      <c r="C284" s="92"/>
      <c r="D284" s="59"/>
      <c r="E284" s="59"/>
      <c r="G284" s="2117"/>
      <c r="H284" s="185"/>
      <c r="I284" s="185" t="s">
        <v>6709</v>
      </c>
      <c r="J284" s="185"/>
      <c r="K284" s="185"/>
      <c r="L284" s="2599" t="str">
        <f>IF(AND(O294&gt;0,O297&gt;0), "Choose only one option!","")</f>
        <v/>
      </c>
      <c r="M284" s="2419">
        <v>2</v>
      </c>
      <c r="N284" s="7"/>
      <c r="O284" s="1104">
        <f>IF(O294=$M$294,$M$294,IF(O297=$M$297,$M$297,0))</f>
        <v>0</v>
      </c>
      <c r="P284" s="1104">
        <f>IF(P294=$M$294,$M$294,IF(P297=$M$297,$M$297,0))</f>
        <v>0</v>
      </c>
      <c r="Q284" s="110" t="s">
        <v>416</v>
      </c>
      <c r="R284" s="2130"/>
      <c r="S284" s="2130"/>
      <c r="T284" s="2130"/>
      <c r="U284" s="2130"/>
      <c r="V284" s="2130"/>
    </row>
    <row r="285" spans="1:24" s="103" customFormat="1" ht="11.25" customHeight="1">
      <c r="A285" s="154"/>
      <c r="B285" s="52" t="s">
        <v>6703</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6700</v>
      </c>
      <c r="G286" s="185"/>
      <c r="I286" s="4359"/>
      <c r="J286" s="4360"/>
      <c r="K286" s="4361"/>
      <c r="L286" s="4362"/>
      <c r="M286" s="595"/>
      <c r="O286" s="2589"/>
      <c r="P286" s="2590"/>
      <c r="Q286" s="110"/>
      <c r="R286" s="2130"/>
      <c r="S286" s="2130"/>
      <c r="T286" s="2130"/>
      <c r="U286" s="2130"/>
      <c r="V286" s="2130"/>
      <c r="W286" s="43"/>
      <c r="X286" s="43"/>
    </row>
    <row r="287" spans="1:24" s="103" customFormat="1" ht="11.25" customHeight="1">
      <c r="A287" s="154"/>
      <c r="C287" s="36" t="s">
        <v>6699</v>
      </c>
      <c r="G287" s="185"/>
      <c r="I287" s="4363"/>
      <c r="J287" s="4364"/>
      <c r="M287" s="595"/>
      <c r="O287" s="2589"/>
      <c r="P287" s="2590"/>
      <c r="Q287" s="110"/>
      <c r="R287" s="2130"/>
      <c r="S287" s="2130"/>
      <c r="T287" s="2130"/>
      <c r="U287" s="2130"/>
      <c r="V287" s="2130"/>
      <c r="W287" s="43"/>
      <c r="X287" s="43"/>
    </row>
    <row r="288" spans="1:24" s="103" customFormat="1" ht="11.25" customHeight="1">
      <c r="A288" s="154"/>
      <c r="C288" s="36" t="s">
        <v>6701</v>
      </c>
      <c r="G288" s="185"/>
      <c r="I288" s="4365" t="s">
        <v>6702</v>
      </c>
      <c r="J288" s="4366"/>
      <c r="K288" s="4367"/>
      <c r="L288" s="4368"/>
      <c r="M288" s="595"/>
      <c r="O288" s="4369" t="s">
        <v>3152</v>
      </c>
      <c r="P288" s="4369" t="s">
        <v>3153</v>
      </c>
      <c r="Q288" s="110"/>
      <c r="R288" s="2130"/>
      <c r="S288" s="2130"/>
      <c r="T288" s="2130"/>
      <c r="U288" s="2130"/>
      <c r="V288" s="2130"/>
      <c r="W288" s="43"/>
      <c r="X288" s="43"/>
    </row>
    <row r="289" spans="1:22" s="43" customFormat="1" ht="11.25" customHeight="1">
      <c r="A289" s="154"/>
      <c r="B289" s="36" t="s">
        <v>6587</v>
      </c>
      <c r="D289" s="41"/>
      <c r="H289" s="177"/>
      <c r="M289" s="2419"/>
      <c r="N289" s="478"/>
      <c r="O289" s="4370"/>
      <c r="P289" s="4370"/>
      <c r="Q289" s="110"/>
      <c r="R289" s="2437"/>
      <c r="S289" s="2437"/>
      <c r="T289" s="2437"/>
      <c r="U289" s="2437"/>
    </row>
    <row r="290" spans="1:22" s="43" customFormat="1" ht="11.25" customHeight="1">
      <c r="A290" s="2588"/>
      <c r="B290" s="1012" t="s">
        <v>2241</v>
      </c>
      <c r="C290" s="36" t="s">
        <v>6586</v>
      </c>
      <c r="D290" s="1120"/>
      <c r="E290" s="103"/>
      <c r="F290" s="103"/>
      <c r="G290" s="103"/>
      <c r="H290" s="45"/>
      <c r="N290" s="1012" t="s">
        <v>2241</v>
      </c>
      <c r="O290" s="230"/>
      <c r="P290" s="549"/>
      <c r="Q290" s="110"/>
      <c r="R290" s="2437"/>
      <c r="S290" s="2437"/>
      <c r="T290" s="2437"/>
      <c r="U290" s="2437"/>
    </row>
    <row r="291" spans="1:22" s="43" customFormat="1" ht="11.25" customHeight="1">
      <c r="A291" s="2588"/>
      <c r="B291" s="400" t="s">
        <v>2242</v>
      </c>
      <c r="C291" s="55" t="s">
        <v>6708</v>
      </c>
      <c r="D291" s="1120"/>
      <c r="E291" s="103"/>
      <c r="F291" s="103"/>
      <c r="G291" s="103"/>
      <c r="H291" s="45"/>
      <c r="M291" s="103"/>
      <c r="N291" s="400" t="s">
        <v>2242</v>
      </c>
      <c r="O291" s="2422"/>
      <c r="P291" s="550"/>
      <c r="Q291" s="110"/>
      <c r="R291" s="2437"/>
      <c r="S291" s="2437"/>
      <c r="T291" s="2437"/>
      <c r="U291" s="2437"/>
    </row>
    <row r="292" spans="1:22" s="43" customFormat="1" ht="11.25" customHeight="1">
      <c r="A292" s="2588"/>
      <c r="B292" s="400" t="s">
        <v>2243</v>
      </c>
      <c r="C292" s="36" t="s">
        <v>6588</v>
      </c>
      <c r="D292" s="1120"/>
      <c r="E292" s="103"/>
      <c r="F292" s="103"/>
      <c r="G292" s="103"/>
      <c r="H292" s="45"/>
      <c r="I292" s="49"/>
      <c r="J292" s="48"/>
      <c r="K292" s="48"/>
      <c r="L292" s="103"/>
      <c r="M292" s="103"/>
      <c r="N292" s="400" t="s">
        <v>2243</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6584</v>
      </c>
      <c r="D294" s="634"/>
      <c r="E294" s="634"/>
      <c r="G294" s="634" t="s">
        <v>6592</v>
      </c>
      <c r="H294" s="634"/>
      <c r="L294" s="1013"/>
      <c r="M294" s="2327">
        <v>2</v>
      </c>
      <c r="N294" s="478" t="s">
        <v>1842</v>
      </c>
      <c r="O294" s="1149"/>
      <c r="P294" s="1124"/>
      <c r="Q294" s="2441" t="str">
        <f>IF(OR(O294=0,O294="",O294=$M294),"","Check!")</f>
        <v/>
      </c>
      <c r="R294" s="1103" t="s">
        <v>2460</v>
      </c>
      <c r="S294" s="2130"/>
      <c r="T294" s="2130"/>
      <c r="U294" s="2130"/>
      <c r="V294" s="2130"/>
    </row>
    <row r="295" spans="1:22" s="436" customFormat="1" ht="21.75" customHeight="1">
      <c r="A295" s="2091"/>
      <c r="B295" s="462" t="s">
        <v>1845</v>
      </c>
      <c r="C295" s="4094" t="s">
        <v>6593</v>
      </c>
      <c r="D295" s="4094"/>
      <c r="E295" s="4094"/>
      <c r="F295" s="4094"/>
      <c r="G295" s="4094"/>
      <c r="H295" s="4094"/>
      <c r="I295" s="4094"/>
      <c r="J295" s="4094"/>
      <c r="K295" s="4094"/>
      <c r="L295" s="4094"/>
      <c r="M295" s="4094"/>
      <c r="N295" s="187" t="s">
        <v>1845</v>
      </c>
      <c r="O295" s="2362"/>
      <c r="P295" s="1623"/>
      <c r="Q295" s="2092"/>
      <c r="R295" s="2439"/>
      <c r="S295" s="2439"/>
      <c r="T295" s="2439"/>
      <c r="U295" s="2439"/>
    </row>
    <row r="296" spans="1:22" s="436" customFormat="1" ht="21.75" customHeight="1" thickBot="1">
      <c r="A296" s="2091"/>
      <c r="B296" s="462" t="s">
        <v>1847</v>
      </c>
      <c r="C296" s="4094" t="s">
        <v>6594</v>
      </c>
      <c r="D296" s="4094"/>
      <c r="E296" s="4094"/>
      <c r="F296" s="4094"/>
      <c r="G296" s="4094"/>
      <c r="H296" s="4094"/>
      <c r="I296" s="4094"/>
      <c r="J296" s="4094"/>
      <c r="K296" s="4094"/>
      <c r="L296" s="4094"/>
      <c r="M296" s="4094"/>
      <c r="N296" s="2440" t="s">
        <v>1847</v>
      </c>
      <c r="O296" s="2431"/>
      <c r="P296" s="2430"/>
      <c r="Q296" s="2092"/>
      <c r="R296" s="2439"/>
      <c r="S296" s="2439"/>
      <c r="T296" s="2439"/>
      <c r="U296" s="2439"/>
    </row>
    <row r="297" spans="1:22" ht="11.25" customHeight="1" thickBot="1">
      <c r="A297" s="1675" t="s">
        <v>1844</v>
      </c>
      <c r="B297" s="1128" t="s">
        <v>6585</v>
      </c>
      <c r="D297" s="634"/>
      <c r="G297" s="457" t="s">
        <v>6595</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4094" t="s">
        <v>6596</v>
      </c>
      <c r="D298" s="4094"/>
      <c r="E298" s="4094"/>
      <c r="F298" s="4094"/>
      <c r="G298" s="4094"/>
      <c r="H298" s="4094"/>
      <c r="I298" s="4094"/>
      <c r="J298" s="4094"/>
      <c r="K298" s="4094"/>
      <c r="L298" s="4094"/>
      <c r="M298" s="4094"/>
      <c r="N298" s="187" t="s">
        <v>1845</v>
      </c>
      <c r="O298" s="2362"/>
      <c r="P298" s="1623"/>
      <c r="Q298" s="2092"/>
      <c r="R298" s="2439"/>
      <c r="S298" s="2439"/>
      <c r="T298" s="2439"/>
      <c r="U298" s="2439"/>
    </row>
    <row r="299" spans="1:22" s="436" customFormat="1" ht="10.5" customHeight="1">
      <c r="A299" s="2091"/>
      <c r="B299" s="462" t="s">
        <v>1847</v>
      </c>
      <c r="C299" s="4094" t="s">
        <v>6597</v>
      </c>
      <c r="D299" s="4094"/>
      <c r="E299" s="4094"/>
      <c r="F299" s="4094"/>
      <c r="G299" s="4094"/>
      <c r="H299" s="4094"/>
      <c r="I299" s="4094"/>
      <c r="J299" s="4094"/>
      <c r="K299" s="4094"/>
      <c r="L299" s="4094"/>
      <c r="M299" s="4094"/>
      <c r="N299" s="2440" t="s">
        <v>1847</v>
      </c>
      <c r="O299" s="2431"/>
      <c r="P299" s="2430"/>
      <c r="Q299" s="2092"/>
      <c r="R299" s="2439"/>
      <c r="S299" s="2439"/>
      <c r="T299" s="2439"/>
      <c r="U299" s="2439"/>
    </row>
    <row r="300" spans="1:22" s="436" customFormat="1" ht="10.5" customHeight="1">
      <c r="A300" s="2091"/>
      <c r="B300" s="462" t="s">
        <v>2333</v>
      </c>
      <c r="C300" s="876" t="s">
        <v>6704</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6598</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6599</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4094" t="s">
        <v>6600</v>
      </c>
      <c r="D303" s="4094"/>
      <c r="E303" s="4094"/>
      <c r="F303" s="4094"/>
      <c r="G303" s="4094"/>
      <c r="H303" s="4094"/>
      <c r="I303" s="4094"/>
      <c r="J303" s="4094"/>
      <c r="K303" s="4094"/>
      <c r="L303" s="4094"/>
      <c r="M303" s="4094"/>
      <c r="N303" s="2440" t="s">
        <v>1151</v>
      </c>
      <c r="O303" s="2431"/>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35" customHeight="1" thickTop="1" thickBot="1">
      <c r="A305" s="4329" t="s">
        <v>907</v>
      </c>
      <c r="B305" s="4330"/>
      <c r="C305" s="4330"/>
      <c r="D305" s="4330"/>
      <c r="E305" s="4330"/>
      <c r="F305" s="4330"/>
      <c r="G305" s="4330"/>
      <c r="H305" s="4330"/>
      <c r="I305" s="4330"/>
      <c r="J305" s="4330"/>
      <c r="K305" s="4330"/>
      <c r="L305" s="4330"/>
      <c r="M305" s="4330"/>
      <c r="N305" s="4330"/>
      <c r="O305" s="4330"/>
      <c r="P305" s="4331"/>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275"/>
      <c r="B307" s="4276"/>
      <c r="C307" s="4276"/>
      <c r="D307" s="4276"/>
      <c r="E307" s="4276"/>
      <c r="F307" s="4276"/>
      <c r="G307" s="4276"/>
      <c r="H307" s="4276"/>
      <c r="I307" s="4276"/>
      <c r="J307" s="4276"/>
      <c r="K307" s="4276"/>
      <c r="L307" s="4276"/>
      <c r="M307" s="4276"/>
      <c r="N307" s="4276"/>
      <c r="O307" s="4276"/>
      <c r="P307" s="4277"/>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3370</v>
      </c>
      <c r="B309" s="107" t="s">
        <v>6589</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6590</v>
      </c>
      <c r="D310" s="634"/>
      <c r="E310" s="634" t="s">
        <v>6601</v>
      </c>
      <c r="F310" s="634"/>
      <c r="G310" s="634"/>
      <c r="H310" s="634"/>
      <c r="I310" s="4526" t="s">
        <v>680</v>
      </c>
      <c r="J310" s="4527"/>
      <c r="K310" s="4527"/>
      <c r="L310" s="4528"/>
      <c r="M310" s="2327">
        <v>2</v>
      </c>
      <c r="N310" s="478" t="s">
        <v>1842</v>
      </c>
      <c r="O310" s="1685">
        <v>2</v>
      </c>
      <c r="P310" s="1686"/>
      <c r="Q310" s="2441" t="str">
        <f>IF(OR(O310=0,O310="",O310=$M310),"","Check!")</f>
        <v/>
      </c>
      <c r="R310" s="1103" t="s">
        <v>2460</v>
      </c>
      <c r="S310" s="2130"/>
      <c r="T310" s="2130"/>
      <c r="U310" s="2130"/>
      <c r="V310" s="2130"/>
    </row>
    <row r="311" spans="1:22" ht="11.25" customHeight="1">
      <c r="A311" s="1675" t="s">
        <v>1844</v>
      </c>
      <c r="B311" s="1128" t="s">
        <v>6591</v>
      </c>
      <c r="D311" s="634"/>
      <c r="L311" s="1013"/>
      <c r="M311" s="2327">
        <v>2</v>
      </c>
      <c r="N311" s="478" t="s">
        <v>1844</v>
      </c>
      <c r="O311" s="535"/>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35" customHeight="1" thickTop="1" thickBot="1">
      <c r="A313" s="4329" t="s">
        <v>6988</v>
      </c>
      <c r="B313" s="4330"/>
      <c r="C313" s="4330"/>
      <c r="D313" s="4330"/>
      <c r="E313" s="4330"/>
      <c r="F313" s="4330"/>
      <c r="G313" s="4330"/>
      <c r="H313" s="4330"/>
      <c r="I313" s="4330"/>
      <c r="J313" s="4330"/>
      <c r="K313" s="4330"/>
      <c r="L313" s="4330"/>
      <c r="M313" s="4330"/>
      <c r="N313" s="4330"/>
      <c r="O313" s="4330"/>
      <c r="P313" s="4331"/>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275"/>
      <c r="B315" s="4276"/>
      <c r="C315" s="4276"/>
      <c r="D315" s="4276"/>
      <c r="E315" s="4276"/>
      <c r="F315" s="4276"/>
      <c r="G315" s="4276"/>
      <c r="H315" s="4276"/>
      <c r="I315" s="4276"/>
      <c r="J315" s="4276"/>
      <c r="K315" s="4276"/>
      <c r="L315" s="4276"/>
      <c r="M315" s="4276"/>
      <c r="N315" s="4276"/>
      <c r="O315" s="4276"/>
      <c r="P315" s="4277"/>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3373</v>
      </c>
      <c r="B317" s="107" t="s">
        <v>3344</v>
      </c>
      <c r="C317" s="88"/>
      <c r="D317" s="58"/>
      <c r="E317" s="52"/>
      <c r="G317" s="55"/>
      <c r="I317" s="2113" t="s">
        <v>6253</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6236</v>
      </c>
      <c r="C318" s="2080"/>
      <c r="D318" s="2080"/>
      <c r="E318" s="2080"/>
      <c r="F318" s="2080"/>
      <c r="G318" s="2080"/>
      <c r="H318" s="2080"/>
      <c r="I318" s="2080"/>
      <c r="J318" s="2080"/>
      <c r="K318" s="2080"/>
      <c r="L318" s="1508"/>
      <c r="M318" s="872"/>
      <c r="N318" s="74"/>
      <c r="O318" s="492" t="s">
        <v>2654</v>
      </c>
      <c r="P318" s="1382"/>
      <c r="Q318" s="110"/>
      <c r="T318" s="1077"/>
      <c r="U318" s="1077"/>
    </row>
    <row r="319" spans="1:22" s="43" customFormat="1" ht="12" customHeight="1">
      <c r="A319" s="1675" t="s">
        <v>1842</v>
      </c>
      <c r="B319" s="177" t="s">
        <v>3345</v>
      </c>
      <c r="C319" s="88"/>
      <c r="D319" s="58"/>
      <c r="E319" s="52"/>
      <c r="G319" s="1844"/>
      <c r="I319" s="40" t="s">
        <v>4080</v>
      </c>
      <c r="K319" s="2088" t="str">
        <f>'Part VIII Scoring Criteria'!P41</f>
        <v>No</v>
      </c>
      <c r="M319" s="598">
        <v>2</v>
      </c>
      <c r="N319" s="478" t="s">
        <v>1842</v>
      </c>
      <c r="P319" s="546"/>
      <c r="Q319" s="110"/>
      <c r="R319" s="1103" t="s">
        <v>2460</v>
      </c>
    </row>
    <row r="320" spans="1:22" s="103" customFormat="1" ht="10.5" customHeight="1">
      <c r="A320" s="1675"/>
      <c r="B320" s="399" t="s">
        <v>1845</v>
      </c>
      <c r="C320" s="36" t="s">
        <v>3842</v>
      </c>
      <c r="D320" s="33"/>
      <c r="N320" s="460" t="s">
        <v>3843</v>
      </c>
      <c r="O320" s="230"/>
      <c r="P320" s="549"/>
      <c r="R320" s="401"/>
    </row>
    <row r="321" spans="1:19" s="103" customFormat="1" ht="10.5" customHeight="1">
      <c r="A321" s="1675"/>
      <c r="B321" s="399"/>
      <c r="C321" s="36" t="s">
        <v>6581</v>
      </c>
      <c r="D321" s="33"/>
      <c r="N321" s="460" t="s">
        <v>3844</v>
      </c>
      <c r="O321" s="389"/>
      <c r="P321" s="550"/>
      <c r="R321" s="401"/>
    </row>
    <row r="322" spans="1:19" s="103" customFormat="1" ht="10.5" customHeight="1">
      <c r="A322" s="1675"/>
      <c r="B322" s="399" t="s">
        <v>1847</v>
      </c>
      <c r="C322" s="36" t="s">
        <v>3350</v>
      </c>
      <c r="D322" s="33"/>
      <c r="N322" s="874" t="s">
        <v>1847</v>
      </c>
      <c r="O322" s="389"/>
      <c r="P322" s="550"/>
      <c r="R322" s="401"/>
    </row>
    <row r="323" spans="1:19" s="103" customFormat="1" ht="10.5" customHeight="1">
      <c r="A323" s="1675"/>
      <c r="B323" s="399" t="s">
        <v>2333</v>
      </c>
      <c r="C323" s="36" t="s">
        <v>3845</v>
      </c>
      <c r="D323" s="33"/>
      <c r="N323" s="874" t="s">
        <v>2333</v>
      </c>
      <c r="O323" s="389"/>
      <c r="P323" s="550"/>
      <c r="R323" s="401"/>
    </row>
    <row r="324" spans="1:19" s="103" customFormat="1" ht="10.5" customHeight="1">
      <c r="A324" s="1194"/>
      <c r="B324" s="399" t="s">
        <v>1151</v>
      </c>
      <c r="C324" s="36" t="s">
        <v>3351</v>
      </c>
      <c r="D324" s="33"/>
      <c r="N324" s="874" t="s">
        <v>1151</v>
      </c>
      <c r="O324" s="231"/>
      <c r="P324" s="550"/>
      <c r="R324" s="401"/>
    </row>
    <row r="325" spans="1:19" s="43" customFormat="1" ht="12" customHeight="1">
      <c r="A325" s="1675" t="s">
        <v>1844</v>
      </c>
      <c r="B325" s="177" t="s">
        <v>3346</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3842</v>
      </c>
      <c r="D326" s="52"/>
      <c r="E326" s="52"/>
      <c r="M326" s="1203"/>
      <c r="N326" s="460" t="s">
        <v>3843</v>
      </c>
      <c r="O326" s="230" t="s">
        <v>2651</v>
      </c>
      <c r="P326" s="549"/>
      <c r="Q326" s="110"/>
    </row>
    <row r="327" spans="1:19" s="103" customFormat="1" ht="10.5" customHeight="1">
      <c r="A327" s="139"/>
      <c r="B327" s="399"/>
      <c r="C327" s="36" t="s">
        <v>6582</v>
      </c>
      <c r="D327" s="33"/>
      <c r="N327" s="460" t="s">
        <v>3844</v>
      </c>
      <c r="O327" s="389" t="s">
        <v>2654</v>
      </c>
      <c r="P327" s="550"/>
      <c r="R327" s="401"/>
    </row>
    <row r="328" spans="1:19" s="103" customFormat="1" ht="10.5" customHeight="1">
      <c r="A328" s="139"/>
      <c r="B328" s="399" t="s">
        <v>1847</v>
      </c>
      <c r="C328" s="36" t="s">
        <v>3362</v>
      </c>
      <c r="D328" s="33"/>
      <c r="N328" s="874" t="s">
        <v>1847</v>
      </c>
      <c r="O328" s="389" t="s">
        <v>2651</v>
      </c>
      <c r="P328" s="550"/>
      <c r="R328" s="401"/>
    </row>
    <row r="329" spans="1:19" s="103" customFormat="1" ht="10.5" customHeight="1">
      <c r="B329" s="399" t="s">
        <v>2333</v>
      </c>
      <c r="C329" s="36" t="s">
        <v>3351</v>
      </c>
      <c r="D329" s="33"/>
      <c r="N329" s="874" t="s">
        <v>2333</v>
      </c>
      <c r="O329" s="231" t="s">
        <v>2651</v>
      </c>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4"/>
      <c r="B331" s="4175"/>
      <c r="C331" s="4175"/>
      <c r="D331" s="4175"/>
      <c r="E331" s="4175"/>
      <c r="F331" s="4175"/>
      <c r="G331" s="4175"/>
      <c r="H331" s="4175"/>
      <c r="I331" s="4175"/>
      <c r="J331" s="4175"/>
      <c r="K331" s="4175"/>
      <c r="L331" s="4175"/>
      <c r="M331" s="4175"/>
      <c r="N331" s="4175"/>
      <c r="O331" s="4175"/>
      <c r="P331" s="4176"/>
      <c r="Q331" s="466"/>
    </row>
    <row r="332" spans="1:19" ht="2.25" customHeight="1" thickBot="1"/>
    <row r="333" spans="1:19" s="43" customFormat="1" ht="13.5" customHeight="1" thickBot="1">
      <c r="A333" s="155" t="s">
        <v>3374</v>
      </c>
      <c r="B333" s="106" t="s">
        <v>1556</v>
      </c>
      <c r="D333" s="89"/>
      <c r="E333" s="89"/>
      <c r="G333" s="52"/>
      <c r="M333" s="872">
        <v>2</v>
      </c>
      <c r="N333" s="420"/>
      <c r="O333" s="1149">
        <v>0</v>
      </c>
      <c r="P333" s="1124"/>
      <c r="Q333" s="110" t="s">
        <v>416</v>
      </c>
      <c r="R333" s="2168" t="s">
        <v>4061</v>
      </c>
      <c r="S333" s="2168"/>
    </row>
    <row r="334" spans="1:19" s="43" customFormat="1" ht="11.25" customHeight="1">
      <c r="A334" s="139"/>
      <c r="B334" s="114" t="s">
        <v>3156</v>
      </c>
      <c r="D334" s="89"/>
      <c r="E334" s="89"/>
      <c r="G334" s="52"/>
      <c r="I334" s="3847"/>
      <c r="J334" s="3848"/>
      <c r="K334" s="3848"/>
      <c r="L334" s="384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1" customHeight="1" thickTop="1" thickBot="1">
      <c r="A337" s="4329" t="s">
        <v>907</v>
      </c>
      <c r="B337" s="4330"/>
      <c r="C337" s="4330"/>
      <c r="D337" s="4330"/>
      <c r="E337" s="4330"/>
      <c r="F337" s="4330"/>
      <c r="G337" s="4330"/>
      <c r="H337" s="4330"/>
      <c r="I337" s="4330"/>
      <c r="J337" s="4330"/>
      <c r="K337" s="4330"/>
      <c r="L337" s="4330"/>
      <c r="M337" s="4330"/>
      <c r="N337" s="4330"/>
      <c r="O337" s="4330"/>
      <c r="P337" s="4331"/>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4"/>
      <c r="B339" s="4175"/>
      <c r="C339" s="4175"/>
      <c r="D339" s="4175"/>
      <c r="E339" s="4175"/>
      <c r="F339" s="4175"/>
      <c r="G339" s="4175"/>
      <c r="H339" s="4175"/>
      <c r="I339" s="4175"/>
      <c r="J339" s="4175"/>
      <c r="K339" s="4175"/>
      <c r="L339" s="4175"/>
      <c r="M339" s="4175"/>
      <c r="N339" s="4175"/>
      <c r="O339" s="4175"/>
      <c r="P339" s="4176"/>
      <c r="Q339" s="466"/>
    </row>
    <row r="340" spans="1:20" ht="3" customHeight="1" thickBot="1"/>
    <row r="341" spans="1:20" s="43" customFormat="1" ht="13.5" customHeight="1" thickBot="1">
      <c r="A341" s="154" t="s">
        <v>3377</v>
      </c>
      <c r="B341" s="106" t="s">
        <v>3348</v>
      </c>
      <c r="D341" s="89"/>
      <c r="E341" s="89"/>
      <c r="F341" s="52"/>
      <c r="G341" s="52"/>
      <c r="H341" s="52"/>
      <c r="J341" s="2658" t="s">
        <v>6142</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1</v>
      </c>
      <c r="P341" s="1150">
        <f>P348+P368</f>
        <v>0</v>
      </c>
      <c r="Q341" s="110" t="s">
        <v>416</v>
      </c>
    </row>
    <row r="342" spans="1:20" s="43" customFormat="1" ht="10.5" customHeight="1">
      <c r="A342" s="42"/>
      <c r="B342" s="114" t="s">
        <v>6603</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7" t="str">
        <f>IF(OR(O343="No",O343="",O344="No",O344="",O345="No",O345="",O346="No",O346=""),"Unmet criterion results in no points!","")</f>
        <v>Unmet criterion results in no points!</v>
      </c>
      <c r="M343" s="4397"/>
      <c r="N343" s="400" t="s">
        <v>2241</v>
      </c>
      <c r="O343" s="230"/>
      <c r="P343" s="549"/>
      <c r="R343" s="4393" t="str">
        <f>IF(OR(P343="No",P343="",P344="No",P344="",P345="No",P345="",P346="No",P346=""),"Unmet criterion results in no points!","")</f>
        <v>Unmet criterion results in no points!</v>
      </c>
      <c r="S343" s="4393" t="e">
        <f>IF(OR(V343="No",V343="",V344="No",V344="",V345="No",V345="",V346="No",V346="",#REF!="No",#REF!="",#REF!="No",#REF!=""),"Unmet criterion results in no points!","")</f>
        <v>#REF!</v>
      </c>
    </row>
    <row r="344" spans="1:20" s="101" customFormat="1" ht="12.75" customHeight="1">
      <c r="B344" s="400" t="s">
        <v>2242</v>
      </c>
      <c r="C344" s="135" t="s">
        <v>3276</v>
      </c>
      <c r="L344" s="4397"/>
      <c r="M344" s="4397"/>
      <c r="N344" s="400" t="s">
        <v>2242</v>
      </c>
      <c r="O344" s="389"/>
      <c r="P344" s="550"/>
      <c r="R344" s="4393"/>
      <c r="S344" s="4393"/>
    </row>
    <row r="345" spans="1:20" s="101" customFormat="1" ht="12.75" customHeight="1">
      <c r="B345" s="400" t="s">
        <v>2243</v>
      </c>
      <c r="C345" s="135" t="s">
        <v>3275</v>
      </c>
      <c r="L345" s="4397"/>
      <c r="M345" s="4397"/>
      <c r="N345" s="400" t="s">
        <v>2243</v>
      </c>
      <c r="O345" s="389"/>
      <c r="P345" s="550"/>
      <c r="R345" s="4393"/>
      <c r="S345" s="4393"/>
    </row>
    <row r="346" spans="1:20" s="101" customFormat="1" ht="33.75" customHeight="1">
      <c r="B346" s="413" t="s">
        <v>2244</v>
      </c>
      <c r="C346" s="4390" t="s">
        <v>6602</v>
      </c>
      <c r="D346" s="4390"/>
      <c r="E346" s="4390"/>
      <c r="F346" s="4390"/>
      <c r="G346" s="4390"/>
      <c r="H346" s="4390"/>
      <c r="I346" s="4390"/>
      <c r="J346" s="4390"/>
      <c r="K346" s="4390"/>
      <c r="L346" s="4390"/>
      <c r="M346" s="4390"/>
      <c r="N346" s="413" t="s">
        <v>2244</v>
      </c>
      <c r="O346" s="1174"/>
      <c r="P346" s="1175"/>
    </row>
    <row r="347" spans="1:20" ht="3" customHeight="1" thickBot="1">
      <c r="C347" s="4390"/>
      <c r="D347" s="4390"/>
      <c r="E347" s="4390"/>
      <c r="F347" s="4390"/>
      <c r="G347" s="4390"/>
      <c r="H347" s="4390"/>
      <c r="I347" s="4390"/>
      <c r="J347" s="4390"/>
      <c r="K347" s="4390"/>
      <c r="L347" s="4390"/>
      <c r="M347" s="4390"/>
    </row>
    <row r="348" spans="1:20" ht="12.75" customHeight="1" thickBot="1">
      <c r="A348" s="1020" t="s">
        <v>1842</v>
      </c>
      <c r="B348" s="190" t="s">
        <v>3349</v>
      </c>
      <c r="L348" s="401" t="str">
        <f>IF(O348&lt;=M348,"","* * Check Score! * *")</f>
        <v/>
      </c>
      <c r="M348" s="1127">
        <v>3</v>
      </c>
      <c r="N348" s="478" t="s">
        <v>1842</v>
      </c>
      <c r="O348" s="2118"/>
      <c r="P348" s="2119"/>
      <c r="Q348" s="1004" t="str">
        <f>IF(O348&lt;=M348,"","*CHECK!*")</f>
        <v/>
      </c>
      <c r="R348" s="1076" t="s">
        <v>4061</v>
      </c>
      <c r="S348" s="1076"/>
      <c r="T348" s="1819"/>
    </row>
    <row r="349" spans="1:20" ht="12.75" customHeight="1">
      <c r="A349" s="1020"/>
      <c r="B349" s="876" t="s">
        <v>6720</v>
      </c>
      <c r="C349" s="1007"/>
      <c r="D349" s="1007"/>
      <c r="E349" s="1007"/>
      <c r="F349" s="1007"/>
      <c r="G349" s="1007"/>
      <c r="H349" s="1007"/>
      <c r="I349" s="1007"/>
      <c r="N349" s="27"/>
      <c r="O349" s="2049"/>
      <c r="P349" s="2107"/>
      <c r="R349" s="1076"/>
      <c r="S349" s="1076"/>
      <c r="T349" s="1819"/>
    </row>
    <row r="350" spans="1:20" ht="12.75" customHeight="1">
      <c r="A350" s="1020"/>
      <c r="B350" s="2622" t="s">
        <v>6719</v>
      </c>
      <c r="C350" s="1007"/>
      <c r="D350" s="1007"/>
      <c r="E350" s="1007"/>
      <c r="F350" s="1007"/>
      <c r="G350" s="1007"/>
      <c r="H350" s="1007"/>
      <c r="I350" s="1007"/>
      <c r="J350" s="4389" t="s">
        <v>1849</v>
      </c>
      <c r="K350" s="4389"/>
      <c r="M350" s="4389" t="s">
        <v>1849</v>
      </c>
      <c r="N350" s="4389"/>
      <c r="O350" s="4389"/>
      <c r="P350" s="4389"/>
      <c r="R350" s="2432"/>
      <c r="S350" s="2432"/>
      <c r="T350" s="1819"/>
    </row>
    <row r="351" spans="1:20" s="43" customFormat="1" ht="12.75" customHeight="1">
      <c r="A351" s="188"/>
      <c r="B351" s="2440" t="s">
        <v>6604</v>
      </c>
      <c r="C351" s="36" t="s">
        <v>1389</v>
      </c>
      <c r="I351" s="400" t="s">
        <v>2241</v>
      </c>
      <c r="J351" s="4481"/>
      <c r="K351" s="4482"/>
      <c r="L351" s="400" t="s">
        <v>2241</v>
      </c>
      <c r="M351" s="4345"/>
      <c r="N351" s="4346"/>
      <c r="O351" s="4346"/>
      <c r="P351" s="4347"/>
      <c r="R351" s="401"/>
    </row>
    <row r="352" spans="1:20" ht="12.75" customHeight="1">
      <c r="A352" s="189"/>
      <c r="B352" s="413" t="s">
        <v>2242</v>
      </c>
      <c r="C352" s="36" t="s">
        <v>3158</v>
      </c>
      <c r="I352" s="413" t="s">
        <v>2242</v>
      </c>
      <c r="J352" s="4340"/>
      <c r="K352" s="4341"/>
      <c r="L352" s="413" t="s">
        <v>2242</v>
      </c>
      <c r="M352" s="4342"/>
      <c r="N352" s="4343"/>
      <c r="O352" s="4343"/>
      <c r="P352" s="4344"/>
      <c r="R352" s="401"/>
    </row>
    <row r="353" spans="1:22" ht="12.75" customHeight="1">
      <c r="B353" s="400" t="s">
        <v>2243</v>
      </c>
      <c r="C353" s="36" t="s">
        <v>3956</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6237</v>
      </c>
      <c r="I357" s="400" t="s">
        <v>2262</v>
      </c>
      <c r="J357" s="4340"/>
      <c r="K357" s="4341"/>
      <c r="L357" s="400" t="s">
        <v>2262</v>
      </c>
      <c r="M357" s="2082"/>
      <c r="N357" s="2083"/>
      <c r="O357" s="2083"/>
      <c r="P357" s="2084"/>
      <c r="R357" s="401"/>
    </row>
    <row r="358" spans="1:22" ht="12.75" customHeight="1">
      <c r="A358" s="189"/>
      <c r="B358" s="412" t="s">
        <v>2263</v>
      </c>
      <c r="C358" s="36" t="s">
        <v>3157</v>
      </c>
      <c r="I358" s="412" t="s">
        <v>2263</v>
      </c>
      <c r="J358" s="4340"/>
      <c r="K358" s="4341"/>
      <c r="L358" s="412" t="s">
        <v>2263</v>
      </c>
      <c r="M358" s="4342"/>
      <c r="N358" s="4343"/>
      <c r="O358" s="4343"/>
      <c r="P358" s="4344"/>
      <c r="R358" s="401"/>
    </row>
    <row r="359" spans="1:22" ht="12.75" customHeight="1">
      <c r="B359" s="412" t="s">
        <v>2264</v>
      </c>
      <c r="C359" s="36" t="s">
        <v>6605</v>
      </c>
      <c r="I359" s="412" t="s">
        <v>2264</v>
      </c>
      <c r="J359" s="4340"/>
      <c r="K359" s="4341"/>
      <c r="L359" s="412" t="s">
        <v>2264</v>
      </c>
      <c r="M359" s="4342"/>
      <c r="N359" s="4343"/>
      <c r="O359" s="4343"/>
      <c r="P359" s="4344"/>
      <c r="R359" s="401"/>
    </row>
    <row r="360" spans="1:22" ht="12.75" customHeight="1">
      <c r="B360" s="412" t="s">
        <v>3159</v>
      </c>
      <c r="C360" s="36" t="s">
        <v>3828</v>
      </c>
      <c r="I360" s="412" t="s">
        <v>3159</v>
      </c>
      <c r="J360" s="4340"/>
      <c r="K360" s="4341"/>
      <c r="L360" s="412" t="s">
        <v>3159</v>
      </c>
      <c r="M360" s="4342"/>
      <c r="N360" s="4343"/>
      <c r="O360" s="4343"/>
      <c r="P360" s="4344"/>
      <c r="R360" s="401"/>
    </row>
    <row r="361" spans="1:22" ht="12.75" customHeight="1" thickBot="1">
      <c r="B361" s="412" t="s">
        <v>6238</v>
      </c>
      <c r="C361" s="36" t="s">
        <v>6239</v>
      </c>
      <c r="I361" s="412" t="s">
        <v>6238</v>
      </c>
      <c r="J361" s="4340"/>
      <c r="K361" s="4341"/>
      <c r="L361" s="412" t="s">
        <v>6238</v>
      </c>
      <c r="M361" s="4382"/>
      <c r="N361" s="4383"/>
      <c r="O361" s="4383"/>
      <c r="P361" s="4384"/>
      <c r="R361" s="401"/>
    </row>
    <row r="362" spans="1:22" ht="12.75" customHeight="1" thickBot="1">
      <c r="B362" s="1178" t="s">
        <v>6606</v>
      </c>
      <c r="H362" s="1196" t="s">
        <v>2414</v>
      </c>
      <c r="J362" s="4477">
        <f>SUM(J351:K361)</f>
        <v>0</v>
      </c>
      <c r="K362" s="4478"/>
      <c r="M362" s="4477">
        <f>SUM($M351:$M361)</f>
        <v>0</v>
      </c>
      <c r="N362" s="4480"/>
      <c r="O362" s="4480"/>
      <c r="P362" s="4478"/>
      <c r="R362" s="401"/>
    </row>
    <row r="363" spans="1:22" ht="6" customHeight="1">
      <c r="M363" s="516"/>
      <c r="N363" s="516"/>
      <c r="O363" s="160"/>
      <c r="P363" s="516"/>
    </row>
    <row r="364" spans="1:22" s="43" customFormat="1" ht="12" customHeight="1">
      <c r="A364" s="42"/>
      <c r="B364" s="1512" t="s">
        <v>1847</v>
      </c>
      <c r="C364" s="526" t="s">
        <v>2413</v>
      </c>
      <c r="D364" s="1006"/>
      <c r="E364" s="1006"/>
      <c r="F364" s="458" t="s">
        <v>6240</v>
      </c>
      <c r="H364" s="27"/>
      <c r="I364" s="27"/>
      <c r="J364" s="4357">
        <f>'Part V-Revenues &amp; Expenses'!$P$67</f>
        <v>52</v>
      </c>
      <c r="K364" s="4358"/>
      <c r="L364" s="560"/>
      <c r="M364" s="516"/>
      <c r="N364" s="516"/>
      <c r="O364" s="1121"/>
      <c r="P364" s="516"/>
    </row>
    <row r="365" spans="1:22" ht="13.5" customHeight="1">
      <c r="C365" s="1006"/>
      <c r="D365" s="1006"/>
      <c r="E365" s="1006"/>
      <c r="F365" s="461" t="s">
        <v>6241</v>
      </c>
      <c r="J365" s="4355">
        <f>IF(J364=0,0,J362/J364)</f>
        <v>0</v>
      </c>
      <c r="K365" s="4356"/>
      <c r="M365" s="4483">
        <f>IF($J364=0,0,$M362/$J364)</f>
        <v>0</v>
      </c>
      <c r="N365" s="4484"/>
      <c r="O365" s="4484"/>
      <c r="P365" s="4485"/>
    </row>
    <row r="366" spans="1:22" s="43" customFormat="1" ht="12.75" customHeight="1">
      <c r="C366" s="1006"/>
      <c r="D366" s="1006"/>
      <c r="E366" s="1006"/>
      <c r="F366" s="1064" t="s">
        <v>6242</v>
      </c>
      <c r="I366" s="27"/>
      <c r="J366" s="4352">
        <f>IF(L343="", IF($J365&gt;=30000, 3,IF($J365&gt;=20000, 2,IF($J365&gt;=10000,1,0))),0)</f>
        <v>0</v>
      </c>
      <c r="K366" s="4354"/>
      <c r="L366" s="524"/>
      <c r="M366" s="4352">
        <f>IF(R343="", IF($M365&gt;=30000, 3,IF($M365&gt;=20000, 2,IF($M365&gt;=10000,1,0))),0)</f>
        <v>0</v>
      </c>
      <c r="N366" s="4353"/>
      <c r="O366" s="4353"/>
      <c r="P366" s="4354"/>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v>1</v>
      </c>
      <c r="P368" s="1124"/>
      <c r="Q368" s="1001" t="s">
        <v>4061</v>
      </c>
      <c r="V368" s="1077"/>
    </row>
    <row r="369" spans="1:22" s="43" customFormat="1" ht="22.5" customHeight="1">
      <c r="A369" s="139"/>
      <c r="B369" s="462" t="s">
        <v>1845</v>
      </c>
      <c r="C369" s="4003" t="s">
        <v>6607</v>
      </c>
      <c r="D369" s="4003"/>
      <c r="E369" s="4003"/>
      <c r="F369" s="4003"/>
      <c r="G369" s="4003"/>
      <c r="H369" s="4003"/>
      <c r="I369" s="4003"/>
      <c r="J369" s="4003"/>
      <c r="K369" s="4003"/>
      <c r="L369" s="4003"/>
      <c r="M369" s="4003"/>
      <c r="N369" s="2190" t="s">
        <v>1845</v>
      </c>
      <c r="O369" s="2125" t="s">
        <v>2651</v>
      </c>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t="s">
        <v>2651</v>
      </c>
      <c r="P370" s="550"/>
      <c r="V370" s="1077"/>
    </row>
    <row r="371" spans="1:22" ht="12.75" customHeight="1">
      <c r="B371" s="399" t="s">
        <v>2333</v>
      </c>
      <c r="C371" s="457" t="s">
        <v>3829</v>
      </c>
      <c r="N371" s="874" t="s">
        <v>2333</v>
      </c>
      <c r="O371" s="2423" t="s">
        <v>2651</v>
      </c>
      <c r="P371" s="551"/>
    </row>
    <row r="372" spans="1:22" ht="12" customHeight="1" thickBot="1">
      <c r="B372" s="1197" t="s">
        <v>3242</v>
      </c>
    </row>
    <row r="373" spans="1:22" s="43" customFormat="1" ht="21.75" customHeight="1" thickTop="1" thickBot="1">
      <c r="A373" s="4329" t="s">
        <v>6959</v>
      </c>
      <c r="B373" s="4330"/>
      <c r="C373" s="4330"/>
      <c r="D373" s="4330"/>
      <c r="E373" s="4330"/>
      <c r="F373" s="4330"/>
      <c r="G373" s="4330"/>
      <c r="H373" s="4330"/>
      <c r="I373" s="4330"/>
      <c r="J373" s="4330"/>
      <c r="K373" s="4330"/>
      <c r="L373" s="4330"/>
      <c r="M373" s="4330"/>
      <c r="N373" s="4330"/>
      <c r="O373" s="4330"/>
      <c r="P373" s="4331"/>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4"/>
      <c r="B375" s="4175"/>
      <c r="C375" s="4175"/>
      <c r="D375" s="4175"/>
      <c r="E375" s="4175"/>
      <c r="F375" s="4175"/>
      <c r="G375" s="4175"/>
      <c r="H375" s="4175"/>
      <c r="I375" s="4175"/>
      <c r="J375" s="4175"/>
      <c r="K375" s="4175"/>
      <c r="L375" s="4175"/>
      <c r="M375" s="4175"/>
      <c r="N375" s="4175"/>
      <c r="O375" s="4175"/>
      <c r="P375" s="4176"/>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3378</v>
      </c>
      <c r="B377" s="106" t="s">
        <v>2470</v>
      </c>
      <c r="D377" s="40"/>
      <c r="G377" s="61" t="s">
        <v>6086</v>
      </c>
      <c r="I377" s="2076" t="s">
        <v>6253</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7" t="s">
        <v>3888</v>
      </c>
      <c r="E379" s="3848"/>
      <c r="F379" s="3848"/>
      <c r="G379" s="3848"/>
      <c r="H379" s="3848"/>
      <c r="I379" s="384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3957</v>
      </c>
      <c r="C381" s="416"/>
      <c r="D381" s="416"/>
      <c r="E381" s="416"/>
      <c r="F381" s="416"/>
      <c r="G381" s="416"/>
      <c r="H381" s="416"/>
      <c r="I381" s="416"/>
      <c r="M381" s="2454">
        <v>2</v>
      </c>
      <c r="N381" s="163" t="s">
        <v>1842</v>
      </c>
      <c r="O381" s="599"/>
      <c r="P381" s="1381"/>
      <c r="Q381" s="1004" t="str">
        <f>IF(OR($O381=$M381,$O381=0,$O381=""),"","*CHECK!*")</f>
        <v/>
      </c>
      <c r="R381" s="1001" t="s">
        <v>4061</v>
      </c>
    </row>
    <row r="382" spans="1:22" s="436" customFormat="1" ht="12" customHeight="1">
      <c r="A382" s="435"/>
      <c r="B382" s="4377" t="s">
        <v>6608</v>
      </c>
      <c r="C382" s="4377"/>
      <c r="D382" s="4377"/>
      <c r="E382" s="4377"/>
      <c r="F382" s="4377"/>
      <c r="G382" s="4377"/>
      <c r="H382" s="4377"/>
      <c r="I382" s="4377"/>
      <c r="J382" s="4377"/>
      <c r="K382" s="4377"/>
      <c r="L382" s="4377"/>
      <c r="M382" s="4381" t="s">
        <v>3889</v>
      </c>
      <c r="N382" s="4381"/>
      <c r="Q382" s="185"/>
    </row>
    <row r="383" spans="1:22" s="436" customFormat="1" ht="12" customHeight="1">
      <c r="B383" s="4377"/>
      <c r="C383" s="4377"/>
      <c r="D383" s="4377"/>
      <c r="E383" s="4377"/>
      <c r="F383" s="4377"/>
      <c r="G383" s="4377"/>
      <c r="H383" s="4377"/>
      <c r="I383" s="4377"/>
      <c r="J383" s="4377"/>
      <c r="K383" s="4377"/>
      <c r="L383" s="4377"/>
      <c r="M383" s="4381"/>
      <c r="N383" s="4381"/>
      <c r="O383" s="4387">
        <f>'Part V-Revenues &amp; Expenses'!$P$123</f>
        <v>0</v>
      </c>
      <c r="P383" s="4388"/>
      <c r="Q383" s="185"/>
    </row>
    <row r="384" spans="1:22" s="436" customFormat="1" ht="12" customHeight="1">
      <c r="B384" s="4377"/>
      <c r="C384" s="4377"/>
      <c r="D384" s="4377"/>
      <c r="E384" s="4377"/>
      <c r="F384" s="4377"/>
      <c r="G384" s="4377"/>
      <c r="H384" s="4377"/>
      <c r="I384" s="4377"/>
      <c r="J384" s="4377"/>
      <c r="K384" s="4377"/>
      <c r="L384" s="4377"/>
      <c r="M384" s="1009" t="s">
        <v>2519</v>
      </c>
      <c r="N384" s="437"/>
      <c r="O384" s="4385">
        <f>'Part V-Revenues &amp; Expenses'!$P$67</f>
        <v>52</v>
      </c>
      <c r="P384" s="4386"/>
      <c r="Q384" s="185"/>
    </row>
    <row r="385" spans="1:19" s="436" customFormat="1" ht="12" customHeight="1">
      <c r="B385" s="4378"/>
      <c r="C385" s="4378"/>
      <c r="D385" s="4378"/>
      <c r="E385" s="4378"/>
      <c r="F385" s="4378"/>
      <c r="G385" s="4378"/>
      <c r="H385" s="4378"/>
      <c r="I385" s="4378"/>
      <c r="J385" s="4378"/>
      <c r="K385" s="4378"/>
      <c r="L385" s="4378"/>
      <c r="M385" s="1513" t="s">
        <v>2520</v>
      </c>
      <c r="N385" s="437"/>
      <c r="O385" s="4379">
        <f>IF(O384=0,0,O383/O384)</f>
        <v>0</v>
      </c>
      <c r="P385" s="4380"/>
      <c r="Q385" s="185"/>
    </row>
    <row r="386" spans="1:19" s="43" customFormat="1" ht="105.75" customHeight="1">
      <c r="A386" s="541"/>
      <c r="B386" s="4151" t="s">
        <v>6960</v>
      </c>
      <c r="C386" s="4152"/>
      <c r="D386" s="4152"/>
      <c r="E386" s="4152"/>
      <c r="F386" s="4152"/>
      <c r="G386" s="4152"/>
      <c r="H386" s="4152"/>
      <c r="I386" s="4152"/>
      <c r="J386" s="4152"/>
      <c r="K386" s="4152"/>
      <c r="L386" s="4152"/>
      <c r="M386" s="4152"/>
      <c r="N386" s="4152"/>
      <c r="O386" s="4152"/>
      <c r="P386" s="41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3415</v>
      </c>
      <c r="B388" s="908" t="s">
        <v>3958</v>
      </c>
      <c r="C388" s="140"/>
      <c r="D388" s="854"/>
      <c r="H388" s="416"/>
      <c r="M388" s="437">
        <v>2</v>
      </c>
      <c r="N388" s="163" t="s">
        <v>1844</v>
      </c>
      <c r="O388" s="599"/>
      <c r="P388" s="1381"/>
      <c r="Q388" s="1004" t="str">
        <f>IF(OR($O388=$M388,$O388=0,$O388=""),"","*CHECK!*")</f>
        <v/>
      </c>
      <c r="R388" s="1001" t="s">
        <v>4061</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2"/>
      <c r="G390" s="1569" t="s">
        <v>3830</v>
      </c>
      <c r="H390" s="2444">
        <f>'Part V-Revenues &amp; Expenses'!$P$125</f>
        <v>0</v>
      </c>
      <c r="I390" s="1214" t="s">
        <v>2519</v>
      </c>
      <c r="J390" s="540">
        <f>'Part V-Revenues &amp; Expenses'!$P$67</f>
        <v>52</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329" t="s">
        <v>6961</v>
      </c>
      <c r="B392" s="4330"/>
      <c r="C392" s="4330"/>
      <c r="D392" s="4330"/>
      <c r="E392" s="4330"/>
      <c r="F392" s="4330"/>
      <c r="G392" s="4330"/>
      <c r="H392" s="4330"/>
      <c r="I392" s="4330"/>
      <c r="J392" s="4330"/>
      <c r="K392" s="4330"/>
      <c r="L392" s="4330"/>
      <c r="M392" s="4330"/>
      <c r="N392" s="4330"/>
      <c r="O392" s="4330"/>
      <c r="P392" s="4331"/>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25" customHeight="1">
      <c r="A394" s="4174"/>
      <c r="B394" s="4175"/>
      <c r="C394" s="4175"/>
      <c r="D394" s="4175"/>
      <c r="E394" s="4175"/>
      <c r="F394" s="4175"/>
      <c r="G394" s="4175"/>
      <c r="H394" s="4175"/>
      <c r="I394" s="4175"/>
      <c r="J394" s="4175"/>
      <c r="K394" s="4175"/>
      <c r="L394" s="4175"/>
      <c r="M394" s="4175"/>
      <c r="N394" s="4175"/>
      <c r="O394" s="4175"/>
      <c r="P394" s="4176"/>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3379</v>
      </c>
      <c r="B396" s="106" t="s">
        <v>4038</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4"/>
      <c r="B402" s="4175"/>
      <c r="C402" s="4175"/>
      <c r="D402" s="4175"/>
      <c r="E402" s="4175"/>
      <c r="F402" s="4175"/>
      <c r="G402" s="4175"/>
      <c r="H402" s="4175"/>
      <c r="I402" s="4175"/>
      <c r="J402" s="4175"/>
      <c r="K402" s="4175"/>
      <c r="L402" s="4175"/>
      <c r="M402" s="4175"/>
      <c r="N402" s="4175"/>
      <c r="O402" s="4175"/>
      <c r="P402" s="4176"/>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3380</v>
      </c>
      <c r="B404" s="107" t="s">
        <v>6610</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6611</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6612</v>
      </c>
      <c r="C406" s="33"/>
      <c r="D406" s="103"/>
      <c r="E406" s="87"/>
      <c r="F406" s="52"/>
      <c r="G406" s="52"/>
      <c r="H406" s="52"/>
      <c r="I406" s="103"/>
      <c r="J406" s="103"/>
      <c r="K406" s="60"/>
      <c r="L406" s="2664"/>
      <c r="M406" s="1019">
        <v>1</v>
      </c>
      <c r="N406" s="2186" t="s">
        <v>1842</v>
      </c>
      <c r="O406" s="1685">
        <v>0</v>
      </c>
      <c r="P406" s="1686"/>
      <c r="Q406" s="1004" t="str">
        <f>IF(OR($O406=$M406,$O406=0,$O406=""),"","*CHECK!*")</f>
        <v/>
      </c>
      <c r="R406" s="1001" t="s">
        <v>2460</v>
      </c>
    </row>
    <row r="407" spans="1:21" s="2448" customFormat="1" ht="12" customHeight="1">
      <c r="A407" s="2452" t="s">
        <v>1844</v>
      </c>
      <c r="B407" s="2665" t="s">
        <v>6613</v>
      </c>
      <c r="C407" s="2449"/>
      <c r="D407" s="2449"/>
      <c r="E407" s="2449"/>
      <c r="F407" s="2449"/>
      <c r="G407" s="2140"/>
      <c r="H407" s="2449"/>
      <c r="I407" s="2449"/>
      <c r="J407" s="2449"/>
      <c r="K407" s="2449"/>
      <c r="L407" s="134"/>
      <c r="M407" s="1019">
        <v>1</v>
      </c>
      <c r="N407" s="2186" t="s">
        <v>1844</v>
      </c>
      <c r="O407" s="2621">
        <v>0</v>
      </c>
      <c r="P407" s="2620"/>
      <c r="Q407" s="1004" t="str">
        <f>IF(OR($O407=$M407,$O407=0,$O407=""),"","*CHECK!*")</f>
        <v/>
      </c>
      <c r="R407" s="1001" t="s">
        <v>2460</v>
      </c>
    </row>
    <row r="408" spans="1:21" ht="12" customHeight="1">
      <c r="A408" s="1675" t="s">
        <v>698</v>
      </c>
      <c r="B408" s="190" t="s">
        <v>6243</v>
      </c>
      <c r="C408" s="33"/>
      <c r="D408" s="33"/>
      <c r="E408" s="33"/>
      <c r="F408" s="33"/>
      <c r="G408" s="33"/>
      <c r="H408" s="33"/>
      <c r="I408" s="33"/>
      <c r="J408" s="33"/>
      <c r="K408" s="33"/>
      <c r="L408" s="33"/>
      <c r="M408" s="1019">
        <v>1</v>
      </c>
      <c r="N408" s="2186" t="s">
        <v>698</v>
      </c>
      <c r="O408" s="2495">
        <v>1</v>
      </c>
      <c r="P408" s="2496"/>
      <c r="Q408" s="1004" t="str">
        <f>IF(OR($O408=$M408,$O408=0,$O408=""),"","*CHECK!*")</f>
        <v/>
      </c>
      <c r="R408" s="1001" t="s">
        <v>2460</v>
      </c>
      <c r="S408" s="43"/>
      <c r="T408" s="43"/>
      <c r="U408" s="43"/>
    </row>
    <row r="409" spans="1:21" s="2060" customFormat="1" ht="12" customHeight="1">
      <c r="A409" s="2452" t="s">
        <v>1963</v>
      </c>
      <c r="B409" s="190" t="s">
        <v>6614</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v>0</v>
      </c>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45.75" customHeight="1" thickTop="1" thickBot="1">
      <c r="A413" s="4329" t="s">
        <v>6989</v>
      </c>
      <c r="B413" s="4330"/>
      <c r="C413" s="4330"/>
      <c r="D413" s="4330"/>
      <c r="E413" s="4330"/>
      <c r="F413" s="4330"/>
      <c r="G413" s="4330"/>
      <c r="H413" s="4330"/>
      <c r="I413" s="4330"/>
      <c r="J413" s="4330"/>
      <c r="K413" s="4330"/>
      <c r="L413" s="4330"/>
      <c r="M413" s="4330"/>
      <c r="N413" s="4330"/>
      <c r="O413" s="4330"/>
      <c r="P413" s="4331"/>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174"/>
      <c r="B415" s="4175"/>
      <c r="C415" s="4175"/>
      <c r="D415" s="4175"/>
      <c r="E415" s="4175"/>
      <c r="F415" s="4175"/>
      <c r="G415" s="4175"/>
      <c r="H415" s="4175"/>
      <c r="I415" s="4175"/>
      <c r="J415" s="4175"/>
      <c r="K415" s="4175"/>
      <c r="L415" s="4175"/>
      <c r="M415" s="4175"/>
      <c r="N415" s="4175"/>
      <c r="O415" s="4175"/>
      <c r="P415" s="4176"/>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3381</v>
      </c>
      <c r="B417" s="106" t="s">
        <v>6244</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329" t="s">
        <v>6962</v>
      </c>
      <c r="B419" s="4330"/>
      <c r="C419" s="4330"/>
      <c r="D419" s="4330"/>
      <c r="E419" s="4330"/>
      <c r="F419" s="4330"/>
      <c r="G419" s="4330"/>
      <c r="H419" s="4330"/>
      <c r="I419" s="4330"/>
      <c r="J419" s="4330"/>
      <c r="K419" s="4330"/>
      <c r="L419" s="4330"/>
      <c r="M419" s="4330"/>
      <c r="N419" s="4330"/>
      <c r="O419" s="4330"/>
      <c r="P419" s="4331"/>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1" customHeight="1">
      <c r="A421" s="4174"/>
      <c r="B421" s="4175"/>
      <c r="C421" s="4175"/>
      <c r="D421" s="4175"/>
      <c r="E421" s="4175"/>
      <c r="F421" s="4175"/>
      <c r="G421" s="4175"/>
      <c r="H421" s="4175"/>
      <c r="I421" s="4175"/>
      <c r="J421" s="4175"/>
      <c r="K421" s="4175"/>
      <c r="L421" s="4175"/>
      <c r="M421" s="4175"/>
      <c r="N421" s="4175"/>
      <c r="O421" s="4175"/>
      <c r="P421" s="4176"/>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3382</v>
      </c>
      <c r="B423" s="106" t="s">
        <v>6615</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1" customHeight="1">
      <c r="A425" s="4174"/>
      <c r="B425" s="4175"/>
      <c r="C425" s="4175"/>
      <c r="D425" s="4175"/>
      <c r="E425" s="4175"/>
      <c r="F425" s="4175"/>
      <c r="G425" s="4175"/>
      <c r="H425" s="4175"/>
      <c r="I425" s="4175"/>
      <c r="J425" s="4175"/>
      <c r="K425" s="4175"/>
      <c r="L425" s="4175"/>
      <c r="M425" s="4175"/>
      <c r="N425" s="4175"/>
      <c r="O425" s="4175"/>
      <c r="P425" s="4176"/>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3805</v>
      </c>
      <c r="B427" s="106" t="s">
        <v>6616</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329" t="s">
        <v>6962</v>
      </c>
      <c r="B429" s="4330"/>
      <c r="C429" s="4330"/>
      <c r="D429" s="4330"/>
      <c r="E429" s="4330"/>
      <c r="F429" s="4330"/>
      <c r="G429" s="4330"/>
      <c r="H429" s="4330"/>
      <c r="I429" s="4330"/>
      <c r="J429" s="4330"/>
      <c r="K429" s="4330"/>
      <c r="L429" s="4330"/>
      <c r="M429" s="4330"/>
      <c r="N429" s="4330"/>
      <c r="O429" s="4330"/>
      <c r="P429" s="4331"/>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1" customHeight="1">
      <c r="A431" s="4174"/>
      <c r="B431" s="4175"/>
      <c r="C431" s="4175"/>
      <c r="D431" s="4175"/>
      <c r="E431" s="4175"/>
      <c r="F431" s="4175"/>
      <c r="G431" s="4175"/>
      <c r="H431" s="4175"/>
      <c r="I431" s="4175"/>
      <c r="J431" s="4175"/>
      <c r="K431" s="4175"/>
      <c r="L431" s="4175"/>
      <c r="M431" s="4175"/>
      <c r="N431" s="4175"/>
      <c r="O431" s="4175"/>
      <c r="P431" s="4176"/>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6561</v>
      </c>
      <c r="B433" s="106" t="s">
        <v>6617</v>
      </c>
      <c r="D433" s="45"/>
      <c r="G433" s="61" t="s">
        <v>6086</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6136</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6137</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329" t="s">
        <v>6962</v>
      </c>
      <c r="B437" s="4330"/>
      <c r="C437" s="4330"/>
      <c r="D437" s="4330"/>
      <c r="E437" s="4330"/>
      <c r="F437" s="4330"/>
      <c r="G437" s="4330"/>
      <c r="H437" s="4330"/>
      <c r="I437" s="4330"/>
      <c r="J437" s="4330"/>
      <c r="K437" s="4330"/>
      <c r="L437" s="4330"/>
      <c r="M437" s="4330"/>
      <c r="N437" s="4330"/>
      <c r="O437" s="4330"/>
      <c r="P437" s="4331"/>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174"/>
      <c r="B439" s="4175"/>
      <c r="C439" s="4175"/>
      <c r="D439" s="4175"/>
      <c r="E439" s="4175"/>
      <c r="F439" s="4175"/>
      <c r="G439" s="4175"/>
      <c r="H439" s="4175"/>
      <c r="I439" s="4175"/>
      <c r="J439" s="4175"/>
      <c r="K439" s="4175"/>
      <c r="L439" s="4175"/>
      <c r="M439" s="4175"/>
      <c r="N439" s="4175"/>
      <c r="O439" s="4175"/>
      <c r="P439" s="4176"/>
      <c r="Q439" s="1078"/>
      <c r="R439" s="467"/>
    </row>
    <row r="440" spans="1:27" ht="13.5" customHeight="1" thickBot="1">
      <c r="O440" s="2077"/>
      <c r="P440" s="2077"/>
      <c r="Q440" s="4253" t="s">
        <v>6751</v>
      </c>
      <c r="R440" s="4253"/>
      <c r="S440" s="4253"/>
      <c r="T440" s="4253"/>
      <c r="U440" s="4253"/>
      <c r="V440" s="4253"/>
      <c r="W440" s="4253"/>
      <c r="X440" s="4253"/>
      <c r="Y440" s="4253"/>
      <c r="Z440" s="4253"/>
      <c r="AA440" s="4253"/>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65</v>
      </c>
      <c r="P441" s="2104">
        <f>-P10+P63+P88+P102+P112+P151+P168+P189+P204+P224+P232+P241+P251+P260+P273+P284+P309+P317+P333+P341+P377+P396+P404+P423+P427+P433</f>
        <v>25</v>
      </c>
      <c r="Q441" s="4253"/>
      <c r="R441" s="4253"/>
      <c r="S441" s="4253"/>
      <c r="T441" s="4253"/>
      <c r="U441" s="4253"/>
      <c r="V441" s="4253"/>
      <c r="W441" s="4253"/>
      <c r="X441" s="4253"/>
      <c r="Y441" s="4253"/>
      <c r="Z441" s="4253"/>
      <c r="AA441" s="4253"/>
    </row>
    <row r="442" spans="1:27" s="43" customFormat="1" ht="16" thickTop="1">
      <c r="A442" s="42"/>
      <c r="C442" s="2080"/>
      <c r="D442" s="2080"/>
      <c r="E442" s="2080"/>
      <c r="F442" s="2080"/>
      <c r="G442" s="2080"/>
      <c r="H442" s="2080"/>
      <c r="I442" s="2080"/>
      <c r="J442" s="2080"/>
      <c r="K442" s="2080"/>
      <c r="L442" s="2080"/>
      <c r="M442" s="2080"/>
      <c r="N442" s="2501"/>
      <c r="O442" s="2501"/>
      <c r="P442" s="2501"/>
      <c r="Q442" s="4253"/>
      <c r="R442" s="4253"/>
      <c r="S442" s="4253"/>
      <c r="T442" s="4253"/>
      <c r="U442" s="4253"/>
      <c r="V442" s="4253"/>
      <c r="W442" s="4253"/>
      <c r="X442" s="4253"/>
      <c r="Y442" s="4253"/>
      <c r="Z442" s="4253"/>
      <c r="AA442" s="4253"/>
    </row>
    <row r="443" spans="1:27" s="160" customFormat="1" ht="6.75" customHeight="1">
      <c r="A443" s="54"/>
      <c r="B443" s="67"/>
      <c r="C443" s="54"/>
      <c r="D443" s="148"/>
      <c r="E443" s="148"/>
      <c r="F443" s="40"/>
      <c r="G443" s="40"/>
      <c r="H443" s="69"/>
      <c r="I443" s="69"/>
      <c r="J443" s="494"/>
      <c r="K443" s="494"/>
      <c r="L443" s="43"/>
      <c r="M443" s="148"/>
      <c r="N443" s="1203"/>
      <c r="O443" s="1203"/>
      <c r="P443" s="3"/>
      <c r="Q443" s="4253"/>
      <c r="R443" s="4253"/>
      <c r="S443" s="4253"/>
      <c r="T443" s="4253"/>
      <c r="U443" s="4253"/>
      <c r="V443" s="4253"/>
      <c r="W443" s="4253"/>
      <c r="X443" s="4253"/>
      <c r="Y443" s="4253"/>
      <c r="Z443" s="4253"/>
      <c r="AA443" s="4253"/>
    </row>
    <row r="444" spans="1:27" s="43" customFormat="1" ht="22.5" customHeight="1">
      <c r="A444" s="4479" t="s">
        <v>6706</v>
      </c>
      <c r="B444" s="4479"/>
      <c r="C444" s="4479"/>
      <c r="D444" s="4479"/>
      <c r="E444" s="4479"/>
      <c r="F444" s="4479"/>
      <c r="G444" s="4479"/>
      <c r="H444" s="4479"/>
      <c r="I444" s="4479"/>
      <c r="J444" s="4479"/>
      <c r="K444" s="4479"/>
      <c r="L444" s="4479"/>
      <c r="M444" s="4479"/>
      <c r="N444" s="4479"/>
      <c r="O444" s="4479"/>
      <c r="P444" s="4479"/>
      <c r="Q444" s="4253"/>
      <c r="R444" s="4253"/>
      <c r="S444" s="4253"/>
      <c r="T444" s="4253"/>
      <c r="U444" s="4253"/>
      <c r="V444" s="4253"/>
      <c r="W444" s="4253"/>
      <c r="X444" s="4253"/>
      <c r="Y444" s="4253"/>
      <c r="Z444" s="4253"/>
      <c r="AA444" s="4253"/>
    </row>
    <row r="445" spans="1:27" s="43" customFormat="1" ht="409.25" customHeight="1">
      <c r="A445" s="4000"/>
      <c r="B445" s="4001"/>
      <c r="C445" s="4001"/>
      <c r="D445" s="4001"/>
      <c r="E445" s="4001"/>
      <c r="F445" s="4001"/>
      <c r="G445" s="4001"/>
      <c r="H445" s="4001"/>
      <c r="I445" s="4001"/>
      <c r="J445" s="4001"/>
      <c r="K445" s="4001"/>
      <c r="L445" s="4001"/>
      <c r="M445" s="4001"/>
      <c r="N445" s="4001"/>
      <c r="O445" s="4001"/>
      <c r="P445" s="4002"/>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476" t="s">
        <v>1408</v>
      </c>
      <c r="H465" s="4476"/>
      <c r="I465" s="4476"/>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4066</v>
      </c>
      <c r="H466" s="2523" t="s">
        <v>4067</v>
      </c>
      <c r="I466" s="2522" t="s">
        <v>4065</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4069</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4068</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4068</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4068</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4068</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4069</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4069</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4068</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4069</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4068</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4068</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4068</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4068</v>
      </c>
      <c r="J482" s="2528" t="s">
        <v>3262</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4068</v>
      </c>
      <c r="J483" s="2523" t="s">
        <v>3338</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4068</v>
      </c>
      <c r="J484" s="2523" t="s">
        <v>3333</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4068</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4069</v>
      </c>
      <c r="I486" s="2522" t="s">
        <v>2454</v>
      </c>
      <c r="J486" s="2523" t="s">
        <v>3329</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4068</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4068</v>
      </c>
      <c r="J488" s="2523" t="s">
        <v>3330</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4068</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3347</v>
      </c>
      <c r="H490" s="2517" t="s">
        <v>4069</v>
      </c>
      <c r="I490" s="2522" t="s">
        <v>2454</v>
      </c>
      <c r="J490" s="2523" t="s">
        <v>3331</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4068</v>
      </c>
      <c r="J491" s="2523" t="s">
        <v>3334</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4068</v>
      </c>
      <c r="J492" s="2523" t="s">
        <v>3337</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4069</v>
      </c>
      <c r="I493" s="2522" t="s">
        <v>2454</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4069</v>
      </c>
      <c r="I494" s="2522" t="s">
        <v>2454</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4068</v>
      </c>
      <c r="J495" s="2523" t="s">
        <v>3332</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4068</v>
      </c>
      <c r="J496" s="2523" t="s">
        <v>3335</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4068</v>
      </c>
      <c r="J497" s="2523" t="s">
        <v>3336</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4068</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4068</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4063</v>
      </c>
      <c r="H500" s="2517" t="s">
        <v>4069</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4069</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4069</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4069</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4068</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4068</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4068</v>
      </c>
      <c r="J506" s="2523"/>
      <c r="K506" s="472"/>
      <c r="L506" s="2523"/>
      <c r="M506" s="472"/>
      <c r="N506" s="2517"/>
      <c r="O506" s="2307"/>
      <c r="P506" s="2307"/>
      <c r="Q506" s="2308"/>
      <c r="R506" s="2306"/>
    </row>
    <row r="507" spans="1:18" s="160" customFormat="1">
      <c r="A507" s="2306"/>
      <c r="B507" s="2306"/>
      <c r="C507" s="2530"/>
      <c r="D507" s="472"/>
      <c r="E507" s="472"/>
      <c r="F507" s="472"/>
      <c r="G507" s="2525" t="s">
        <v>4064</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4068</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4068</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4068</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4068</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4068</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4068</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4068</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4069</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baseColWidth="10" defaultColWidth="9.1640625" defaultRowHeight="16"/>
  <cols>
    <col min="1" max="3" width="12.83203125" style="654" customWidth="1"/>
    <col min="4" max="4" width="15.5" style="654" customWidth="1"/>
    <col min="5" max="5" width="4.83203125" style="654" customWidth="1"/>
    <col min="6" max="9" width="12.83203125" style="654" customWidth="1"/>
    <col min="10" max="10" width="5.1640625" style="654" customWidth="1"/>
    <col min="11" max="16384" width="9.1640625" style="654"/>
  </cols>
  <sheetData>
    <row r="1" spans="1:16">
      <c r="A1" s="4552" t="s">
        <v>2583</v>
      </c>
      <c r="B1" s="4552"/>
      <c r="C1" s="4552"/>
      <c r="D1" s="4552"/>
      <c r="E1" s="4552"/>
      <c r="F1" s="4552"/>
      <c r="G1" s="4552"/>
      <c r="H1" s="4552"/>
      <c r="I1" s="4552"/>
      <c r="J1" s="4552"/>
    </row>
    <row r="2" spans="1:16">
      <c r="A2" s="4552" t="str">
        <f>'Sensitivity Analysis'!C8</f>
        <v>Cave Spring Townhomes</v>
      </c>
      <c r="B2" s="4552"/>
      <c r="C2" s="4552"/>
      <c r="D2" s="4552"/>
      <c r="E2" s="4552"/>
      <c r="F2" s="4552"/>
      <c r="G2" s="4552"/>
      <c r="H2" s="4552"/>
      <c r="I2" s="4552"/>
      <c r="J2" s="4552"/>
    </row>
    <row r="3" spans="1:16">
      <c r="A3" s="4552" t="str">
        <f>'Subsidy Layering Memo'!F14</f>
        <v>Cave Spring, Floyd</v>
      </c>
      <c r="B3" s="4552"/>
      <c r="C3" s="4552"/>
      <c r="D3" s="4552"/>
      <c r="E3" s="4552"/>
      <c r="F3" s="4552"/>
      <c r="G3" s="4552"/>
      <c r="H3" s="4552"/>
      <c r="I3" s="4552"/>
      <c r="J3" s="4552"/>
    </row>
    <row r="4" spans="1:16">
      <c r="A4" s="4553" t="s">
        <v>2584</v>
      </c>
      <c r="B4" s="4552"/>
      <c r="C4" s="4552"/>
      <c r="D4" s="4552"/>
      <c r="E4" s="4552"/>
      <c r="F4" s="4552"/>
      <c r="G4" s="4552"/>
      <c r="H4" s="4552"/>
      <c r="I4" s="4552"/>
      <c r="J4" s="4552"/>
    </row>
    <row r="5" spans="1:16" ht="5.25" customHeight="1"/>
    <row r="6" spans="1:16" ht="5.25" customHeight="1"/>
    <row r="7" spans="1:16">
      <c r="A7" s="4554" t="s">
        <v>2585</v>
      </c>
      <c r="B7" s="4554"/>
      <c r="C7" s="4555"/>
      <c r="M7" s="4545"/>
      <c r="N7" s="4545"/>
      <c r="O7" s="4545"/>
      <c r="P7" s="4545"/>
    </row>
    <row r="8" spans="1:16" ht="57" customHeight="1">
      <c r="A8" s="4546" t="s">
        <v>6156</v>
      </c>
      <c r="B8" s="4546"/>
      <c r="C8" s="4546"/>
      <c r="D8" s="4546"/>
      <c r="E8" s="4546"/>
      <c r="F8" s="4546"/>
      <c r="G8" s="4546"/>
      <c r="H8" s="4546"/>
      <c r="I8" s="4546"/>
      <c r="J8" s="4546"/>
      <c r="K8" s="655"/>
    </row>
    <row r="9" spans="1:16" ht="45.75" customHeight="1">
      <c r="A9" s="4546"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6"/>
      <c r="C9" s="4546"/>
      <c r="D9" s="4546"/>
      <c r="E9" s="4546"/>
      <c r="F9" s="4546"/>
      <c r="G9" s="4546"/>
      <c r="H9" s="4546"/>
      <c r="I9" s="4546"/>
      <c r="J9" s="4546"/>
      <c r="K9" s="655"/>
    </row>
    <row r="10" spans="1:16">
      <c r="A10" s="656" t="s">
        <v>2586</v>
      </c>
    </row>
    <row r="11" spans="1:16" ht="16.5" customHeight="1">
      <c r="A11" s="4546" t="str">
        <f>'Subsidy Layering Memo'!A50</f>
        <v xml:space="preserve">Ownership entity:  (NAME) LP, a Georgia Limited Partnership, will be the ownership entity for the proposed project. </v>
      </c>
      <c r="B11" s="4548"/>
      <c r="C11" s="4548"/>
      <c r="D11" s="4548"/>
      <c r="E11" s="4548"/>
      <c r="F11" s="4548"/>
      <c r="G11" s="4548"/>
      <c r="H11" s="4548"/>
      <c r="I11" s="4548"/>
      <c r="J11" s="4546"/>
    </row>
    <row r="12" spans="1:16" ht="63.75" customHeight="1">
      <c r="A12" s="45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6"/>
      <c r="C12" s="4546"/>
      <c r="D12" s="4546"/>
      <c r="E12" s="4546"/>
      <c r="F12" s="4546"/>
      <c r="G12" s="4546"/>
      <c r="H12" s="4546"/>
      <c r="I12" s="4546"/>
      <c r="J12" s="4546"/>
    </row>
    <row r="13" spans="1:16" ht="48.75" customHeight="1">
      <c r="A13" s="45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6"/>
      <c r="C13" s="4546"/>
      <c r="D13" s="4546"/>
      <c r="E13" s="4546"/>
      <c r="F13" s="4546"/>
      <c r="G13" s="4546"/>
      <c r="H13" s="4546"/>
      <c r="I13" s="4546"/>
      <c r="J13" s="4546"/>
    </row>
    <row r="14" spans="1:16">
      <c r="A14" s="656" t="s">
        <v>2587</v>
      </c>
      <c r="B14" s="657"/>
    </row>
    <row r="15" spans="1:16">
      <c r="A15" s="654" t="s">
        <v>2588</v>
      </c>
      <c r="D15" s="1588" t="s">
        <v>2589</v>
      </c>
    </row>
    <row r="16" spans="1:16">
      <c r="A16" s="654" t="s">
        <v>2590</v>
      </c>
      <c r="D16" s="1586">
        <f>'Sensitivity Analysis'!C25</f>
        <v>1320000</v>
      </c>
    </row>
    <row r="17" spans="1:11">
      <c r="A17" s="658" t="s">
        <v>2591</v>
      </c>
      <c r="D17" s="1587">
        <f>'Sensitivity Analysis'!C13</f>
        <v>52</v>
      </c>
    </row>
    <row r="18" spans="1:11" ht="14.25" customHeight="1"/>
    <row r="19" spans="1:11">
      <c r="A19" s="656" t="s">
        <v>2592</v>
      </c>
      <c r="B19" s="657"/>
      <c r="C19" s="657"/>
    </row>
    <row r="20" spans="1:11" ht="48.75" customHeight="1">
      <c r="A20" s="45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9"/>
      <c r="C20" s="4549"/>
      <c r="D20" s="4549"/>
      <c r="E20" s="4549"/>
      <c r="F20" s="4549"/>
      <c r="G20" s="4549"/>
      <c r="H20" s="4549"/>
      <c r="I20" s="4549"/>
      <c r="J20" s="4549"/>
    </row>
    <row r="21" spans="1:11" ht="72.75" customHeight="1">
      <c r="A21" s="4546" t="str">
        <f>'Subsidy Layering Memo'!A67</f>
        <v xml:space="preserve"> will make a capital contribution totaling 9211500 via the syndication of the 2021 Federal LIHTC allocation of 1035000 per annum. will make a capital contribution totaling 5899500 via the syndication of the 2021 State LIHTC allocation of 1035000 per annum.</v>
      </c>
      <c r="B21" s="4546"/>
      <c r="C21" s="4546"/>
      <c r="D21" s="4546"/>
      <c r="E21" s="4546"/>
      <c r="F21" s="4546"/>
      <c r="G21" s="4546"/>
      <c r="H21" s="4546"/>
      <c r="I21" s="4546"/>
      <c r="J21" s="4546"/>
    </row>
    <row r="22" spans="1:11" ht="43.5" customHeight="1">
      <c r="A22" s="4551" t="str">
        <f>'Subsidy Layering Memo'!A68</f>
        <v xml:space="preserve">The total equity price per credit will be 1.46 (0.89 Federal tax credit and 0.57 State tax credit) for a (X%) ownership interest of the Federal Credits and a (X%) ownership interest of the State Credits. </v>
      </c>
      <c r="B22" s="4551"/>
      <c r="C22" s="4551"/>
      <c r="D22" s="4551"/>
      <c r="E22" s="4551"/>
      <c r="F22" s="4551"/>
      <c r="G22" s="4551"/>
      <c r="H22" s="4551"/>
      <c r="I22" s="4551"/>
      <c r="J22" s="4551"/>
    </row>
    <row r="23" spans="1:11">
      <c r="A23" s="656" t="s">
        <v>6157</v>
      </c>
      <c r="B23" s="657"/>
      <c r="C23" s="657"/>
      <c r="D23" s="657"/>
      <c r="E23" s="657"/>
      <c r="F23" s="657"/>
    </row>
    <row r="24" spans="1:11" ht="102.75" customHeight="1">
      <c r="A24" s="45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0"/>
      <c r="C24" s="4550"/>
      <c r="D24" s="4550"/>
      <c r="E24" s="4550"/>
      <c r="F24" s="4550"/>
      <c r="G24" s="4550"/>
      <c r="H24" s="4550"/>
      <c r="I24" s="4550"/>
      <c r="J24" s="4550"/>
      <c r="K24" s="1293"/>
    </row>
    <row r="25" spans="1:11" ht="15" customHeight="1">
      <c r="A25" s="4547"/>
      <c r="B25" s="4547"/>
      <c r="C25" s="4547"/>
      <c r="D25" s="4547"/>
      <c r="E25" s="4547"/>
      <c r="F25" s="4547"/>
      <c r="G25" s="4547"/>
      <c r="H25" s="4547"/>
      <c r="I25" s="4547"/>
      <c r="J25" s="4547"/>
      <c r="K25" s="654" t="s">
        <v>233</v>
      </c>
    </row>
    <row r="26" spans="1:11" ht="15" customHeight="1">
      <c r="B26" s="1292"/>
      <c r="C26" s="1292"/>
      <c r="D26" s="1292"/>
      <c r="E26" s="1292"/>
      <c r="F26" s="1292"/>
      <c r="G26" s="1292"/>
      <c r="H26" s="1292"/>
      <c r="I26" s="1292" t="s">
        <v>233</v>
      </c>
      <c r="J26" s="1292"/>
    </row>
    <row r="27" spans="1:11">
      <c r="A27" s="657" t="s">
        <v>2593</v>
      </c>
    </row>
    <row r="29" spans="1:11" ht="17"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baseColWidth="10" defaultColWidth="9.1640625" defaultRowHeight="14"/>
  <cols>
    <col min="1" max="1" width="9.1640625" style="663"/>
    <col min="2" max="2" width="7.83203125" style="663" customWidth="1"/>
    <col min="3" max="3" width="14.83203125" style="663" customWidth="1"/>
    <col min="4" max="4" width="20.1640625" style="663" customWidth="1"/>
    <col min="5" max="5" width="8" style="663" customWidth="1"/>
    <col min="6" max="6" width="5.1640625" style="663" customWidth="1"/>
    <col min="7" max="7" width="5.5" style="663" customWidth="1"/>
    <col min="8" max="8" width="8.5" style="663" customWidth="1"/>
    <col min="9" max="9" width="28.5" style="663" customWidth="1"/>
    <col min="10" max="10" width="4.1640625" style="663" hidden="1" customWidth="1"/>
    <col min="11" max="11" width="9.1640625" style="663"/>
    <col min="12" max="12" width="16.1640625" style="663" customWidth="1"/>
    <col min="13" max="13" width="11.1640625" style="663" customWidth="1"/>
    <col min="14" max="14" width="10.83203125" style="663" bestFit="1" customWidth="1"/>
    <col min="15" max="15" width="28.5" style="663" customWidth="1"/>
    <col min="16" max="16384" width="9.1640625" style="663"/>
  </cols>
  <sheetData>
    <row r="2" spans="1:10">
      <c r="A2" s="660" t="s">
        <v>2596</v>
      </c>
      <c r="B2" s="661"/>
      <c r="C2" s="661"/>
      <c r="D2" s="661"/>
      <c r="E2" s="662"/>
      <c r="F2" s="661"/>
      <c r="G2" s="661"/>
      <c r="H2" s="661"/>
      <c r="I2" s="661"/>
      <c r="J2" s="661"/>
    </row>
    <row r="3" spans="1:10">
      <c r="A3" s="664"/>
    </row>
    <row r="4" spans="1:10">
      <c r="A4" s="664" t="s">
        <v>2597</v>
      </c>
      <c r="D4" s="663" t="s">
        <v>2598</v>
      </c>
    </row>
    <row r="5" spans="1:10">
      <c r="A5" s="664"/>
    </row>
    <row r="6" spans="1:10">
      <c r="A6" s="664" t="s">
        <v>2599</v>
      </c>
      <c r="D6" s="663" t="s">
        <v>2600</v>
      </c>
    </row>
    <row r="7" spans="1:10">
      <c r="A7" s="664"/>
    </row>
    <row r="8" spans="1:10">
      <c r="A8" s="664" t="s">
        <v>2601</v>
      </c>
      <c r="D8" s="665" t="s">
        <v>2602</v>
      </c>
    </row>
    <row r="9" spans="1:10">
      <c r="A9" s="664"/>
    </row>
    <row r="10" spans="1:10">
      <c r="A10" s="664" t="s">
        <v>2603</v>
      </c>
      <c r="D10" s="665" t="s">
        <v>2604</v>
      </c>
    </row>
    <row r="11" spans="1:10">
      <c r="A11" s="664"/>
      <c r="D11" s="1585"/>
    </row>
    <row r="12" spans="1:10">
      <c r="A12" s="664" t="s">
        <v>2605</v>
      </c>
      <c r="D12" s="663" t="s">
        <v>574</v>
      </c>
      <c r="F12" s="1585" t="str">
        <f>'Sensitivity Analysis'!$C$8</f>
        <v>Cave Spring Townhomes</v>
      </c>
    </row>
    <row r="13" spans="1:10">
      <c r="A13" s="664"/>
      <c r="D13" s="663" t="s">
        <v>2606</v>
      </c>
      <c r="F13" s="1585" t="str">
        <f>'Sensitivity Analysis'!E8</f>
        <v>2022-0</v>
      </c>
    </row>
    <row r="14" spans="1:10">
      <c r="A14" s="664"/>
      <c r="D14" s="663" t="s">
        <v>2607</v>
      </c>
      <c r="F14" s="1585" t="str">
        <f>'Sensitivity Analysis'!H8</f>
        <v>Cave Spring, Floyd</v>
      </c>
    </row>
    <row r="15" spans="1:10">
      <c r="A15" s="664"/>
      <c r="D15" s="663" t="s">
        <v>2948</v>
      </c>
      <c r="F15" s="4556">
        <f>'Sensitivity Analysis'!$C$25</f>
        <v>1320000</v>
      </c>
      <c r="G15" s="4556"/>
      <c r="H15" s="4556"/>
    </row>
    <row r="16" spans="1:10">
      <c r="A16" s="664"/>
      <c r="D16" s="666" t="s">
        <v>2608</v>
      </c>
      <c r="F16" s="667">
        <f>'Sensitivity Analysis'!C13</f>
        <v>52</v>
      </c>
      <c r="G16" s="668" t="s">
        <v>2949</v>
      </c>
      <c r="H16" s="1241">
        <f>'Sensitivity Analysis'!E13</f>
        <v>52</v>
      </c>
    </row>
    <row r="17" spans="1:18">
      <c r="A17" s="664"/>
      <c r="D17" s="666" t="s">
        <v>2577</v>
      </c>
      <c r="F17" s="667" t="e">
        <f>'Sensitivity Analysis'!C14</f>
        <v>#REF!</v>
      </c>
    </row>
    <row r="18" spans="1:18">
      <c r="A18" s="664"/>
      <c r="D18" s="666" t="s">
        <v>2953</v>
      </c>
      <c r="F18" s="1585" t="str">
        <f>'Sensitivity Analysis'!H15</f>
        <v>Rural</v>
      </c>
    </row>
    <row r="19" spans="1:18">
      <c r="A19" s="664"/>
      <c r="D19" s="666" t="s">
        <v>2950</v>
      </c>
      <c r="F19" s="1585" t="str">
        <f>'Sensitivity Analysis'!E16</f>
        <v>No</v>
      </c>
    </row>
    <row r="20" spans="1:18">
      <c r="A20" s="664"/>
      <c r="D20" s="666"/>
    </row>
    <row r="21" spans="1:18">
      <c r="A21" s="669" t="s">
        <v>6159</v>
      </c>
    </row>
    <row r="22" spans="1:18" ht="111.75" customHeight="1">
      <c r="A22" s="4563" t="s">
        <v>3101</v>
      </c>
      <c r="B22" s="4563"/>
      <c r="C22" s="4563"/>
      <c r="D22" s="4563"/>
      <c r="E22" s="4563"/>
      <c r="F22" s="4563"/>
      <c r="G22" s="4563"/>
      <c r="H22" s="4563"/>
      <c r="I22" s="4563"/>
      <c r="J22" s="4563"/>
      <c r="K22" s="4571" t="s">
        <v>3900</v>
      </c>
      <c r="L22" s="4571"/>
      <c r="M22" s="4571"/>
      <c r="N22" s="4571"/>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2"/>
      <c r="B24" s="4572"/>
      <c r="C24" s="4572"/>
      <c r="D24" s="4572"/>
      <c r="E24" s="4572"/>
      <c r="F24" s="4572"/>
      <c r="G24" s="4572"/>
      <c r="H24" s="4572"/>
      <c r="I24" s="4572"/>
      <c r="J24" s="4572"/>
    </row>
    <row r="25" spans="1:18" ht="10.5" hidden="1" customHeight="1">
      <c r="A25" s="4551"/>
      <c r="B25" s="4551"/>
      <c r="C25" s="4551"/>
      <c r="D25" s="4551"/>
      <c r="E25" s="4551"/>
      <c r="F25" s="4551"/>
      <c r="G25" s="4551"/>
      <c r="H25" s="4551"/>
      <c r="I25" s="4551"/>
      <c r="J25" s="4551"/>
    </row>
    <row r="26" spans="1:18">
      <c r="A26" s="669" t="s">
        <v>6158</v>
      </c>
    </row>
    <row r="27" spans="1:18" ht="14.25" customHeight="1">
      <c r="A27" s="4573" t="s">
        <v>6160</v>
      </c>
      <c r="B27" s="4573"/>
      <c r="C27" s="4573"/>
      <c r="D27" s="4573"/>
      <c r="E27" s="4573"/>
      <c r="F27" s="4573"/>
      <c r="G27" s="4573"/>
      <c r="H27" s="4573"/>
      <c r="I27" s="4573"/>
      <c r="J27" s="4573"/>
    </row>
    <row r="28" spans="1:18" ht="14.25" customHeight="1">
      <c r="A28" s="4573"/>
      <c r="B28" s="4573"/>
      <c r="C28" s="4573"/>
      <c r="D28" s="4573"/>
      <c r="E28" s="4573"/>
      <c r="F28" s="4573"/>
      <c r="G28" s="4573"/>
      <c r="H28" s="4573"/>
      <c r="I28" s="4573"/>
      <c r="J28" s="4573"/>
    </row>
    <row r="29" spans="1:18" ht="6.75" customHeight="1">
      <c r="A29" s="4573"/>
      <c r="B29" s="4573"/>
      <c r="C29" s="4573"/>
      <c r="D29" s="4573"/>
      <c r="E29" s="4573"/>
      <c r="F29" s="4573"/>
      <c r="G29" s="4573"/>
      <c r="H29" s="4573"/>
      <c r="I29" s="4573"/>
      <c r="J29" s="4573"/>
    </row>
    <row r="30" spans="1:18" ht="21.75" customHeight="1">
      <c r="A30" s="4573"/>
      <c r="B30" s="4573"/>
      <c r="C30" s="4573"/>
      <c r="D30" s="4573"/>
      <c r="E30" s="4573"/>
      <c r="F30" s="4573"/>
      <c r="G30" s="4573"/>
      <c r="H30" s="4573"/>
      <c r="I30" s="4573"/>
      <c r="J30" s="4573"/>
    </row>
    <row r="31" spans="1:18" ht="20.25" customHeight="1">
      <c r="A31" s="4573"/>
      <c r="B31" s="4573"/>
      <c r="C31" s="4573"/>
      <c r="D31" s="4573"/>
      <c r="E31" s="4573"/>
      <c r="F31" s="4573"/>
      <c r="G31" s="4573"/>
      <c r="H31" s="4573"/>
      <c r="I31" s="4573"/>
      <c r="J31" s="4573"/>
    </row>
    <row r="32" spans="1:18" ht="54.75" customHeight="1">
      <c r="A32" s="4573"/>
      <c r="B32" s="4573"/>
      <c r="C32" s="4573"/>
      <c r="D32" s="4573"/>
      <c r="E32" s="4573"/>
      <c r="F32" s="4573"/>
      <c r="G32" s="4573"/>
      <c r="H32" s="4573"/>
      <c r="I32" s="4573"/>
      <c r="J32" s="4573"/>
    </row>
    <row r="33" spans="1:10" ht="0.75" hidden="1" customHeight="1">
      <c r="A33" s="4573"/>
      <c r="B33" s="4573"/>
      <c r="C33" s="4573"/>
      <c r="D33" s="4573"/>
      <c r="E33" s="4573"/>
      <c r="F33" s="4573"/>
      <c r="G33" s="4573"/>
      <c r="H33" s="4573"/>
      <c r="I33" s="4573"/>
      <c r="J33" s="4573"/>
    </row>
    <row r="34" spans="1:10" ht="3.75" hidden="1" customHeight="1">
      <c r="A34" s="4573"/>
      <c r="B34" s="4573"/>
      <c r="C34" s="4573"/>
      <c r="D34" s="4573"/>
      <c r="E34" s="4573"/>
      <c r="F34" s="4573"/>
      <c r="G34" s="4573"/>
      <c r="H34" s="4573"/>
      <c r="I34" s="4573"/>
      <c r="J34" s="4573"/>
    </row>
    <row r="35" spans="1:10" ht="5.25" customHeight="1">
      <c r="A35" s="1581"/>
      <c r="B35" s="1581"/>
      <c r="C35" s="1581"/>
      <c r="D35" s="1581"/>
      <c r="E35" s="1581"/>
      <c r="F35" s="1581"/>
      <c r="G35" s="1581"/>
      <c r="H35" s="1581"/>
      <c r="I35" s="1581"/>
      <c r="J35" s="1581"/>
    </row>
    <row r="36" spans="1:10" ht="19.5" customHeight="1">
      <c r="A36" s="4572" t="s">
        <v>6161</v>
      </c>
      <c r="B36" s="4572"/>
      <c r="C36" s="4572"/>
      <c r="D36" s="1579"/>
      <c r="E36" s="1579"/>
      <c r="F36" s="1579"/>
      <c r="G36" s="1579"/>
      <c r="H36" s="1579"/>
      <c r="I36" s="1579"/>
      <c r="J36" s="1579"/>
    </row>
    <row r="37" spans="1:10" ht="22.5" customHeight="1">
      <c r="A37" s="4551" t="s">
        <v>1615</v>
      </c>
      <c r="B37" s="4551"/>
      <c r="C37" s="4551"/>
      <c r="D37" s="4551"/>
      <c r="E37" s="4551"/>
      <c r="F37" s="4551"/>
      <c r="G37" s="4551"/>
      <c r="H37" s="4551"/>
      <c r="I37" s="4551"/>
      <c r="J37" s="4551"/>
    </row>
    <row r="38" spans="1:10" ht="22.5" customHeight="1">
      <c r="A38" s="4551" t="s">
        <v>1616</v>
      </c>
      <c r="B38" s="4551"/>
      <c r="C38" s="4551"/>
      <c r="D38" s="4551"/>
      <c r="E38" s="4551"/>
      <c r="F38" s="4551"/>
      <c r="G38" s="4551"/>
      <c r="H38" s="4551"/>
      <c r="I38" s="4551"/>
      <c r="J38" s="4551"/>
    </row>
    <row r="39" spans="1:10" ht="22.5" customHeight="1">
      <c r="A39" s="4551" t="s">
        <v>1617</v>
      </c>
      <c r="B39" s="4551"/>
      <c r="C39" s="4551"/>
      <c r="D39" s="4551"/>
      <c r="E39" s="4551"/>
      <c r="F39" s="4551"/>
      <c r="G39" s="4551"/>
      <c r="H39" s="4551"/>
      <c r="I39" s="4551"/>
      <c r="J39" s="4551"/>
    </row>
    <row r="40" spans="1:10" ht="22.5" customHeight="1">
      <c r="A40" s="4551" t="s">
        <v>2183</v>
      </c>
      <c r="B40" s="4551"/>
      <c r="C40" s="4551"/>
      <c r="D40" s="4551"/>
      <c r="E40" s="4551"/>
      <c r="F40" s="4551"/>
      <c r="G40" s="4551"/>
      <c r="H40" s="4551"/>
      <c r="I40" s="4551"/>
      <c r="J40" s="4551"/>
    </row>
    <row r="41" spans="1:10" ht="22.5" customHeight="1">
      <c r="A41" s="4551" t="s">
        <v>1449</v>
      </c>
      <c r="B41" s="4551"/>
      <c r="C41" s="4551"/>
      <c r="D41" s="4551"/>
      <c r="E41" s="4551"/>
      <c r="F41" s="4551"/>
      <c r="G41" s="4551"/>
      <c r="H41" s="4551"/>
      <c r="I41" s="4551"/>
      <c r="J41" s="4551"/>
    </row>
    <row r="42" spans="1:10" ht="22.5" customHeight="1">
      <c r="A42" s="4551" t="s">
        <v>1450</v>
      </c>
      <c r="B42" s="4551"/>
      <c r="C42" s="4551"/>
      <c r="D42" s="4551"/>
      <c r="E42" s="4551"/>
      <c r="F42" s="4551"/>
      <c r="G42" s="4551"/>
      <c r="H42" s="4551"/>
      <c r="I42" s="4551"/>
      <c r="J42" s="4551"/>
    </row>
    <row r="43" spans="1:10" ht="22.5" customHeight="1">
      <c r="A43" s="4551" t="s">
        <v>93</v>
      </c>
      <c r="B43" s="4551"/>
      <c r="C43" s="4551"/>
      <c r="D43" s="4551"/>
      <c r="E43" s="4551"/>
      <c r="F43" s="4551"/>
      <c r="G43" s="4551"/>
      <c r="H43" s="4551"/>
      <c r="I43" s="4551"/>
      <c r="J43" s="4551"/>
    </row>
    <row r="44" spans="1:10" ht="22.5" customHeight="1">
      <c r="A44" s="4551" t="s">
        <v>481</v>
      </c>
      <c r="B44" s="4551"/>
      <c r="C44" s="4551"/>
      <c r="D44" s="4551"/>
      <c r="E44" s="4551"/>
      <c r="F44" s="4551"/>
      <c r="G44" s="4551"/>
      <c r="H44" s="4551"/>
      <c r="I44" s="4551"/>
      <c r="J44" s="4551"/>
    </row>
    <row r="45" spans="1:10" ht="2.25" customHeight="1">
      <c r="A45" s="1579"/>
      <c r="B45" s="1579"/>
      <c r="C45" s="1579"/>
      <c r="D45" s="1579"/>
      <c r="E45" s="1579"/>
      <c r="F45" s="1579"/>
      <c r="G45" s="1579"/>
      <c r="H45" s="1579"/>
      <c r="I45" s="1579"/>
      <c r="J45" s="1579"/>
    </row>
    <row r="46" spans="1:10">
      <c r="A46" s="669" t="s">
        <v>2609</v>
      </c>
    </row>
    <row r="47" spans="1:10" ht="135" customHeight="1">
      <c r="A47" s="4551" t="s">
        <v>6162</v>
      </c>
      <c r="B47" s="4551"/>
      <c r="C47" s="4551"/>
      <c r="D47" s="4551"/>
      <c r="E47" s="4551"/>
      <c r="F47" s="4551"/>
      <c r="G47" s="4551"/>
      <c r="H47" s="4551"/>
      <c r="I47" s="4551"/>
      <c r="J47" s="4551"/>
    </row>
    <row r="48" spans="1:10" ht="6" customHeight="1">
      <c r="A48" s="1580"/>
      <c r="B48" s="1580"/>
      <c r="C48" s="1580"/>
      <c r="D48" s="1580"/>
      <c r="E48" s="1580"/>
      <c r="F48" s="1580"/>
      <c r="G48" s="1580"/>
      <c r="H48" s="1580"/>
      <c r="I48" s="1580"/>
      <c r="J48" s="1580"/>
    </row>
    <row r="49" spans="1:12">
      <c r="A49" s="669" t="s">
        <v>2610</v>
      </c>
    </row>
    <row r="50" spans="1:12" ht="33" customHeight="1">
      <c r="A50" s="4546" t="s">
        <v>3453</v>
      </c>
      <c r="B50" s="4548"/>
      <c r="C50" s="4548"/>
      <c r="D50" s="4548"/>
      <c r="E50" s="4548"/>
      <c r="F50" s="4548"/>
      <c r="G50" s="4548"/>
      <c r="H50" s="4548"/>
      <c r="I50" s="4548"/>
      <c r="J50" s="4546"/>
    </row>
    <row r="51" spans="1:12" ht="3" customHeight="1"/>
    <row r="52" spans="1:12" ht="72.75" customHeight="1">
      <c r="A52" s="4546" t="s">
        <v>3454</v>
      </c>
      <c r="B52" s="4546"/>
      <c r="C52" s="4546"/>
      <c r="D52" s="4546"/>
      <c r="E52" s="4546"/>
      <c r="F52" s="4546"/>
      <c r="G52" s="4546"/>
      <c r="H52" s="4546"/>
      <c r="I52" s="4546"/>
      <c r="J52" s="4546"/>
    </row>
    <row r="53" spans="1:12" ht="3" customHeight="1">
      <c r="A53" s="1579"/>
      <c r="B53" s="1579"/>
      <c r="C53" s="1579"/>
      <c r="D53" s="1579"/>
      <c r="E53" s="1579"/>
      <c r="F53" s="1579"/>
      <c r="G53" s="1579"/>
      <c r="H53" s="1579"/>
      <c r="I53" s="1579"/>
      <c r="J53" s="1579"/>
    </row>
    <row r="54" spans="1:12" ht="56.25" customHeight="1">
      <c r="A54" s="4546" t="s">
        <v>3455</v>
      </c>
      <c r="B54" s="4546"/>
      <c r="C54" s="4546"/>
      <c r="D54" s="4546"/>
      <c r="E54" s="4546"/>
      <c r="F54" s="4546"/>
      <c r="G54" s="4546"/>
      <c r="H54" s="4546"/>
      <c r="I54" s="4546"/>
      <c r="J54" s="4546"/>
    </row>
    <row r="55" spans="1:12" ht="3" customHeight="1">
      <c r="A55" s="1579"/>
      <c r="B55" s="1579"/>
      <c r="C55" s="1579"/>
      <c r="D55" s="1579"/>
      <c r="E55" s="1579"/>
      <c r="F55" s="1579"/>
      <c r="G55" s="1579"/>
      <c r="H55" s="1579"/>
      <c r="I55" s="1579"/>
      <c r="J55" s="1579"/>
    </row>
    <row r="56" spans="1:12" ht="49.5" customHeight="1">
      <c r="A56" s="4546" t="s">
        <v>3456</v>
      </c>
      <c r="B56" s="4546"/>
      <c r="C56" s="4546"/>
      <c r="D56" s="4546"/>
      <c r="E56" s="4546"/>
      <c r="F56" s="4546"/>
      <c r="G56" s="4546"/>
      <c r="H56" s="4546"/>
      <c r="I56" s="4546"/>
      <c r="J56" s="1579"/>
    </row>
    <row r="57" spans="1:12" ht="3" customHeight="1">
      <c r="A57" s="1579"/>
      <c r="B57" s="1579"/>
      <c r="C57" s="1579"/>
      <c r="D57" s="1579"/>
      <c r="E57" s="1579"/>
      <c r="F57" s="1579"/>
      <c r="G57" s="1579"/>
      <c r="H57" s="1579"/>
      <c r="I57" s="1579"/>
      <c r="J57" s="1579"/>
    </row>
    <row r="58" spans="1:12" ht="54.75" customHeight="1">
      <c r="A58" s="4562" t="s">
        <v>2958</v>
      </c>
      <c r="B58" s="4561"/>
      <c r="C58" s="4561"/>
      <c r="D58" s="4561"/>
      <c r="E58" s="4561"/>
      <c r="F58" s="4561"/>
      <c r="G58" s="4561"/>
      <c r="H58" s="4561"/>
      <c r="I58" s="4561"/>
      <c r="J58" s="1579"/>
    </row>
    <row r="59" spans="1:12" ht="3" customHeight="1">
      <c r="A59" s="1579"/>
      <c r="B59" s="1579"/>
      <c r="C59" s="1579"/>
      <c r="D59" s="1579"/>
      <c r="E59" s="1579"/>
      <c r="F59" s="1579"/>
      <c r="G59" s="1579"/>
      <c r="H59" s="1579"/>
      <c r="I59" s="1579"/>
      <c r="J59" s="1579"/>
    </row>
    <row r="60" spans="1:12" ht="62.25" customHeight="1">
      <c r="A60" s="4561" t="s">
        <v>3457</v>
      </c>
      <c r="B60" s="4561"/>
      <c r="C60" s="4561"/>
      <c r="D60" s="4561"/>
      <c r="E60" s="4561"/>
      <c r="F60" s="4561"/>
      <c r="G60" s="4561"/>
      <c r="H60" s="4561"/>
      <c r="I60" s="4561"/>
      <c r="J60" s="4561"/>
    </row>
    <row r="61" spans="1:12" ht="3" customHeight="1"/>
    <row r="62" spans="1:12" ht="73.5" customHeight="1">
      <c r="A62" s="4546" t="s">
        <v>3458</v>
      </c>
      <c r="B62" s="4546"/>
      <c r="C62" s="4546"/>
      <c r="D62" s="4546"/>
      <c r="E62" s="4546"/>
      <c r="F62" s="4546"/>
      <c r="G62" s="4546"/>
      <c r="H62" s="4546"/>
      <c r="I62" s="4546"/>
      <c r="J62" s="4546"/>
    </row>
    <row r="63" spans="1:12" ht="6" customHeight="1">
      <c r="A63" s="1579" t="s">
        <v>233</v>
      </c>
      <c r="B63" s="1579"/>
      <c r="C63" s="1579"/>
      <c r="D63" s="1579"/>
      <c r="E63" s="1579"/>
      <c r="F63" s="1579"/>
      <c r="G63" s="1579"/>
      <c r="H63" s="1579"/>
      <c r="I63" s="1579"/>
      <c r="J63" s="1579"/>
    </row>
    <row r="64" spans="1:12">
      <c r="A64" s="669" t="s">
        <v>2611</v>
      </c>
      <c r="L64" s="670" t="s">
        <v>3093</v>
      </c>
    </row>
    <row r="65" spans="1:17" ht="46.5" customHeight="1">
      <c r="A65" s="4563" t="s">
        <v>2612</v>
      </c>
      <c r="B65" s="4563"/>
      <c r="C65" s="4563"/>
      <c r="D65" s="4563"/>
      <c r="E65" s="4563"/>
      <c r="F65" s="4563"/>
      <c r="G65" s="4563"/>
      <c r="H65" s="4563"/>
      <c r="I65" s="4563"/>
      <c r="J65" s="4563"/>
      <c r="L65" s="671">
        <f>'Closing term sheet'!C135</f>
        <v>668385</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9211500 via the syndication of the 2021 Federal LIHTC allocation of 1035000 per annum. will make a capital contribution totaling 5899500 via the syndication of the 2021 State LIHTC allocation of 1035000 per annum.</v>
      </c>
      <c r="B67" s="4561"/>
      <c r="C67" s="4561"/>
      <c r="D67" s="4561"/>
      <c r="E67" s="4561"/>
      <c r="F67" s="4561"/>
      <c r="G67" s="4561"/>
      <c r="H67" s="4561"/>
      <c r="I67" s="4561"/>
      <c r="J67" s="676"/>
      <c r="L67" s="677">
        <f>'Part II-Sources of Funds'!I51</f>
        <v>9211500</v>
      </c>
      <c r="M67" s="678">
        <f>'Part III-A-Uses of Funds'!$J$191</f>
        <v>1035000</v>
      </c>
      <c r="N67" s="679">
        <f>'Part III-A-Uses of Funds'!N182</f>
        <v>0.89</v>
      </c>
      <c r="O67" s="677">
        <f>'Part II-Sources of Funds'!I52</f>
        <v>5899500</v>
      </c>
      <c r="P67" s="678">
        <f>M67</f>
        <v>1035000</v>
      </c>
      <c r="Q67" s="679">
        <f>'Part III-A-Uses of Funds'!Q182</f>
        <v>0.56999999999999995</v>
      </c>
    </row>
    <row r="68" spans="1:17" ht="39.75" customHeight="1">
      <c r="A68" s="45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1.46 (0.89 Federal tax credit and 0.57 State tax credit) for a (X%) ownership interest of the Federal Credits and a (X%) ownership interest of the State Credits. </v>
      </c>
      <c r="B68" s="4564"/>
      <c r="C68" s="4564"/>
      <c r="D68" s="4564"/>
      <c r="E68" s="4564"/>
      <c r="F68" s="4564"/>
      <c r="G68" s="4564"/>
      <c r="H68" s="4564"/>
      <c r="I68" s="4564"/>
      <c r="J68" s="676"/>
      <c r="L68" s="1994"/>
      <c r="M68" s="1994"/>
      <c r="N68" s="1995"/>
      <c r="O68" s="1994"/>
      <c r="P68" s="1994"/>
      <c r="Q68" s="1995"/>
    </row>
    <row r="69" spans="1:17" ht="18.75" customHeight="1">
      <c r="A69" s="680" t="s">
        <v>2613</v>
      </c>
    </row>
    <row r="70" spans="1:17" ht="177" customHeight="1">
      <c r="A70" s="4561" t="s">
        <v>6163</v>
      </c>
      <c r="B70" s="4561"/>
      <c r="C70" s="4561"/>
      <c r="D70" s="4561"/>
      <c r="E70" s="4561"/>
      <c r="F70" s="4561"/>
      <c r="G70" s="4561"/>
      <c r="H70" s="4561"/>
      <c r="I70" s="4561"/>
      <c r="J70" s="4561"/>
      <c r="L70" s="681">
        <f>'Part VI-Pro Forma'!K72</f>
        <v>734781.72965953674</v>
      </c>
      <c r="M70" s="4565" t="s">
        <v>3100</v>
      </c>
      <c r="N70" s="4566"/>
    </row>
    <row r="71" spans="1:17" ht="6" customHeight="1">
      <c r="A71" s="669"/>
    </row>
    <row r="72" spans="1:17">
      <c r="A72" s="669" t="s">
        <v>2614</v>
      </c>
    </row>
    <row r="73" spans="1:17" ht="72.5" customHeight="1">
      <c r="A73" s="4561" t="s">
        <v>2615</v>
      </c>
      <c r="B73" s="4561"/>
      <c r="C73" s="4561"/>
      <c r="D73" s="4561"/>
      <c r="E73" s="4561"/>
      <c r="F73" s="4561"/>
      <c r="G73" s="4561"/>
      <c r="H73" s="4561"/>
      <c r="I73" s="4561"/>
      <c r="J73" s="4561"/>
    </row>
    <row r="74" spans="1:17" ht="36" customHeight="1">
      <c r="A74" s="4561" t="s">
        <v>2616</v>
      </c>
      <c r="B74" s="4561"/>
      <c r="C74" s="4561"/>
      <c r="D74" s="4561"/>
      <c r="E74" s="4561"/>
      <c r="F74" s="4561"/>
      <c r="G74" s="4561"/>
      <c r="H74" s="4561"/>
      <c r="I74" s="4561"/>
      <c r="J74" s="4561"/>
    </row>
    <row r="75" spans="1:17" ht="6" customHeight="1">
      <c r="A75" s="669"/>
    </row>
    <row r="76" spans="1:17">
      <c r="A76" s="669" t="s">
        <v>2617</v>
      </c>
    </row>
    <row r="77" spans="1:17" ht="105.75" customHeight="1">
      <c r="A77" s="4546" t="s">
        <v>2618</v>
      </c>
      <c r="B77" s="4546"/>
      <c r="C77" s="4546"/>
      <c r="D77" s="4546"/>
      <c r="E77" s="4546"/>
      <c r="F77" s="4546"/>
      <c r="G77" s="4546"/>
      <c r="H77" s="4546"/>
      <c r="I77" s="4546"/>
      <c r="J77" s="4546"/>
    </row>
    <row r="78" spans="1:17" ht="6" customHeight="1">
      <c r="A78" s="669"/>
    </row>
    <row r="79" spans="1:17">
      <c r="A79" s="669" t="s">
        <v>2619</v>
      </c>
    </row>
    <row r="80" spans="1:17" ht="66" customHeight="1">
      <c r="A80" s="4546" t="s">
        <v>2620</v>
      </c>
      <c r="B80" s="4546"/>
      <c r="C80" s="4546"/>
      <c r="D80" s="4546"/>
      <c r="E80" s="4546"/>
      <c r="F80" s="4546"/>
      <c r="G80" s="4546"/>
      <c r="H80" s="4546"/>
      <c r="I80" s="4546"/>
      <c r="J80" s="4546"/>
    </row>
    <row r="81" spans="1:15" s="1581" customFormat="1" ht="6" customHeight="1">
      <c r="A81" s="4546"/>
      <c r="B81" s="4546"/>
      <c r="C81" s="4546"/>
      <c r="D81" s="4546"/>
      <c r="E81" s="4546"/>
      <c r="F81" s="4546"/>
      <c r="G81" s="4546"/>
      <c r="H81" s="4546"/>
      <c r="I81" s="4546"/>
      <c r="J81" s="4546"/>
    </row>
    <row r="82" spans="1:15" ht="16.5" customHeight="1">
      <c r="A82" s="1583" t="s">
        <v>2621</v>
      </c>
      <c r="B82" s="668"/>
      <c r="C82" s="668"/>
      <c r="D82" s="1585"/>
      <c r="E82" s="668"/>
      <c r="F82" s="668"/>
      <c r="G82" s="668"/>
      <c r="H82" s="668"/>
      <c r="I82" s="668"/>
      <c r="J82" s="682"/>
    </row>
    <row r="83" spans="1:15" s="1581" customFormat="1" ht="63" customHeight="1">
      <c r="A83" s="4546" t="s">
        <v>3660</v>
      </c>
      <c r="B83" s="4546"/>
      <c r="C83" s="4546"/>
      <c r="D83" s="4546"/>
      <c r="E83" s="4546"/>
      <c r="F83" s="4546"/>
      <c r="G83" s="4546"/>
      <c r="H83" s="4546"/>
      <c r="I83" s="4546"/>
      <c r="J83" s="4546"/>
    </row>
    <row r="84" spans="1:15" s="1581" customFormat="1" ht="6" customHeight="1">
      <c r="A84" s="1579"/>
      <c r="B84" s="1579"/>
      <c r="C84" s="1579"/>
      <c r="D84" s="1579"/>
      <c r="E84" s="1579"/>
      <c r="F84" s="1579"/>
      <c r="G84" s="1579"/>
      <c r="H84" s="1579"/>
      <c r="I84" s="1579"/>
      <c r="J84" s="1579"/>
    </row>
    <row r="85" spans="1:15" ht="16.5" customHeight="1">
      <c r="A85" s="4568" t="s">
        <v>2622</v>
      </c>
      <c r="B85" s="4569"/>
      <c r="C85" s="4569"/>
      <c r="D85" s="668"/>
      <c r="E85" s="668"/>
      <c r="F85" s="668"/>
      <c r="G85" s="668"/>
      <c r="H85" s="668"/>
      <c r="I85" s="668"/>
      <c r="J85" s="682"/>
    </row>
    <row r="86" spans="1:15" ht="41.25" customHeight="1">
      <c r="A86" s="4561" t="s">
        <v>6164</v>
      </c>
      <c r="B86" s="4570"/>
      <c r="C86" s="4570"/>
      <c r="D86" s="4570"/>
      <c r="E86" s="4570"/>
      <c r="F86" s="4570"/>
      <c r="G86" s="4570"/>
      <c r="H86" s="4570"/>
      <c r="I86" s="4570"/>
      <c r="J86" s="4570"/>
    </row>
    <row r="87" spans="1:15" ht="6" customHeight="1">
      <c r="A87" s="683"/>
      <c r="B87" s="668"/>
      <c r="C87" s="668"/>
      <c r="D87" s="668"/>
      <c r="E87" s="668"/>
      <c r="F87" s="668"/>
      <c r="G87" s="668"/>
      <c r="H87" s="668"/>
      <c r="I87" s="668"/>
      <c r="J87" s="682"/>
    </row>
    <row r="88" spans="1:15">
      <c r="A88" s="669" t="s">
        <v>2623</v>
      </c>
    </row>
    <row r="89" spans="1:15" ht="124.25" customHeight="1">
      <c r="A89" s="4561" t="s">
        <v>2624</v>
      </c>
      <c r="B89" s="4561"/>
      <c r="C89" s="4561"/>
      <c r="D89" s="4561"/>
      <c r="E89" s="4561"/>
      <c r="F89" s="4561"/>
      <c r="G89" s="4561"/>
      <c r="H89" s="4561"/>
      <c r="I89" s="4561"/>
      <c r="J89" s="4561"/>
      <c r="L89" s="4571" t="s">
        <v>2625</v>
      </c>
      <c r="M89" s="4571"/>
      <c r="N89" s="4571"/>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1" t="s">
        <v>2627</v>
      </c>
      <c r="B92" s="4561"/>
      <c r="C92" s="4561"/>
      <c r="D92" s="4561"/>
      <c r="E92" s="4561"/>
      <c r="F92" s="4561"/>
      <c r="G92" s="4561"/>
      <c r="H92" s="4561"/>
      <c r="I92" s="4561"/>
      <c r="J92" s="4561"/>
      <c r="L92" s="4571" t="s">
        <v>2628</v>
      </c>
      <c r="M92" s="4571"/>
      <c r="N92" s="684" t="e">
        <f>'After-Tax Analysis'!G66</f>
        <v>#VALUE!</v>
      </c>
      <c r="O92" s="685" t="s">
        <v>2629</v>
      </c>
    </row>
    <row r="93" spans="1:15" ht="6" customHeight="1">
      <c r="A93" s="669"/>
    </row>
    <row r="94" spans="1:15">
      <c r="A94" s="669" t="s">
        <v>2630</v>
      </c>
    </row>
    <row r="95" spans="1:15" ht="118.5" customHeight="1">
      <c r="A95" s="4546" t="s">
        <v>2631</v>
      </c>
      <c r="B95" s="4546"/>
      <c r="C95" s="4546"/>
      <c r="D95" s="4546"/>
      <c r="E95" s="4546"/>
      <c r="F95" s="4546"/>
      <c r="G95" s="4546"/>
      <c r="H95" s="4546"/>
      <c r="I95" s="4546"/>
      <c r="J95" s="4546"/>
    </row>
    <row r="96" spans="1:15" ht="20.25" customHeight="1">
      <c r="A96" s="4548" t="s">
        <v>2632</v>
      </c>
      <c r="B96" s="4548"/>
      <c r="C96" s="4548"/>
      <c r="D96" s="4546"/>
      <c r="E96" s="1579"/>
      <c r="F96" s="1579"/>
      <c r="G96" s="1579"/>
      <c r="H96" s="1579"/>
      <c r="I96" s="1579"/>
      <c r="J96" s="1579"/>
    </row>
    <row r="97" spans="1:14" ht="109.5" customHeight="1">
      <c r="A97" s="4559" t="s">
        <v>2633</v>
      </c>
      <c r="B97" s="4560"/>
      <c r="C97" s="4560"/>
      <c r="D97" s="4560"/>
      <c r="E97" s="4560"/>
      <c r="F97" s="4560"/>
      <c r="G97" s="4560"/>
      <c r="H97" s="4560"/>
      <c r="I97" s="4560"/>
      <c r="J97" s="4560"/>
    </row>
    <row r="98" spans="1:14" ht="11.25" customHeight="1">
      <c r="A98" s="669"/>
    </row>
    <row r="99" spans="1:14">
      <c r="A99" s="669" t="s">
        <v>2634</v>
      </c>
    </row>
    <row r="100" spans="1:14" ht="110.5" customHeight="1">
      <c r="A100" s="4563" t="s">
        <v>2635</v>
      </c>
      <c r="B100" s="4563"/>
      <c r="C100" s="4563"/>
      <c r="D100" s="4563"/>
      <c r="E100" s="4563"/>
      <c r="F100" s="4563"/>
      <c r="G100" s="4563"/>
      <c r="H100" s="4563"/>
      <c r="I100" s="4563"/>
      <c r="J100" s="4563"/>
      <c r="L100" s="1245">
        <f>'Part VI-Pro Forma'!K72</f>
        <v>734781.72965953674</v>
      </c>
      <c r="M100" s="4567" t="s">
        <v>2636</v>
      </c>
      <c r="N100" s="4567"/>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8" t="s">
        <v>2637</v>
      </c>
      <c r="B104" s="4548"/>
      <c r="C104" s="4548"/>
      <c r="D104" s="1579"/>
      <c r="E104" s="1579"/>
      <c r="F104" s="1579"/>
      <c r="G104" s="1579"/>
      <c r="H104" s="1579"/>
      <c r="I104" s="1579"/>
      <c r="J104" s="682"/>
    </row>
    <row r="105" spans="1:14" ht="37.5" customHeight="1">
      <c r="A105" s="4561" t="s">
        <v>2638</v>
      </c>
      <c r="B105" s="4561"/>
      <c r="C105" s="4561"/>
      <c r="D105" s="4561"/>
      <c r="E105" s="4561"/>
      <c r="F105" s="4561"/>
      <c r="G105" s="4561"/>
      <c r="H105" s="4561"/>
      <c r="I105" s="4561"/>
      <c r="J105" s="4561"/>
    </row>
    <row r="106" spans="1:14" ht="6" customHeight="1">
      <c r="A106" s="669"/>
    </row>
    <row r="107" spans="1:14">
      <c r="A107" s="669" t="s">
        <v>2639</v>
      </c>
    </row>
    <row r="108" spans="1:14" ht="43.5" customHeight="1">
      <c r="A108" s="4546" t="s">
        <v>2640</v>
      </c>
      <c r="B108" s="4546"/>
      <c r="C108" s="4546"/>
      <c r="D108" s="4546"/>
      <c r="E108" s="4546"/>
      <c r="F108" s="4546"/>
      <c r="G108" s="4546"/>
      <c r="H108" s="4546"/>
      <c r="I108" s="4546"/>
      <c r="J108" s="4546"/>
    </row>
    <row r="109" spans="1:14" ht="6" customHeight="1">
      <c r="A109" s="1579"/>
      <c r="B109" s="1579"/>
      <c r="C109" s="1579"/>
      <c r="D109" s="1579"/>
      <c r="E109" s="1579"/>
      <c r="F109" s="1579"/>
      <c r="G109" s="1579"/>
      <c r="H109" s="1579"/>
      <c r="I109" s="1579"/>
      <c r="J109" s="1579"/>
    </row>
    <row r="110" spans="1:14">
      <c r="A110" s="669" t="s">
        <v>2641</v>
      </c>
    </row>
    <row r="112" spans="1:14" ht="19" thickBot="1">
      <c r="A112" s="1899" t="s">
        <v>2642</v>
      </c>
      <c r="B112" s="1899"/>
      <c r="C112" s="1899"/>
      <c r="D112" s="1899"/>
      <c r="E112" s="1899"/>
      <c r="F112" s="1899"/>
      <c r="G112" s="1900"/>
      <c r="H112" s="663" t="s">
        <v>2643</v>
      </c>
      <c r="I112" s="1899"/>
      <c r="J112" s="1899"/>
    </row>
    <row r="115" spans="1:10" ht="14"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57" t="s">
        <v>6066</v>
      </c>
      <c r="B120" s="4557"/>
      <c r="C120" s="4557"/>
      <c r="D120" s="4557"/>
      <c r="E120" s="4558"/>
      <c r="F120" s="1895" t="s">
        <v>6067</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baseColWidth="10" defaultColWidth="9.1640625" defaultRowHeight="13"/>
  <cols>
    <col min="1" max="1" width="16.83203125" style="27" customWidth="1"/>
    <col min="2" max="3" width="26.1640625" style="27" customWidth="1"/>
    <col min="4" max="4" width="9.5" style="27" customWidth="1"/>
    <col min="5" max="5" width="25.5" style="27" customWidth="1"/>
    <col min="6" max="6" width="8.5" style="27" customWidth="1"/>
    <col min="7" max="7" width="21.83203125" style="27" customWidth="1"/>
    <col min="8" max="8" width="6.5" style="27" customWidth="1"/>
    <col min="9" max="9" width="19.1640625" style="27" customWidth="1"/>
    <col min="10" max="10" width="6.5" style="27" customWidth="1"/>
    <col min="11" max="11" width="18.83203125" style="27" customWidth="1"/>
    <col min="12" max="12" width="7.5" style="27" customWidth="1"/>
    <col min="13" max="17" width="10.83203125" style="27" customWidth="1"/>
    <col min="18" max="16384" width="9.16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Cave Spring Townhomes</v>
      </c>
      <c r="B2" s="717"/>
      <c r="C2" s="717"/>
      <c r="D2" s="717"/>
      <c r="E2" s="717"/>
      <c r="F2" s="717"/>
      <c r="G2" s="717"/>
      <c r="H2" s="717"/>
      <c r="I2" s="717"/>
      <c r="J2" s="717"/>
      <c r="K2" s="717"/>
      <c r="L2" s="657"/>
      <c r="M2" s="657"/>
    </row>
    <row r="5" spans="1:14" ht="16">
      <c r="A5" s="688"/>
      <c r="B5" s="689"/>
      <c r="C5" s="690"/>
      <c r="D5" s="689"/>
      <c r="E5" s="689"/>
      <c r="F5" s="688"/>
      <c r="G5" s="689"/>
      <c r="H5" s="690"/>
      <c r="I5" s="689"/>
      <c r="J5" s="689"/>
      <c r="K5" s="689"/>
      <c r="L5" s="689"/>
      <c r="M5" s="654"/>
    </row>
    <row r="7" spans="1:14" ht="16">
      <c r="A7" s="657" t="s">
        <v>2648</v>
      </c>
      <c r="B7" s="654"/>
      <c r="C7" s="691"/>
      <c r="D7" s="692"/>
      <c r="E7" s="692"/>
      <c r="F7" s="657" t="s">
        <v>2960</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6">
      <c r="A8" s="657" t="s">
        <v>2649</v>
      </c>
      <c r="B8" s="657"/>
      <c r="C8" s="4575" t="str">
        <f>'Part I-Project Identification'!F29</f>
        <v>Cave Spring Townhomes</v>
      </c>
      <c r="D8" s="4575"/>
      <c r="E8" s="1294" t="str">
        <f>'Part I-Project Identification'!O7</f>
        <v>2022-0</v>
      </c>
      <c r="F8" s="693" t="s">
        <v>2650</v>
      </c>
      <c r="G8" s="692"/>
      <c r="H8" s="4575" t="str">
        <f>CONCATENATE('Part I-Project Identification'!F30,", ",'Part I-Project Identification'!J30)</f>
        <v>Cave Spring, Floyd</v>
      </c>
      <c r="I8" s="4575"/>
      <c r="J8" s="4575"/>
      <c r="K8" s="4575"/>
      <c r="L8" s="654"/>
      <c r="M8" s="694"/>
    </row>
    <row r="9" spans="1:14" ht="16">
      <c r="A9" s="657" t="s">
        <v>2652</v>
      </c>
      <c r="B9" s="657"/>
      <c r="C9" s="4575" t="s">
        <v>1647</v>
      </c>
      <c r="D9" s="4575"/>
      <c r="E9" s="692"/>
      <c r="F9" s="693" t="s">
        <v>2653</v>
      </c>
      <c r="G9" s="692"/>
      <c r="H9" s="4575" t="str">
        <f>'Part II-Development Team'!H6</f>
        <v>(Enter name as it will appear on all legal documents)</v>
      </c>
      <c r="I9" s="4575"/>
      <c r="J9" s="4575"/>
      <c r="K9" s="4575"/>
      <c r="L9" s="4575"/>
      <c r="M9" s="694"/>
    </row>
    <row r="10" spans="1:14" ht="16">
      <c r="A10" s="657" t="s">
        <v>2655</v>
      </c>
      <c r="B10" s="654"/>
      <c r="C10" s="1294">
        <f>'Part II-Development Team'!H15</f>
        <v>0</v>
      </c>
      <c r="D10" s="692"/>
      <c r="E10" s="692"/>
      <c r="F10" s="693" t="s">
        <v>3134</v>
      </c>
      <c r="G10" s="692"/>
      <c r="H10" s="4575">
        <f>'Part II-Development Team'!H34</f>
        <v>0</v>
      </c>
      <c r="I10" s="4575"/>
      <c r="J10" s="4575"/>
      <c r="K10" s="4575">
        <f>'Part II-Development Team'!H40</f>
        <v>0</v>
      </c>
      <c r="L10" s="4575"/>
    </row>
    <row r="11" spans="1:14" ht="16">
      <c r="A11" s="657" t="s">
        <v>2656</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6">
      <c r="A12" s="657" t="s">
        <v>2657</v>
      </c>
      <c r="B12" s="654"/>
      <c r="C12" s="1294">
        <f>'Part II-Development Team'!H87</f>
        <v>0</v>
      </c>
      <c r="D12" s="692"/>
      <c r="E12" s="692"/>
      <c r="F12" s="693" t="s">
        <v>2658</v>
      </c>
      <c r="G12" s="692"/>
      <c r="H12" s="4575">
        <f>'Part II-Development Team'!H93</f>
        <v>0</v>
      </c>
      <c r="I12" s="4575"/>
      <c r="J12" s="4575"/>
      <c r="K12" s="4575"/>
      <c r="L12" s="654"/>
      <c r="M12" s="654"/>
    </row>
    <row r="13" spans="1:14" ht="16">
      <c r="A13" s="657" t="s">
        <v>2659</v>
      </c>
      <c r="B13" s="693"/>
      <c r="C13" s="653">
        <f>'Part V-Revenues &amp; Expenses'!$P$67</f>
        <v>52</v>
      </c>
      <c r="E13" s="1239">
        <f>'Part V-Revenues &amp; Expenses'!$P$63</f>
        <v>52</v>
      </c>
      <c r="F13" s="693" t="s">
        <v>3452</v>
      </c>
      <c r="G13" s="692"/>
      <c r="H13" s="1295" t="e">
        <f>'Part I-Project Identification'!#REF!</f>
        <v>#REF!</v>
      </c>
      <c r="I13" s="1240"/>
      <c r="J13" s="1240"/>
      <c r="K13" s="1295">
        <f>'Part V-Revenues &amp; Expenses'!K175</f>
        <v>57385</v>
      </c>
      <c r="L13" s="654"/>
      <c r="M13" s="654"/>
    </row>
    <row r="14" spans="1:14" ht="16">
      <c r="A14" s="657" t="s">
        <v>2951</v>
      </c>
      <c r="B14" s="654"/>
      <c r="C14" s="1295" t="e">
        <f>'Part I-Project Identification'!#REF!</f>
        <v>#REF!</v>
      </c>
      <c r="D14" s="4575" t="e">
        <f>IF('Part V-Revenues &amp; Expenses'!#REF!=0,"",'Part V-Revenues &amp; Expenses'!#REF!)</f>
        <v>#REF!</v>
      </c>
      <c r="E14" s="4575"/>
      <c r="F14" s="693" t="s">
        <v>2660</v>
      </c>
      <c r="G14" s="692"/>
      <c r="H14" s="4580" t="s">
        <v>3102</v>
      </c>
      <c r="I14" s="4580"/>
      <c r="J14" s="4580"/>
      <c r="K14" s="4580" t="s">
        <v>3102</v>
      </c>
      <c r="L14" s="4580"/>
      <c r="M14" s="654"/>
    </row>
    <row r="15" spans="1:14" ht="16">
      <c r="A15" s="657" t="s">
        <v>2661</v>
      </c>
      <c r="B15" s="654"/>
      <c r="C15" s="695" t="s">
        <v>1647</v>
      </c>
      <c r="D15" s="692"/>
      <c r="E15" s="692"/>
      <c r="F15" s="693" t="s">
        <v>2952</v>
      </c>
      <c r="G15" s="692"/>
      <c r="H15" s="1294" t="str">
        <f>'Part I-Project Identification'!K32</f>
        <v>Rural</v>
      </c>
      <c r="I15" s="692"/>
      <c r="J15" s="692"/>
      <c r="K15" s="692"/>
      <c r="L15" s="654"/>
      <c r="M15" s="654"/>
    </row>
    <row r="16" spans="1:14" ht="16">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6">
      <c r="A17" s="654"/>
      <c r="B17" s="654"/>
      <c r="C17" s="654"/>
      <c r="D17" s="692"/>
      <c r="E17" s="692"/>
      <c r="F17" s="692"/>
      <c r="G17" s="692"/>
      <c r="H17" s="692"/>
      <c r="I17" s="692"/>
      <c r="J17" s="654"/>
      <c r="K17" s="654"/>
      <c r="L17" s="654"/>
      <c r="M17" s="654"/>
    </row>
    <row r="18" spans="1:13" ht="16">
      <c r="A18" s="657" t="s">
        <v>2954</v>
      </c>
      <c r="B18" s="654"/>
      <c r="C18" s="1297">
        <f>'Part III-A-Uses of Funds'!G146</f>
        <v>16513230</v>
      </c>
      <c r="D18" s="1276">
        <f>IF(C18=0,"",$C$29/C18)</f>
        <v>7.9935905937239413E-2</v>
      </c>
      <c r="E18" s="692" t="s">
        <v>2955</v>
      </c>
      <c r="F18" s="693" t="s">
        <v>2956</v>
      </c>
      <c r="G18" s="692"/>
      <c r="H18" s="4574">
        <f>'Part III-A-Uses of Funds'!C49</f>
        <v>11426312</v>
      </c>
      <c r="I18" s="4574"/>
      <c r="J18" s="1275">
        <f>IF(H18=0,"",$C$29/H18)</f>
        <v>0.11552283886524366</v>
      </c>
      <c r="K18" s="4575" t="s">
        <v>2957</v>
      </c>
      <c r="L18" s="4575"/>
      <c r="M18" s="654"/>
    </row>
    <row r="19" spans="1:13" ht="16">
      <c r="A19" s="657" t="s">
        <v>2662</v>
      </c>
      <c r="B19" s="654"/>
      <c r="C19" s="1296">
        <f>C18/C13</f>
        <v>317562.11538461538</v>
      </c>
      <c r="D19" s="692"/>
      <c r="E19" s="654"/>
      <c r="F19" s="657" t="s">
        <v>2662</v>
      </c>
      <c r="G19" s="654"/>
      <c r="H19" s="4576">
        <f>H18/C13</f>
        <v>219736.76923076922</v>
      </c>
      <c r="I19" s="4576"/>
      <c r="J19" s="654"/>
      <c r="K19" s="654"/>
      <c r="L19" s="654"/>
      <c r="M19" s="654"/>
    </row>
    <row r="20" spans="1:13" ht="16">
      <c r="A20" s="657" t="s">
        <v>2663</v>
      </c>
      <c r="B20" s="654"/>
      <c r="C20" s="1298">
        <f>C18/K13</f>
        <v>287.76213296157533</v>
      </c>
      <c r="D20" s="697"/>
      <c r="E20" s="698"/>
      <c r="F20" s="657" t="s">
        <v>2663</v>
      </c>
      <c r="G20" s="654"/>
      <c r="H20" s="4577">
        <f>H18/K13</f>
        <v>199.1167029711597</v>
      </c>
      <c r="I20" s="4576"/>
      <c r="J20" s="654"/>
      <c r="K20" s="654"/>
      <c r="L20" s="654"/>
      <c r="M20" s="654"/>
    </row>
    <row r="21" spans="1:13" ht="16">
      <c r="A21" s="657"/>
      <c r="B21" s="654"/>
      <c r="C21" s="699"/>
      <c r="D21" s="654"/>
      <c r="E21" s="654"/>
      <c r="F21" s="657"/>
      <c r="G21" s="654"/>
      <c r="H21" s="699"/>
      <c r="I21" s="654"/>
      <c r="J21" s="654"/>
      <c r="K21" s="654"/>
      <c r="L21" s="654"/>
      <c r="M21" s="654"/>
    </row>
    <row r="22" spans="1:13" ht="16">
      <c r="A22" s="689"/>
      <c r="B22" s="689"/>
      <c r="C22" s="689"/>
      <c r="D22" s="689"/>
      <c r="E22" s="689"/>
      <c r="F22" s="689"/>
      <c r="G22" s="689"/>
      <c r="H22" s="689"/>
      <c r="I22" s="689"/>
      <c r="J22" s="689"/>
      <c r="K22" s="689"/>
      <c r="L22" s="689"/>
      <c r="M22" s="694"/>
    </row>
    <row r="23" spans="1:13" ht="16">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6">
      <c r="A25" s="657" t="s">
        <v>2666</v>
      </c>
      <c r="B25" s="703" t="str">
        <f>'Part II-Sources of Funds'!E40</f>
        <v>Churchill Stateside</v>
      </c>
      <c r="C25" s="704">
        <f>'Part II-Sources of Funds'!I40</f>
        <v>1320000</v>
      </c>
      <c r="D25" s="705" t="s">
        <v>2667</v>
      </c>
      <c r="E25" s="654"/>
      <c r="F25" s="692"/>
      <c r="G25" s="654" t="s">
        <v>2668</v>
      </c>
      <c r="H25" s="654"/>
      <c r="I25" s="654"/>
      <c r="K25" s="704"/>
      <c r="L25" s="692"/>
      <c r="M25" s="694"/>
    </row>
    <row r="26" spans="1:13" ht="16">
      <c r="A26" s="654"/>
      <c r="B26" s="703"/>
      <c r="C26" s="704"/>
      <c r="D26" s="705"/>
      <c r="E26" s="654"/>
      <c r="F26" s="692"/>
      <c r="G26" s="654" t="s">
        <v>2669</v>
      </c>
      <c r="H26" s="654"/>
      <c r="I26" s="654"/>
      <c r="K26" s="706" t="e">
        <f>C29/K25</f>
        <v>#DIV/0!</v>
      </c>
      <c r="L26" s="692"/>
      <c r="M26" s="654"/>
    </row>
    <row r="27" spans="1:13" ht="16">
      <c r="A27" s="654"/>
      <c r="B27" s="703"/>
      <c r="C27" s="704"/>
      <c r="D27" s="705"/>
      <c r="E27" s="654"/>
      <c r="F27" s="692"/>
      <c r="G27" s="654"/>
      <c r="H27" s="654"/>
      <c r="I27" s="654"/>
      <c r="K27" s="692"/>
      <c r="L27" s="692"/>
      <c r="M27" s="654"/>
    </row>
    <row r="28" spans="1:13" ht="16">
      <c r="A28" s="654"/>
      <c r="B28" s="654"/>
      <c r="C28" s="654"/>
      <c r="D28" s="654"/>
      <c r="E28" s="654"/>
      <c r="F28" s="692"/>
      <c r="G28" s="654" t="s">
        <v>2670</v>
      </c>
      <c r="H28" s="654"/>
      <c r="I28" s="654"/>
      <c r="K28" s="704"/>
      <c r="L28" s="692"/>
      <c r="M28" s="654"/>
    </row>
    <row r="29" spans="1:13" ht="17" thickBot="1">
      <c r="A29" s="654"/>
      <c r="B29" s="707" t="s">
        <v>2671</v>
      </c>
      <c r="C29" s="708">
        <f>SUM(C25:C27)</f>
        <v>1320000</v>
      </c>
      <c r="D29" s="654"/>
      <c r="E29" s="654"/>
      <c r="F29" s="692"/>
      <c r="G29" s="654" t="s">
        <v>2672</v>
      </c>
      <c r="H29" s="654"/>
      <c r="I29" s="654"/>
      <c r="K29" s="706" t="e">
        <f>C29/K28</f>
        <v>#DIV/0!</v>
      </c>
      <c r="L29" s="692"/>
      <c r="M29" s="654"/>
    </row>
    <row r="30" spans="1:13" ht="17" thickTop="1">
      <c r="A30" s="657" t="s">
        <v>2673</v>
      </c>
      <c r="B30" s="707"/>
      <c r="C30" s="709">
        <f>'Part II-Sources of Funds'!$I$51+'Part II-Sources of Funds'!$I$52</f>
        <v>15111000</v>
      </c>
      <c r="D30" s="654"/>
      <c r="E30" s="654"/>
      <c r="F30" s="692"/>
      <c r="G30" s="654"/>
      <c r="H30" s="654"/>
      <c r="I30" s="654"/>
      <c r="K30" s="710"/>
      <c r="L30" s="692"/>
      <c r="M30" s="654"/>
    </row>
    <row r="31" spans="1:13" ht="16">
      <c r="A31" s="711" t="s">
        <v>2674</v>
      </c>
      <c r="B31" s="703">
        <f>'Part II-Sources of Funds'!E41</f>
        <v>0</v>
      </c>
      <c r="C31" s="704">
        <f>'Part II-Sources of Funds'!I41</f>
        <v>0</v>
      </c>
      <c r="D31" s="705"/>
      <c r="E31" s="654"/>
      <c r="F31" s="692"/>
      <c r="G31" s="654"/>
      <c r="H31" s="654"/>
      <c r="I31" s="654"/>
      <c r="K31" s="654"/>
      <c r="L31" s="692"/>
      <c r="M31" s="654"/>
    </row>
    <row r="32" spans="1:13" ht="16">
      <c r="A32" s="711" t="s">
        <v>2674</v>
      </c>
      <c r="B32" s="703">
        <f>'Part II-Sources of Funds'!E42</f>
        <v>0</v>
      </c>
      <c r="C32" s="704">
        <f>'Part II-Sources of Funds'!I42</f>
        <v>0</v>
      </c>
      <c r="D32" s="705"/>
      <c r="E32" s="654" t="s">
        <v>233</v>
      </c>
      <c r="F32" s="692"/>
      <c r="G32" s="654" t="s">
        <v>2675</v>
      </c>
      <c r="H32" s="654"/>
      <c r="I32" s="654"/>
      <c r="K32" s="704"/>
      <c r="L32" s="692"/>
      <c r="M32" s="692"/>
    </row>
    <row r="33" spans="1:13" ht="16">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6">
      <c r="A34" s="654"/>
      <c r="B34" s="707" t="s">
        <v>2677</v>
      </c>
      <c r="C34" s="712">
        <f>SUM(C31:C33)</f>
        <v>0</v>
      </c>
      <c r="D34" s="654"/>
      <c r="E34" s="654"/>
      <c r="F34" s="654"/>
      <c r="G34" s="654"/>
      <c r="H34" s="654"/>
      <c r="I34" s="654"/>
      <c r="K34" s="692"/>
      <c r="L34" s="654"/>
      <c r="M34" s="713"/>
    </row>
    <row r="35" spans="1:13" ht="16">
      <c r="A35" s="654"/>
      <c r="B35" s="707"/>
      <c r="C35" s="654"/>
      <c r="D35" s="654"/>
      <c r="E35" s="654"/>
      <c r="F35" s="654"/>
      <c r="G35" s="1242" t="s">
        <v>2678</v>
      </c>
      <c r="H35" s="1242"/>
      <c r="I35" s="1242"/>
      <c r="K35" s="714" t="e">
        <f>(C36)/K25</f>
        <v>#DIV/0!</v>
      </c>
      <c r="L35" s="654"/>
      <c r="M35" s="692"/>
    </row>
    <row r="36" spans="1:13" ht="16">
      <c r="A36" s="654"/>
      <c r="B36" s="707" t="s">
        <v>2679</v>
      </c>
      <c r="C36" s="712">
        <f>C29+C34</f>
        <v>1320000</v>
      </c>
      <c r="D36" s="654"/>
      <c r="E36" s="654"/>
      <c r="F36" s="654"/>
      <c r="G36" s="654"/>
      <c r="H36" s="654"/>
      <c r="I36" s="654"/>
      <c r="K36" s="692"/>
      <c r="L36" s="654"/>
      <c r="M36" s="692"/>
    </row>
    <row r="37" spans="1:13" ht="16">
      <c r="A37" s="654"/>
      <c r="B37" s="707"/>
      <c r="C37" s="715"/>
      <c r="D37" s="654"/>
      <c r="E37" s="654"/>
      <c r="F37" s="654"/>
      <c r="G37" s="1242" t="s">
        <v>2680</v>
      </c>
      <c r="H37" s="1242"/>
      <c r="I37" s="1242"/>
      <c r="K37" s="1243" t="e">
        <f>+(C36)/K32</f>
        <v>#DIV/0!</v>
      </c>
      <c r="L37" s="654"/>
      <c r="M37" s="713"/>
    </row>
    <row r="38" spans="1:13" ht="16">
      <c r="A38" s="654"/>
      <c r="B38" s="707" t="s">
        <v>2681</v>
      </c>
      <c r="C38" s="716">
        <f>C36/C18</f>
        <v>7.9935905937239413E-2</v>
      </c>
      <c r="D38" s="654"/>
      <c r="E38" s="654"/>
      <c r="F38" s="654"/>
      <c r="G38" s="654"/>
      <c r="H38" s="654"/>
      <c r="I38" s="654"/>
      <c r="K38" s="692"/>
      <c r="L38" s="654"/>
      <c r="M38" s="713"/>
    </row>
    <row r="39" spans="1:13" ht="16">
      <c r="A39" s="654"/>
      <c r="B39" s="707"/>
      <c r="C39" s="715"/>
      <c r="D39" s="654"/>
      <c r="E39" s="654"/>
      <c r="F39" s="654"/>
      <c r="G39" s="654"/>
      <c r="H39" s="654"/>
      <c r="I39" s="654"/>
      <c r="K39" s="692"/>
      <c r="L39" s="654"/>
      <c r="M39" s="654"/>
    </row>
    <row r="40" spans="1:13" ht="16">
      <c r="A40" s="654"/>
      <c r="B40" s="707" t="s">
        <v>2682</v>
      </c>
      <c r="C40" s="716">
        <f>C36/H18</f>
        <v>0.11552283886524366</v>
      </c>
      <c r="D40" s="654"/>
      <c r="E40" s="654"/>
      <c r="F40" s="657"/>
      <c r="G40" s="657" t="s">
        <v>2683</v>
      </c>
      <c r="H40" s="654"/>
      <c r="I40" s="654"/>
      <c r="K40" s="706">
        <f>C30/C18</f>
        <v>0.91508445046789755</v>
      </c>
      <c r="L40" s="654"/>
      <c r="M40" s="654"/>
    </row>
    <row r="46" spans="1:13" ht="16">
      <c r="A46" s="717" t="s">
        <v>2684</v>
      </c>
      <c r="B46" s="687"/>
      <c r="C46" s="687"/>
      <c r="D46" s="687"/>
      <c r="E46" s="687"/>
      <c r="F46" s="687"/>
      <c r="G46" s="687"/>
      <c r="H46" s="687"/>
      <c r="I46" s="687"/>
      <c r="J46" s="687"/>
      <c r="K46" s="687"/>
      <c r="L46" s="687"/>
      <c r="M46" s="654"/>
    </row>
    <row r="47" spans="1:13" ht="16">
      <c r="A47" s="717" t="str">
        <f>C8</f>
        <v>Cave Spring Townhomes</v>
      </c>
      <c r="B47" s="687"/>
      <c r="C47" s="687"/>
      <c r="D47" s="687"/>
      <c r="E47" s="687"/>
      <c r="F47" s="687"/>
      <c r="G47" s="687"/>
      <c r="H47" s="687"/>
      <c r="I47" s="687"/>
      <c r="J47" s="687"/>
      <c r="K47" s="687"/>
      <c r="L47" s="687"/>
      <c r="M47" s="654"/>
    </row>
    <row r="50" spans="1:14" s="654" customFormat="1" ht="16">
      <c r="A50" s="657" t="s">
        <v>2685</v>
      </c>
      <c r="C50" s="718" t="s">
        <v>2686</v>
      </c>
      <c r="E50" s="719" t="s">
        <v>3103</v>
      </c>
      <c r="F50" s="720">
        <v>0.1</v>
      </c>
      <c r="G50" s="719" t="s">
        <v>3104</v>
      </c>
      <c r="H50" s="720">
        <v>0.05</v>
      </c>
      <c r="I50" s="719" t="s">
        <v>3105</v>
      </c>
      <c r="J50" s="720">
        <v>0.03</v>
      </c>
      <c r="K50" s="4578" t="s">
        <v>2687</v>
      </c>
      <c r="L50" s="4579"/>
      <c r="M50" s="27"/>
      <c r="N50" s="27"/>
    </row>
    <row r="51" spans="1:14" s="654" customFormat="1" ht="16">
      <c r="A51" s="657"/>
      <c r="C51" s="718"/>
      <c r="E51" s="718"/>
      <c r="F51" s="721"/>
      <c r="G51" s="718"/>
      <c r="H51" s="721"/>
      <c r="I51" s="718"/>
      <c r="J51" s="721"/>
      <c r="K51" s="718"/>
      <c r="M51" s="27"/>
      <c r="N51" s="27"/>
    </row>
    <row r="52" spans="1:14" s="654" customFormat="1" ht="18.75" customHeight="1">
      <c r="B52" s="722" t="s">
        <v>2688</v>
      </c>
      <c r="C52" s="723">
        <f>'Part VI-Pro Forma'!B15</f>
        <v>451440</v>
      </c>
      <c r="D52" s="723"/>
      <c r="E52" s="723">
        <f>$C$52</f>
        <v>451440</v>
      </c>
      <c r="F52" s="723"/>
      <c r="G52" s="723">
        <f>$C$52</f>
        <v>451440</v>
      </c>
      <c r="H52" s="723"/>
      <c r="I52" s="723">
        <f>$C$52</f>
        <v>451440</v>
      </c>
      <c r="J52" s="723"/>
      <c r="K52" s="723">
        <f>$C$52</f>
        <v>451440</v>
      </c>
      <c r="L52" s="724"/>
      <c r="M52" s="27"/>
      <c r="N52" s="27"/>
    </row>
    <row r="53" spans="1:14" s="654" customFormat="1" ht="18.75" customHeight="1">
      <c r="B53" s="722" t="s">
        <v>2691</v>
      </c>
      <c r="C53" s="723">
        <f>'Part VI-Pro Forma'!B16</f>
        <v>9028.8000000000011</v>
      </c>
      <c r="D53" s="723"/>
      <c r="E53" s="723">
        <f>$C$53</f>
        <v>9028.8000000000011</v>
      </c>
      <c r="F53" s="723"/>
      <c r="G53" s="723">
        <f>$C$53</f>
        <v>9028.8000000000011</v>
      </c>
      <c r="H53" s="723"/>
      <c r="I53" s="723">
        <f>$C$53</f>
        <v>9028.8000000000011</v>
      </c>
      <c r="J53" s="723"/>
      <c r="K53" s="723">
        <f>$C$53</f>
        <v>9028.8000000000011</v>
      </c>
      <c r="L53" s="724"/>
      <c r="M53" s="27"/>
      <c r="N53" s="27"/>
    </row>
    <row r="54" spans="1:14" s="654" customFormat="1" ht="18.75" customHeight="1">
      <c r="B54" s="722" t="s">
        <v>2689</v>
      </c>
      <c r="C54" s="723">
        <f>'Part VI-Pro Forma'!B17</f>
        <v>-32232.816000000003</v>
      </c>
      <c r="D54" s="723"/>
      <c r="E54" s="723">
        <f>-($C$52+E53)*F50</f>
        <v>-46046.880000000005</v>
      </c>
      <c r="F54" s="725"/>
      <c r="G54" s="723">
        <f>-($C$52+G53)*0.07</f>
        <v>-32232.816000000003</v>
      </c>
      <c r="H54" s="723"/>
      <c r="I54" s="723">
        <f>-($C$52+I53)*0.07</f>
        <v>-32232.816000000003</v>
      </c>
      <c r="J54" s="723"/>
      <c r="K54" s="723">
        <f>-($C$52+K53)*L54</f>
        <v>-46046.880000000005</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428235.984</v>
      </c>
      <c r="D56" s="723"/>
      <c r="E56" s="729">
        <f>SUM(E52:E55)</f>
        <v>414421.92</v>
      </c>
      <c r="F56" s="723"/>
      <c r="G56" s="729">
        <f>SUM(G52:G55)</f>
        <v>428235.984</v>
      </c>
      <c r="H56" s="723"/>
      <c r="I56" s="729">
        <f>SUM(I52:I55)</f>
        <v>428235.984</v>
      </c>
      <c r="J56" s="723"/>
      <c r="K56" s="729">
        <f>SUM(K52:K55)</f>
        <v>414421.92</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135041</v>
      </c>
      <c r="D58" s="723"/>
      <c r="E58" s="723">
        <f>$C$58</f>
        <v>135041</v>
      </c>
      <c r="F58" s="723"/>
      <c r="G58" s="723">
        <f>$C$58</f>
        <v>135041</v>
      </c>
      <c r="H58" s="723"/>
      <c r="I58" s="723">
        <f>$C$58</f>
        <v>135041</v>
      </c>
      <c r="J58" s="723"/>
      <c r="K58" s="723">
        <f>$C$58</f>
        <v>135041</v>
      </c>
      <c r="L58" s="724"/>
      <c r="M58" s="27"/>
      <c r="N58" s="27"/>
    </row>
    <row r="59" spans="1:14" s="654" customFormat="1" ht="18.75" customHeight="1">
      <c r="B59" s="722" t="s">
        <v>2694</v>
      </c>
      <c r="C59" s="723">
        <f>+'Part V-Revenues &amp; Expenses'!F247</f>
        <v>45300</v>
      </c>
      <c r="D59" s="723"/>
      <c r="E59" s="723">
        <f>$C$59</f>
        <v>45300</v>
      </c>
      <c r="F59" s="723"/>
      <c r="G59" s="723">
        <f>$C$59</f>
        <v>45300</v>
      </c>
      <c r="H59" s="723"/>
      <c r="I59" s="723">
        <f>$C$59</f>
        <v>45300</v>
      </c>
      <c r="J59" s="723"/>
      <c r="K59" s="723">
        <f>$C$59*(1+$L$59)</f>
        <v>47112</v>
      </c>
      <c r="L59" s="731">
        <v>0.04</v>
      </c>
      <c r="M59" s="27"/>
      <c r="N59" s="27"/>
    </row>
    <row r="60" spans="1:14" s="654" customFormat="1" ht="18.75" customHeight="1">
      <c r="B60" s="722" t="s">
        <v>1298</v>
      </c>
      <c r="C60" s="723">
        <f>+'Part V-Revenues &amp; Expenses'!L241</f>
        <v>42000</v>
      </c>
      <c r="D60" s="723"/>
      <c r="E60" s="723">
        <f>$C$60</f>
        <v>42000</v>
      </c>
      <c r="F60" s="723"/>
      <c r="G60" s="723">
        <f>$C$60</f>
        <v>42000</v>
      </c>
      <c r="H60" s="723"/>
      <c r="I60" s="723">
        <f>$C$60*(1+$J$50)</f>
        <v>43260</v>
      </c>
      <c r="J60" s="725"/>
      <c r="K60" s="723">
        <f>$C$60*(1+$J$50)</f>
        <v>43260</v>
      </c>
      <c r="L60" s="726">
        <v>0.03</v>
      </c>
      <c r="M60" s="27"/>
      <c r="N60" s="27"/>
    </row>
    <row r="61" spans="1:14" s="654" customFormat="1" ht="18.75" customHeight="1">
      <c r="B61" s="722" t="s">
        <v>1299</v>
      </c>
      <c r="C61" s="723">
        <f>+'Part V-Revenues &amp; Expenses'!L247</f>
        <v>36000</v>
      </c>
      <c r="D61" s="723"/>
      <c r="E61" s="723">
        <f>$C$61</f>
        <v>36000</v>
      </c>
      <c r="F61" s="723"/>
      <c r="G61" s="723">
        <f>$C$61*(1+H50)</f>
        <v>37800</v>
      </c>
      <c r="H61" s="725"/>
      <c r="I61" s="723">
        <f>$C$61</f>
        <v>36000</v>
      </c>
      <c r="J61" s="723"/>
      <c r="K61" s="723">
        <f>$C$61*(1+$L$61)</f>
        <v>37800</v>
      </c>
      <c r="L61" s="726">
        <v>0.05</v>
      </c>
      <c r="M61" s="27"/>
      <c r="N61" s="27"/>
    </row>
    <row r="62" spans="1:14" s="654" customFormat="1" ht="18.75" customHeight="1">
      <c r="B62" s="728" t="s">
        <v>2695</v>
      </c>
      <c r="C62" s="729">
        <f>SUM(C58:C61)</f>
        <v>258341</v>
      </c>
      <c r="D62" s="723"/>
      <c r="E62" s="729">
        <f>SUM(E58:E61)</f>
        <v>258341</v>
      </c>
      <c r="F62" s="723"/>
      <c r="G62" s="729">
        <f>SUM(G58:G61)</f>
        <v>260141</v>
      </c>
      <c r="H62" s="723"/>
      <c r="I62" s="729">
        <f>SUM(I58:I61)</f>
        <v>259601</v>
      </c>
      <c r="J62" s="723"/>
      <c r="K62" s="729">
        <f>SUM(K58:K61)</f>
        <v>263213</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6">
      <c r="A64" s="27"/>
      <c r="B64" s="734" t="s">
        <v>2696</v>
      </c>
      <c r="C64" s="735">
        <f>C56-C62</f>
        <v>169894.984</v>
      </c>
      <c r="D64" s="735"/>
      <c r="E64" s="735">
        <f>E56-E62</f>
        <v>156080.91999999998</v>
      </c>
      <c r="F64" s="735"/>
      <c r="G64" s="735">
        <f>G56-G62</f>
        <v>168094.984</v>
      </c>
      <c r="H64" s="735"/>
      <c r="I64" s="735">
        <f>I56-I62</f>
        <v>168634.984</v>
      </c>
      <c r="J64" s="735"/>
      <c r="K64" s="735">
        <f>K56-K62</f>
        <v>151208.91999999998</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6">
      <c r="A66" s="27"/>
      <c r="B66" s="733" t="s">
        <v>2697</v>
      </c>
      <c r="C66" s="730">
        <f>'Part V-Revenues &amp; Expenses'!Q234</f>
        <v>13000</v>
      </c>
      <c r="D66" s="730"/>
      <c r="E66" s="730">
        <f>$C$66</f>
        <v>13000</v>
      </c>
      <c r="F66" s="730"/>
      <c r="G66" s="730">
        <f>$C$66</f>
        <v>13000</v>
      </c>
      <c r="H66" s="730"/>
      <c r="I66" s="730">
        <f>$C$66</f>
        <v>13000</v>
      </c>
      <c r="J66" s="730"/>
      <c r="K66" s="730">
        <f>$C$66</f>
        <v>13000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6">
      <c r="A68" s="27"/>
      <c r="B68" s="733" t="s">
        <v>2698</v>
      </c>
      <c r="C68" s="730">
        <f>'Part V-Revenues &amp; Expenses'!Q220</f>
        <v>25694</v>
      </c>
      <c r="D68" s="730"/>
      <c r="E68" s="730">
        <f>$C$68</f>
        <v>25694</v>
      </c>
      <c r="F68" s="730"/>
      <c r="G68" s="730">
        <f>$C$68</f>
        <v>25694</v>
      </c>
      <c r="H68" s="730"/>
      <c r="I68" s="730">
        <f>$C$68</f>
        <v>25694</v>
      </c>
      <c r="J68" s="730"/>
      <c r="K68" s="730">
        <f>$C$68</f>
        <v>25694</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6">
      <c r="A70" s="27"/>
      <c r="B70" s="737" t="s">
        <v>2699</v>
      </c>
      <c r="C70" s="738">
        <f>C64-C66-C68</f>
        <v>131200.984</v>
      </c>
      <c r="D70" s="739"/>
      <c r="E70" s="738">
        <f>E64-E66-E68</f>
        <v>117386.91999999998</v>
      </c>
      <c r="F70" s="739"/>
      <c r="G70" s="738">
        <f>G64-G66-G68</f>
        <v>129400.984</v>
      </c>
      <c r="H70" s="739"/>
      <c r="I70" s="738">
        <f>I64-I66-I68</f>
        <v>129940.984</v>
      </c>
      <c r="J70" s="739"/>
      <c r="K70" s="738">
        <f>K64-K66-K68</f>
        <v>112514.91999999998</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1.3104428789589939</v>
      </c>
      <c r="D72" s="741"/>
      <c r="E72" s="1277">
        <f>-E70/E75</f>
        <v>1.1724672232407121</v>
      </c>
      <c r="F72" s="741"/>
      <c r="G72" s="1277">
        <f>-G70/G75</f>
        <v>1.2924643767388719</v>
      </c>
      <c r="H72" s="741"/>
      <c r="I72" s="1277">
        <f>-I70/I75</f>
        <v>1.2978579274049085</v>
      </c>
      <c r="J72" s="741"/>
      <c r="K72" s="1277">
        <f>-K70/K75</f>
        <v>1.1238054105649151</v>
      </c>
      <c r="L72" s="742"/>
      <c r="M72" s="265"/>
      <c r="N72" s="265"/>
    </row>
    <row r="73" spans="1:14" s="654" customFormat="1" ht="18.75" customHeight="1">
      <c r="A73" s="27"/>
      <c r="B73" s="722" t="s">
        <v>2701</v>
      </c>
      <c r="C73" s="1278">
        <f>C76/C62</f>
        <v>0.12031156138094433</v>
      </c>
      <c r="D73" s="743"/>
      <c r="E73" s="1278">
        <f>E76/E62</f>
        <v>6.6839352169088637E-2</v>
      </c>
      <c r="F73" s="743"/>
      <c r="G73" s="1278">
        <f>G76/G62</f>
        <v>0.11255976212405787</v>
      </c>
      <c r="H73" s="743"/>
      <c r="I73" s="1278">
        <f>I76/I62</f>
        <v>0.1148740146560088</v>
      </c>
      <c r="J73" s="743"/>
      <c r="K73" s="1278">
        <f>K76/K62</f>
        <v>4.7092450140055871E-2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-100119.57492128546</v>
      </c>
      <c r="D75" s="723"/>
      <c r="E75" s="723">
        <f>$C$75</f>
        <v>-100119.57492128546</v>
      </c>
      <c r="F75" s="723"/>
      <c r="G75" s="723">
        <f>$C$75</f>
        <v>-100119.57492128546</v>
      </c>
      <c r="H75" s="723"/>
      <c r="I75" s="723">
        <f>$C$75</f>
        <v>-100119.57492128546</v>
      </c>
      <c r="J75" s="723"/>
      <c r="K75" s="723">
        <f>$C$75</f>
        <v>-100119.57492128546</v>
      </c>
      <c r="L75" s="33"/>
      <c r="M75" s="27"/>
      <c r="N75" s="27"/>
    </row>
    <row r="76" spans="1:14" s="654" customFormat="1" ht="18.75" customHeight="1">
      <c r="A76" s="27"/>
      <c r="B76" s="722" t="s">
        <v>1097</v>
      </c>
      <c r="C76" s="723">
        <f>C70+C75</f>
        <v>31081.40907871454</v>
      </c>
      <c r="D76" s="723"/>
      <c r="E76" s="723">
        <f>E70+E75</f>
        <v>17267.345078714527</v>
      </c>
      <c r="F76" s="723"/>
      <c r="G76" s="723">
        <f>G70+G75</f>
        <v>29281.40907871454</v>
      </c>
      <c r="H76" s="723"/>
      <c r="I76" s="723">
        <f>I70+I75</f>
        <v>29821.40907871454</v>
      </c>
      <c r="J76" s="723"/>
      <c r="K76" s="723">
        <f>K70+K75</f>
        <v>12395.345078714527</v>
      </c>
      <c r="L76" s="33"/>
      <c r="M76" s="27"/>
      <c r="N76" s="27"/>
    </row>
    <row r="77" spans="1:14" s="654" customFormat="1" ht="16"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6" hidden="1">
      <c r="A78" s="27"/>
      <c r="B78" s="745" t="s">
        <v>2704</v>
      </c>
      <c r="C78" s="732"/>
      <c r="D78" s="732"/>
      <c r="E78" s="732"/>
      <c r="F78" s="732"/>
      <c r="G78" s="732"/>
      <c r="H78" s="732"/>
      <c r="I78" s="732"/>
      <c r="J78" s="732"/>
      <c r="K78" s="732"/>
      <c r="L78" s="33"/>
      <c r="M78" s="27"/>
      <c r="N78" s="27"/>
    </row>
    <row r="79" spans="1:14" s="654" customFormat="1" ht="16" hidden="1">
      <c r="A79" s="27"/>
      <c r="B79" s="732"/>
      <c r="C79" s="732"/>
      <c r="D79" s="732"/>
      <c r="E79" s="732"/>
      <c r="F79" s="732"/>
      <c r="G79" s="732"/>
      <c r="H79" s="732"/>
      <c r="I79" s="732"/>
      <c r="J79" s="732"/>
      <c r="K79" s="732"/>
      <c r="L79" s="33"/>
      <c r="M79" s="27"/>
      <c r="N79" s="27"/>
    </row>
    <row r="80" spans="1:14" s="654" customFormat="1" ht="17"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6" hidden="1">
      <c r="A81" s="27"/>
      <c r="B81" s="732" t="s">
        <v>1609</v>
      </c>
      <c r="C81" s="746" t="e">
        <f>MAX(C77,E77,G77,I77,K77)</f>
        <v>#NAME?</v>
      </c>
      <c r="D81" s="732"/>
      <c r="E81" s="732"/>
      <c r="F81" s="732"/>
      <c r="G81" s="33"/>
      <c r="H81" s="33"/>
      <c r="I81" s="33"/>
      <c r="J81" s="33"/>
      <c r="K81" s="33"/>
      <c r="L81" s="33"/>
      <c r="M81" s="27"/>
      <c r="N81" s="27"/>
    </row>
    <row r="82" spans="1:14" s="654" customFormat="1" ht="16">
      <c r="A82" s="27"/>
      <c r="B82" s="732"/>
      <c r="C82" s="732"/>
      <c r="D82" s="732"/>
      <c r="E82" s="732" t="s">
        <v>233</v>
      </c>
      <c r="F82" s="732"/>
      <c r="G82" s="33"/>
      <c r="H82" s="33"/>
      <c r="I82" s="33"/>
      <c r="J82" s="33"/>
      <c r="K82" s="33"/>
      <c r="L82" s="33"/>
      <c r="M82" s="27"/>
      <c r="N82" s="27"/>
    </row>
    <row r="83" spans="1:14" s="654" customFormat="1" ht="16">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baseColWidth="10" defaultColWidth="9.1640625" defaultRowHeight="13"/>
  <cols>
    <col min="1" max="1" width="24.83203125" style="1221" customWidth="1"/>
    <col min="2" max="2" width="13.83203125" style="1221" customWidth="1"/>
    <col min="3" max="11" width="10.5" style="1221" customWidth="1"/>
    <col min="12" max="12" width="9.83203125" style="1221" customWidth="1"/>
    <col min="13" max="21" width="10.5" style="1221" customWidth="1"/>
    <col min="22" max="16384" width="9.1640625" style="1221"/>
  </cols>
  <sheetData>
    <row r="1" spans="1:7" ht="3" customHeight="1"/>
    <row r="2" spans="1:7">
      <c r="A2" s="1220" t="s">
        <v>3416</v>
      </c>
    </row>
    <row r="3" spans="1:7" ht="3" customHeight="1"/>
    <row r="4" spans="1:7">
      <c r="A4" s="1221" t="s">
        <v>3417</v>
      </c>
      <c r="B4" s="1222">
        <f>+'Part III-A-Uses of Funds'!$G$146</f>
        <v>16513230</v>
      </c>
    </row>
    <row r="5" spans="1:7">
      <c r="A5" s="1221" t="s">
        <v>3448</v>
      </c>
      <c r="B5" s="1222">
        <f>+B18+B26+B38</f>
        <v>1104330.3079025089</v>
      </c>
    </row>
    <row r="6" spans="1:7">
      <c r="A6" s="1221" t="s">
        <v>3418</v>
      </c>
      <c r="B6" s="1223">
        <f>+B5-B4</f>
        <v>-15408899.692097491</v>
      </c>
    </row>
    <row r="7" spans="1:7">
      <c r="A7" s="1221" t="s">
        <v>3419</v>
      </c>
      <c r="B7" s="1224">
        <f>+B6/B4</f>
        <v>-0.93312451241201699</v>
      </c>
    </row>
    <row r="8" spans="1:7" ht="9" customHeight="1"/>
    <row r="9" spans="1:7">
      <c r="A9" s="1221" t="s">
        <v>3420</v>
      </c>
      <c r="B9" s="1222">
        <f>+B18+B26+B33</f>
        <v>1104330.3079025089</v>
      </c>
    </row>
    <row r="10" spans="1:7">
      <c r="A10" s="1221" t="s">
        <v>3418</v>
      </c>
      <c r="B10" s="1223">
        <f>+B9-B4</f>
        <v>-15408899.692097491</v>
      </c>
    </row>
    <row r="11" spans="1:7">
      <c r="A11" s="1221" t="s">
        <v>3419</v>
      </c>
      <c r="B11" s="1224">
        <f>+B10/B4</f>
        <v>-0.93312451241201699</v>
      </c>
    </row>
    <row r="12" spans="1:7" ht="24" customHeight="1"/>
    <row r="13" spans="1:7">
      <c r="A13" s="1220" t="s">
        <v>3421</v>
      </c>
      <c r="D13" s="1283" t="s">
        <v>3665</v>
      </c>
      <c r="E13" s="1284"/>
    </row>
    <row r="14" spans="1:7">
      <c r="A14" s="1221" t="s">
        <v>3422</v>
      </c>
      <c r="B14" s="1225">
        <f>+SUM('Part II-Sources of Funds'!L51:M52)</f>
        <v>15111000</v>
      </c>
      <c r="D14" s="1284"/>
      <c r="E14" s="1284"/>
    </row>
    <row r="15" spans="1:7">
      <c r="A15" s="1221" t="s">
        <v>3423</v>
      </c>
      <c r="B15" s="1226">
        <f>+'Part III-A-Uses of Funds'!J180</f>
        <v>1519323</v>
      </c>
      <c r="D15" s="1284" t="s">
        <v>1896</v>
      </c>
      <c r="G15" s="1285">
        <f>'Part III-A-Uses of Funds'!J168</f>
        <v>15098409</v>
      </c>
    </row>
    <row r="16" spans="1:7" ht="12.75" customHeight="1">
      <c r="D16" s="1284" t="s">
        <v>3666</v>
      </c>
      <c r="G16" s="1289">
        <v>3.2800000000000003E-2</v>
      </c>
    </row>
    <row r="17" spans="1:7" ht="12.75" customHeight="1">
      <c r="A17" s="1221" t="s">
        <v>3424</v>
      </c>
      <c r="B17" s="1288">
        <v>1.45</v>
      </c>
      <c r="D17" s="1284" t="s">
        <v>3667</v>
      </c>
      <c r="G17" s="1290">
        <v>1.45</v>
      </c>
    </row>
    <row r="18" spans="1:7" ht="12.75" customHeight="1">
      <c r="A18" s="1221" t="s">
        <v>3425</v>
      </c>
      <c r="B18" s="1227">
        <f>+'Part III-A-Uses of Funds'!J190*B17*10</f>
        <v>0</v>
      </c>
      <c r="D18" s="1284" t="s">
        <v>3668</v>
      </c>
      <c r="G18" s="1290">
        <v>3.28</v>
      </c>
    </row>
    <row r="19" spans="1:7" ht="12.75" customHeight="1">
      <c r="D19" s="1284" t="s">
        <v>3669</v>
      </c>
      <c r="G19" s="1286">
        <f>+G15*G16*G17*10</f>
        <v>7180803.3204000015</v>
      </c>
    </row>
    <row r="20" spans="1:7">
      <c r="A20" s="1221" t="s">
        <v>3426</v>
      </c>
      <c r="B20" s="1225">
        <f>+B18-B14</f>
        <v>-15111000</v>
      </c>
      <c r="D20" s="1284" t="s">
        <v>3670</v>
      </c>
      <c r="G20" s="1287">
        <f>+B14-G19</f>
        <v>7930196.6795999985</v>
      </c>
    </row>
    <row r="21" spans="1:7">
      <c r="A21" s="1221" t="s">
        <v>3427</v>
      </c>
      <c r="B21" s="1224">
        <f>+B20/B14</f>
        <v>-1</v>
      </c>
      <c r="D21" s="1284" t="s">
        <v>3671</v>
      </c>
      <c r="G21" s="1284" t="str">
        <f>+IF(G20&gt;(B28+B35),"No","Yes")</f>
        <v>No</v>
      </c>
    </row>
    <row r="22" spans="1:7" ht="24" customHeight="1"/>
    <row r="23" spans="1:7">
      <c r="A23" s="1220" t="s">
        <v>3428</v>
      </c>
    </row>
    <row r="24" spans="1:7">
      <c r="A24" s="1221" t="s">
        <v>3429</v>
      </c>
      <c r="B24" s="1228">
        <f>+SUM('Part II-Sources of Funds'!I40:J43)</f>
        <v>1320000</v>
      </c>
    </row>
    <row r="25" spans="1:7">
      <c r="A25" s="1221" t="s">
        <v>3430</v>
      </c>
      <c r="B25" s="1229">
        <f>IF('Part II-Sources of Funds'!E6="Yes","N/A",MAX(B46:P46))</f>
        <v>-5735.5764300910523</v>
      </c>
    </row>
    <row r="26" spans="1:7">
      <c r="A26" s="1221" t="s">
        <v>3431</v>
      </c>
      <c r="B26" s="1219">
        <f>IFERROR(PV('Part II-Sources of Funds'!K40,'Part II-Sources of Funds'!L40,B25+B45),B24)</f>
        <v>1104330.3079025089</v>
      </c>
    </row>
    <row r="27" spans="1:7" ht="9" customHeight="1">
      <c r="B27" s="1219"/>
    </row>
    <row r="28" spans="1:7">
      <c r="A28" s="1221" t="s">
        <v>3432</v>
      </c>
      <c r="B28" s="1230">
        <f>+B26-B24</f>
        <v>-215669.69209749112</v>
      </c>
      <c r="C28" s="1231"/>
    </row>
    <row r="29" spans="1:7">
      <c r="A29" s="1221" t="s">
        <v>3427</v>
      </c>
      <c r="B29" s="1232">
        <f>+B28/B24</f>
        <v>-0.16338613037688721</v>
      </c>
    </row>
    <row r="30" spans="1:7" ht="24" customHeight="1"/>
    <row r="31" spans="1:7">
      <c r="A31" s="1220" t="s">
        <v>3363</v>
      </c>
    </row>
    <row r="32" spans="1:7">
      <c r="A32" s="1221" t="s">
        <v>3433</v>
      </c>
      <c r="B32" s="1233">
        <f>+'Part II-Sources of Funds'!I45</f>
        <v>82230</v>
      </c>
    </row>
    <row r="33" spans="1:11">
      <c r="A33" s="1221" t="s">
        <v>3434</v>
      </c>
      <c r="B33" s="1219"/>
    </row>
    <row r="34" spans="1:11" ht="9" customHeight="1">
      <c r="B34" s="1219"/>
    </row>
    <row r="35" spans="1:11">
      <c r="A35" s="1221" t="s">
        <v>3435</v>
      </c>
      <c r="B35" s="1233">
        <f>+B33-B32</f>
        <v>-82230</v>
      </c>
    </row>
    <row r="36" spans="1:11">
      <c r="A36" s="1221" t="s">
        <v>3436</v>
      </c>
      <c r="B36" s="1218">
        <f>+B35/B32</f>
        <v>-1</v>
      </c>
    </row>
    <row r="37" spans="1:11" ht="24" customHeight="1">
      <c r="B37" s="1219"/>
    </row>
    <row r="38" spans="1:11">
      <c r="A38" s="1220" t="s">
        <v>3437</v>
      </c>
      <c r="B38" s="1219">
        <f>+SUM('Part II-Sources of Funds'!I44,'Part II-Sources of Funds'!I49,'Part II-Sources of Funds'!I50,'Part II-Sources of Funds'!I53:I59)</f>
        <v>0</v>
      </c>
    </row>
    <row r="39" spans="1:11">
      <c r="B39" s="1219"/>
    </row>
    <row r="40" spans="1:11">
      <c r="B40" s="1219"/>
    </row>
    <row r="41" spans="1:11">
      <c r="B41" s="1219"/>
    </row>
    <row r="42" spans="1:11">
      <c r="A42" s="1220" t="s">
        <v>3438</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131190.984</v>
      </c>
      <c r="C44" s="1222">
        <f>+'Part VI-Pro Forma'!C25</f>
        <v>131101.47368</v>
      </c>
      <c r="D44" s="1222">
        <f>+'Part VI-Pro Forma'!D25</f>
        <v>130929.05085359998</v>
      </c>
      <c r="E44" s="1222">
        <f>+'Part VI-Pro Forma'!E25</f>
        <v>130668.81520167191</v>
      </c>
      <c r="F44" s="1222">
        <f>+'Part VI-Pro Forma'!F25</f>
        <v>130317.71513663544</v>
      </c>
      <c r="G44" s="1222">
        <f>+'Part VI-Pro Forma'!G25</f>
        <v>129870.54257922608</v>
      </c>
      <c r="H44" s="1222">
        <f>+'Part VI-Pro Forma'!H25</f>
        <v>129321.92756486422</v>
      </c>
      <c r="I44" s="1222">
        <f>+'Part VI-Pro Forma'!I25</f>
        <v>128668.33267423656</v>
      </c>
      <c r="J44" s="1222">
        <f>+'Part VI-Pro Forma'!J25</f>
        <v>127905.04728253899</v>
      </c>
      <c r="K44" s="1222">
        <f>+'Part VI-Pro Forma'!K25</f>
        <v>127026.18162165181</v>
      </c>
    </row>
    <row r="45" spans="1:11">
      <c r="A45" s="1221" t="s">
        <v>3439</v>
      </c>
      <c r="B45" s="1222">
        <f>SUM('Part VI-Pro Forma'!B26:B29)</f>
        <v>-100119.57492128546</v>
      </c>
      <c r="C45" s="1222">
        <f>SUM('Part VI-Pro Forma'!C26:C29)</f>
        <v>-100119.57492128546</v>
      </c>
      <c r="D45" s="1222">
        <f>SUM('Part VI-Pro Forma'!D26:D29)</f>
        <v>-100119.57492128546</v>
      </c>
      <c r="E45" s="1222">
        <f>SUM('Part VI-Pro Forma'!E26:E29)</f>
        <v>-100119.57492128546</v>
      </c>
      <c r="F45" s="1222">
        <f>SUM('Part VI-Pro Forma'!F26:F29)</f>
        <v>-100119.57492128546</v>
      </c>
      <c r="G45" s="1222">
        <f>SUM('Part VI-Pro Forma'!G26:G29)</f>
        <v>-100119.57492128546</v>
      </c>
      <c r="H45" s="1222">
        <f>SUM('Part VI-Pro Forma'!H26:H29)</f>
        <v>-100119.57492128546</v>
      </c>
      <c r="I45" s="1222">
        <f>SUM('Part VI-Pro Forma'!I26:I29)</f>
        <v>-100119.57492128546</v>
      </c>
      <c r="J45" s="1222">
        <f>SUM('Part VI-Pro Forma'!J26:J29)</f>
        <v>-100119.57492128546</v>
      </c>
      <c r="K45" s="1222">
        <f>SUM('Part VI-Pro Forma'!K26:K29)</f>
        <v>-100119.57492128546</v>
      </c>
    </row>
    <row r="46" spans="1:11">
      <c r="A46" s="1221" t="s">
        <v>3440</v>
      </c>
      <c r="B46" s="1223">
        <f t="shared" ref="B46:K46" si="0">-B44/B48-B45</f>
        <v>-9206.2450787145499</v>
      </c>
      <c r="C46" s="1223">
        <f t="shared" si="0"/>
        <v>-9131.6531453812058</v>
      </c>
      <c r="D46" s="1223">
        <f t="shared" si="0"/>
        <v>-8987.9674567145266</v>
      </c>
      <c r="E46" s="1223">
        <f t="shared" si="0"/>
        <v>-8771.104413441135</v>
      </c>
      <c r="F46" s="1223">
        <f t="shared" si="0"/>
        <v>-8478.5210259107407</v>
      </c>
      <c r="G46" s="1223">
        <f t="shared" si="0"/>
        <v>-8105.8772280696139</v>
      </c>
      <c r="H46" s="1223">
        <f t="shared" si="0"/>
        <v>-7648.6980494347372</v>
      </c>
      <c r="I46" s="1223">
        <f t="shared" si="0"/>
        <v>-7104.0356405783532</v>
      </c>
      <c r="J46" s="1223">
        <f t="shared" si="0"/>
        <v>-6467.964480830371</v>
      </c>
      <c r="K46" s="1223">
        <f t="shared" si="0"/>
        <v>-5735.5764300910523</v>
      </c>
    </row>
    <row r="48" spans="1:11">
      <c r="A48" s="1221" t="s">
        <v>3441</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131190.984</v>
      </c>
      <c r="C51" s="1223">
        <f t="shared" ref="C51:K51" si="2">+C44</f>
        <v>131101.47368</v>
      </c>
      <c r="D51" s="1223">
        <f t="shared" si="2"/>
        <v>130929.05085359998</v>
      </c>
      <c r="E51" s="1223">
        <f t="shared" si="2"/>
        <v>130668.81520167191</v>
      </c>
      <c r="F51" s="1223">
        <f t="shared" si="2"/>
        <v>130317.71513663544</v>
      </c>
      <c r="G51" s="1223">
        <f t="shared" si="2"/>
        <v>129870.54257922608</v>
      </c>
      <c r="H51" s="1223">
        <f t="shared" si="2"/>
        <v>129321.92756486422</v>
      </c>
      <c r="I51" s="1223">
        <f t="shared" si="2"/>
        <v>128668.33267423656</v>
      </c>
      <c r="J51" s="1223">
        <f t="shared" si="2"/>
        <v>127905.04728253899</v>
      </c>
      <c r="K51" s="1223">
        <f t="shared" si="2"/>
        <v>127026.18162165181</v>
      </c>
    </row>
    <row r="52" spans="1:17">
      <c r="A52" s="1221" t="s">
        <v>3442</v>
      </c>
      <c r="B52" s="1223">
        <f>IF($B$25="N/A",B45,B45+$B$25)</f>
        <v>-105855.15135137651</v>
      </c>
      <c r="C52" s="1223">
        <f t="shared" ref="C52:K52" si="3">IF($B$25="N/A",C45,C45+$B$25)</f>
        <v>-105855.15135137651</v>
      </c>
      <c r="D52" s="1223">
        <f t="shared" si="3"/>
        <v>-105855.15135137651</v>
      </c>
      <c r="E52" s="1223">
        <f t="shared" si="3"/>
        <v>-105855.15135137651</v>
      </c>
      <c r="F52" s="1223">
        <f t="shared" si="3"/>
        <v>-105855.15135137651</v>
      </c>
      <c r="G52" s="1223">
        <f t="shared" si="3"/>
        <v>-105855.15135137651</v>
      </c>
      <c r="H52" s="1223">
        <f t="shared" si="3"/>
        <v>-105855.15135137651</v>
      </c>
      <c r="I52" s="1223">
        <f t="shared" si="3"/>
        <v>-105855.15135137651</v>
      </c>
      <c r="J52" s="1223">
        <f t="shared" si="3"/>
        <v>-105855.15135137651</v>
      </c>
      <c r="K52" s="1223">
        <f t="shared" si="3"/>
        <v>-105855.15135137651</v>
      </c>
    </row>
    <row r="53" spans="1:17">
      <c r="A53" s="1221" t="s">
        <v>3443</v>
      </c>
      <c r="B53" s="1222">
        <f>+'Part VI-Pro Forma'!B31</f>
        <v>-5000</v>
      </c>
      <c r="C53" s="1222">
        <f>+'Part VI-Pro Forma'!C31</f>
        <v>-5000</v>
      </c>
      <c r="D53" s="1222">
        <f>+'Part VI-Pro Forma'!D31</f>
        <v>-5000</v>
      </c>
      <c r="E53" s="1222">
        <f>+'Part VI-Pro Forma'!E31</f>
        <v>-5000</v>
      </c>
      <c r="F53" s="1222">
        <f>+'Part VI-Pro Forma'!F31</f>
        <v>-5000</v>
      </c>
      <c r="G53" s="1222">
        <f>+'Part VI-Pro Forma'!G31</f>
        <v>-5000</v>
      </c>
      <c r="H53" s="1222">
        <f>+'Part VI-Pro Forma'!H31</f>
        <v>-5000</v>
      </c>
      <c r="I53" s="1222">
        <f>+'Part VI-Pro Forma'!I31</f>
        <v>-5000</v>
      </c>
      <c r="J53" s="1222">
        <f>+'Part VI-Pro Forma'!J31</f>
        <v>-5000</v>
      </c>
      <c r="K53" s="1222">
        <f>+'Part VI-Pro Forma'!K31</f>
        <v>-5000</v>
      </c>
    </row>
    <row r="54" spans="1:17">
      <c r="A54" s="1221" t="s">
        <v>3444</v>
      </c>
      <c r="B54" s="1223">
        <f>+SUM(B51:B53)</f>
        <v>20335.832648623487</v>
      </c>
      <c r="C54" s="1223">
        <f t="shared" ref="C54:K54" si="4">+SUM(C51:C53)</f>
        <v>20246.322328623486</v>
      </c>
      <c r="D54" s="1223">
        <f t="shared" si="4"/>
        <v>20073.899502223474</v>
      </c>
      <c r="E54" s="1223">
        <f t="shared" si="4"/>
        <v>19813.663850295401</v>
      </c>
      <c r="F54" s="1223">
        <f t="shared" si="4"/>
        <v>19462.563785258928</v>
      </c>
      <c r="G54" s="1223">
        <f t="shared" si="4"/>
        <v>19015.39122784957</v>
      </c>
      <c r="H54" s="1223">
        <f t="shared" si="4"/>
        <v>18466.776213487712</v>
      </c>
      <c r="I54" s="1223">
        <f t="shared" si="4"/>
        <v>17813.181322860051</v>
      </c>
      <c r="J54" s="1223">
        <f t="shared" si="4"/>
        <v>17049.895931162479</v>
      </c>
      <c r="K54" s="1223">
        <f t="shared" si="4"/>
        <v>16171.030270275296</v>
      </c>
    </row>
    <row r="55" spans="1:17">
      <c r="A55" s="1221" t="s">
        <v>3363</v>
      </c>
      <c r="B55" s="1223">
        <f>-B54</f>
        <v>-20335.832648623487</v>
      </c>
      <c r="C55" s="1223">
        <f t="shared" ref="C55:K55" si="5">-C54</f>
        <v>-20246.322328623486</v>
      </c>
      <c r="D55" s="1223">
        <f t="shared" si="5"/>
        <v>-20073.899502223474</v>
      </c>
      <c r="E55" s="1223">
        <f t="shared" si="5"/>
        <v>-19813.663850295401</v>
      </c>
      <c r="F55" s="1223">
        <f t="shared" si="5"/>
        <v>-19462.563785258928</v>
      </c>
      <c r="G55" s="1223">
        <f t="shared" si="5"/>
        <v>-19015.39122784957</v>
      </c>
      <c r="H55" s="1223">
        <f t="shared" si="5"/>
        <v>-18466.776213487712</v>
      </c>
      <c r="I55" s="1223">
        <f t="shared" si="5"/>
        <v>-17813.181322860051</v>
      </c>
      <c r="J55" s="1223">
        <f t="shared" si="5"/>
        <v>-17049.895931162479</v>
      </c>
      <c r="K55" s="1223">
        <f t="shared" si="5"/>
        <v>-16171.030270275296</v>
      </c>
    </row>
    <row r="56" spans="1:17">
      <c r="A56" s="1221" t="s">
        <v>3445</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3446</v>
      </c>
      <c r="B58" s="1222">
        <f>IF($B$26="","",-FV('Part II-Sources of Funds'!$K$40/12,12,B52/12,B26))</f>
        <v>1069222.9610758757</v>
      </c>
      <c r="C58" s="1222">
        <f>IF($B$26="","",-FV('Part II-Sources of Funds'!$K$40/12,12,C52/12,B58))</f>
        <v>1031764.4102133673</v>
      </c>
      <c r="D58" s="1222">
        <f>IF($B$26="","",-FV('Part II-Sources of Funds'!$K$40/12,12,D52/12,C58))</f>
        <v>991797.19082626537</v>
      </c>
      <c r="E58" s="1222">
        <f>IF($B$26="","",-FV('Part II-Sources of Funds'!$K$40/12,12,E52/12,D58))</f>
        <v>949153.29273741716</v>
      </c>
      <c r="F58" s="1222">
        <f>IF($B$26="","",-FV('Part II-Sources of Funds'!$K$40/12,12,F52/12,E58))</f>
        <v>903653.45381695102</v>
      </c>
      <c r="G58" s="1222">
        <f>IF($B$26="","",-FV('Part II-Sources of Funds'!$K$40/12,12,G52/12,F58))</f>
        <v>855106.40641816391</v>
      </c>
      <c r="H58" s="1222">
        <f>IF($B$26="","",-FV('Part II-Sources of Funds'!$K$40/12,12,H52/12,G58))</f>
        <v>803308.07334582484</v>
      </c>
      <c r="I58" s="1222">
        <f>IF($B$26="","",-FV('Part II-Sources of Funds'!$K$40/12,12,I52/12,H58))</f>
        <v>748040.70997698663</v>
      </c>
      <c r="J58" s="1222">
        <f>IF($B$26="","",-FV('Part II-Sources of Funds'!$K$40/12,12,J52/12,I58))</f>
        <v>689071.98892803979</v>
      </c>
      <c r="K58" s="1222">
        <f>IF($B$26="","",-FV('Part II-Sources of Funds'!$K$40/12,12,K52/12,J58))</f>
        <v>626154.02342022362</v>
      </c>
    </row>
    <row r="59" spans="1:17">
      <c r="A59" s="1221" t="s">
        <v>3364</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3438</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126026.66064935073</v>
      </c>
      <c r="C64" s="1222">
        <f>+'Part VI-Pro Forma'!C57</f>
        <v>124901.21771946152</v>
      </c>
      <c r="D64" s="1222">
        <f>+'Part VI-Pro Forma'!D57</f>
        <v>123643.38804668856</v>
      </c>
      <c r="E64" s="1222">
        <f>+'Part VI-Pro Forma'!E57</f>
        <v>122247.50195964501</v>
      </c>
      <c r="F64" s="1222">
        <f>+'Part VI-Pro Forma'!F57</f>
        <v>120707.67793542125</v>
      </c>
      <c r="G64" s="1222">
        <f>+'Part VI-Pro Forma'!G57</f>
        <v>119017.81540881043</v>
      </c>
      <c r="H64" s="1222">
        <f>+'Part VI-Pro Forma'!H57</f>
        <v>117170.58734910807</v>
      </c>
      <c r="I64" s="1222">
        <f>+'Part VI-Pro Forma'!I57</f>
        <v>115160.43259717533</v>
      </c>
      <c r="J64" s="1222">
        <f>+'Part VI-Pro Forma'!J57</f>
        <v>112978.54795523625</v>
      </c>
      <c r="K64" s="1222">
        <f>+'Part VI-Pro Forma'!K57</f>
        <v>110618.88002164192</v>
      </c>
    </row>
    <row r="65" spans="1:11">
      <c r="A65" s="1221" t="s">
        <v>3439</v>
      </c>
      <c r="B65" s="1222">
        <f>SUM('Part VI-Pro Forma'!B58:B61)</f>
        <v>-100119.57492128546</v>
      </c>
      <c r="C65" s="1222">
        <f>SUM('Part VI-Pro Forma'!C58:C61)</f>
        <v>-100119.57492128546</v>
      </c>
      <c r="D65" s="1222">
        <f>SUM('Part VI-Pro Forma'!D58:D61)</f>
        <v>-100119.57492128546</v>
      </c>
      <c r="E65" s="1222">
        <f>SUM('Part VI-Pro Forma'!E58:E61)</f>
        <v>-100119.57492128546</v>
      </c>
      <c r="F65" s="1222">
        <f>SUM('Part VI-Pro Forma'!F58:F61)</f>
        <v>-100119.57492128546</v>
      </c>
      <c r="G65" s="1222">
        <f>SUM('Part VI-Pro Forma'!G58:G61)</f>
        <v>-100119.57492128546</v>
      </c>
      <c r="H65" s="1222">
        <f>SUM('Part VI-Pro Forma'!H58:H61)</f>
        <v>-100119.57492128546</v>
      </c>
      <c r="I65" s="1222">
        <f>SUM('Part VI-Pro Forma'!I58:I61)</f>
        <v>-100119.57492128546</v>
      </c>
      <c r="J65" s="1222">
        <f>SUM('Part VI-Pro Forma'!J58:J61)</f>
        <v>-100119.57492128546</v>
      </c>
      <c r="K65" s="1222">
        <f>SUM('Part VI-Pro Forma'!K58:K61)</f>
        <v>-100119.57492128546</v>
      </c>
    </row>
    <row r="66" spans="1:11">
      <c r="A66" s="1221" t="s">
        <v>3440</v>
      </c>
      <c r="B66" s="1223">
        <f t="shared" ref="B66:K66" si="7">-B64/B68-B65</f>
        <v>-4902.6422865068162</v>
      </c>
      <c r="C66" s="1223">
        <f t="shared" si="7"/>
        <v>-3964.7731782658084</v>
      </c>
      <c r="D66" s="1223">
        <f t="shared" si="7"/>
        <v>-2916.5817842883407</v>
      </c>
      <c r="E66" s="1223">
        <f t="shared" si="7"/>
        <v>-1753.3433784187218</v>
      </c>
      <c r="F66" s="1223">
        <f t="shared" si="7"/>
        <v>-470.15669156558579</v>
      </c>
      <c r="G66" s="1223">
        <f t="shared" si="7"/>
        <v>938.06208061009238</v>
      </c>
      <c r="H66" s="1223">
        <f t="shared" si="7"/>
        <v>2477.4187970287312</v>
      </c>
      <c r="I66" s="1223">
        <f t="shared" si="7"/>
        <v>4152.5477569726791</v>
      </c>
      <c r="J66" s="1223">
        <f t="shared" si="7"/>
        <v>5970.7849585885706</v>
      </c>
      <c r="K66" s="1223">
        <f t="shared" si="7"/>
        <v>7937.1749032505177</v>
      </c>
    </row>
    <row r="68" spans="1:11">
      <c r="A68" s="1221" t="s">
        <v>3441</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126026.66064935073</v>
      </c>
      <c r="C71" s="1223">
        <f t="shared" si="9"/>
        <v>124901.21771946152</v>
      </c>
      <c r="D71" s="1223">
        <f t="shared" si="9"/>
        <v>123643.38804668856</v>
      </c>
      <c r="E71" s="1223">
        <f t="shared" si="9"/>
        <v>122247.50195964501</v>
      </c>
      <c r="F71" s="1223">
        <f t="shared" si="9"/>
        <v>120707.67793542125</v>
      </c>
      <c r="G71" s="1223">
        <f t="shared" si="9"/>
        <v>119017.81540881043</v>
      </c>
      <c r="H71" s="1223">
        <f>+H64</f>
        <v>117170.58734910807</v>
      </c>
      <c r="I71" s="1223">
        <f>+I64</f>
        <v>115160.43259717533</v>
      </c>
      <c r="J71" s="1223">
        <f>+J64</f>
        <v>112978.54795523625</v>
      </c>
      <c r="K71" s="1223">
        <f>+K64</f>
        <v>110618.88002164192</v>
      </c>
    </row>
    <row r="72" spans="1:11">
      <c r="A72" s="1221" t="s">
        <v>3442</v>
      </c>
      <c r="B72" s="1223">
        <f t="shared" ref="B72:G72" si="10">IF($B$25="N/A",B65,B65+$B$25)</f>
        <v>-105855.15135137651</v>
      </c>
      <c r="C72" s="1223">
        <f t="shared" si="10"/>
        <v>-105855.15135137651</v>
      </c>
      <c r="D72" s="1223">
        <f t="shared" si="10"/>
        <v>-105855.15135137651</v>
      </c>
      <c r="E72" s="1223">
        <f t="shared" si="10"/>
        <v>-105855.15135137651</v>
      </c>
      <c r="F72" s="1223">
        <f t="shared" si="10"/>
        <v>-105855.15135137651</v>
      </c>
      <c r="G72" s="1223">
        <f t="shared" si="10"/>
        <v>-105855.15135137651</v>
      </c>
      <c r="H72" s="1223">
        <f>IF($B$25="N/A",H65,H65+$B$25)</f>
        <v>-105855.15135137651</v>
      </c>
      <c r="I72" s="1223">
        <f>IF($B$25="N/A",I65,I65+$B$25)</f>
        <v>-105855.15135137651</v>
      </c>
      <c r="J72" s="1223">
        <f>IF($B$25="N/A",J65,J65+$B$25)</f>
        <v>-105855.15135137651</v>
      </c>
      <c r="K72" s="1223">
        <f>IF($B$25="N/A",K65,K65+$B$25)</f>
        <v>-105855.15135137651</v>
      </c>
    </row>
    <row r="73" spans="1:11">
      <c r="A73" s="1221" t="s">
        <v>3443</v>
      </c>
      <c r="B73" s="1222">
        <f>+'Part VI-Pro Forma'!B63</f>
        <v>-5000</v>
      </c>
      <c r="C73" s="1222">
        <f>+'Part VI-Pro Forma'!C63</f>
        <v>-5000</v>
      </c>
      <c r="D73" s="1222">
        <f>+'Part VI-Pro Forma'!D63</f>
        <v>-5000</v>
      </c>
      <c r="E73" s="1222">
        <f>+'Part VI-Pro Forma'!E63</f>
        <v>-5000</v>
      </c>
      <c r="F73" s="1222">
        <f>+'Part VI-Pro Forma'!F63</f>
        <v>-5000</v>
      </c>
      <c r="G73" s="1222">
        <f>+'Part VI-Pro Forma'!G63</f>
        <v>-5000</v>
      </c>
      <c r="H73" s="1222">
        <f>+'Part VI-Pro Forma'!H63</f>
        <v>-5000</v>
      </c>
      <c r="I73" s="1222">
        <f>+'Part VI-Pro Forma'!I63</f>
        <v>-5000</v>
      </c>
      <c r="J73" s="1222">
        <f>+'Part VI-Pro Forma'!J63</f>
        <v>-5000</v>
      </c>
      <c r="K73" s="1222">
        <f>+'Part VI-Pro Forma'!K63</f>
        <v>-5000</v>
      </c>
    </row>
    <row r="74" spans="1:11">
      <c r="A74" s="1221" t="s">
        <v>3444</v>
      </c>
      <c r="B74" s="1223">
        <f t="shared" ref="B74:G74" si="11">+SUM(B71:B73)</f>
        <v>15171.509297974218</v>
      </c>
      <c r="C74" s="1223">
        <f t="shared" si="11"/>
        <v>14046.066368085012</v>
      </c>
      <c r="D74" s="1223">
        <f t="shared" si="11"/>
        <v>12788.236695312051</v>
      </c>
      <c r="E74" s="1223">
        <f t="shared" si="11"/>
        <v>11392.350608268505</v>
      </c>
      <c r="F74" s="1223">
        <f t="shared" si="11"/>
        <v>9852.5265840447391</v>
      </c>
      <c r="G74" s="1223">
        <f t="shared" si="11"/>
        <v>8162.6640574339253</v>
      </c>
      <c r="H74" s="1223">
        <f>+SUM(H71:H73)</f>
        <v>6315.4359977315617</v>
      </c>
      <c r="I74" s="1223">
        <f>+SUM(I71:I73)</f>
        <v>4305.2812457988184</v>
      </c>
      <c r="J74" s="1223">
        <f>+SUM(J71:J73)</f>
        <v>2123.3966038597428</v>
      </c>
      <c r="K74" s="1223">
        <f>+SUM(K71:K73)</f>
        <v>-236.27132973459084</v>
      </c>
    </row>
    <row r="75" spans="1:11">
      <c r="A75" s="1221" t="s">
        <v>3363</v>
      </c>
      <c r="B75" s="1223">
        <f t="shared" ref="B75:G75" si="12">-B74</f>
        <v>-15171.509297974218</v>
      </c>
      <c r="C75" s="1223">
        <f t="shared" si="12"/>
        <v>-14046.066368085012</v>
      </c>
      <c r="D75" s="1223">
        <f t="shared" si="12"/>
        <v>-12788.236695312051</v>
      </c>
      <c r="E75" s="1223">
        <f t="shared" si="12"/>
        <v>-11392.350608268505</v>
      </c>
      <c r="F75" s="1223">
        <f t="shared" si="12"/>
        <v>-9852.5265840447391</v>
      </c>
      <c r="G75" s="1223">
        <f t="shared" si="12"/>
        <v>-8162.6640574339253</v>
      </c>
      <c r="H75" s="1223">
        <f>-H74</f>
        <v>-6315.4359977315617</v>
      </c>
      <c r="I75" s="1223">
        <f>-I74</f>
        <v>-4305.2812457988184</v>
      </c>
      <c r="J75" s="1223">
        <f>-J74</f>
        <v>-2123.3966038597428</v>
      </c>
      <c r="K75" s="1223">
        <f>-K74</f>
        <v>236.27132973459084</v>
      </c>
    </row>
    <row r="76" spans="1:11">
      <c r="A76" s="1221" t="s">
        <v>3445</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3446</v>
      </c>
      <c r="B78" s="1222">
        <f>IF($B$26="","",-FV('Part II-Sources of Funds'!$K$40/12,12,B72/12,K58))</f>
        <v>559022.3252381169</v>
      </c>
      <c r="C78" s="1222">
        <f>IF($B$26="","",-FV('Part II-Sources of Funds'!$K$40/12,12,C72/12,B78))</f>
        <v>487394.69290067872</v>
      </c>
      <c r="D78" s="1222">
        <f>IF($B$26="","",-FV('Part II-Sources of Funds'!$K$40/12,12,D72/12,C78))</f>
        <v>410970.02537104511</v>
      </c>
      <c r="E78" s="1222">
        <f>IF($B$26="","",-FV('Part II-Sources of Funds'!$K$40/12,12,E72/12,D78))</f>
        <v>329427.0563182733</v>
      </c>
      <c r="F78" s="1222">
        <f>IF($B$26="","",-FV('Part II-Sources of Funds'!$K$40/12,12,F72/12,E78))</f>
        <v>242423.00361025127</v>
      </c>
      <c r="G78" s="1222">
        <f>IF($B$26="","",-FV('Part II-Sources of Funds'!$K$40/12,12,G72/12,F78))</f>
        <v>149592.12836064614</v>
      </c>
      <c r="H78" s="1222">
        <f>IF($B$26="","",-FV('Part II-Sources of Funds'!$K$40/12,12,H72/12,G78))</f>
        <v>50544.197472557891</v>
      </c>
      <c r="I78" s="1222">
        <f>IF($B$26="","",-FV('Part II-Sources of Funds'!$K$40/12,12,I72/12,H78))</f>
        <v>-55137.156784125502</v>
      </c>
      <c r="J78" s="1222">
        <f>IF($B$26="","",-FV('Part II-Sources of Funds'!$K$40/12,12,J72/12,I78))</f>
        <v>-167896.18705751584</v>
      </c>
      <c r="K78" s="1222">
        <f>IF($B$26="","",-FV('Part II-Sources of Funds'!$K$40/12,12,K72/12,J78))</f>
        <v>-288206.89841832593</v>
      </c>
    </row>
    <row r="79" spans="1:11">
      <c r="A79" s="1221" t="s">
        <v>3364</v>
      </c>
    </row>
    <row r="82" spans="1:2">
      <c r="A82" s="1221" t="s">
        <v>3447</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663" customWidth="1"/>
    <col min="2" max="2" width="1.83203125" style="663" customWidth="1"/>
    <col min="3" max="3" width="13" style="663" customWidth="1"/>
    <col min="4" max="4" width="11.1640625" style="663" customWidth="1"/>
    <col min="5" max="5" width="14.83203125" style="663" customWidth="1"/>
    <col min="6" max="6" width="15.1640625" style="663" customWidth="1"/>
    <col min="7" max="7" width="11.83203125" style="663" customWidth="1"/>
    <col min="8" max="8" width="11.5" style="663" customWidth="1"/>
    <col min="9" max="9" width="10.5" style="663" customWidth="1"/>
    <col min="10" max="10" width="6" style="663" customWidth="1"/>
    <col min="11" max="11" width="12.83203125" style="663" customWidth="1"/>
    <col min="12" max="12" width="10.83203125" style="663" customWidth="1"/>
    <col min="13" max="13" width="26.1640625" style="663" customWidth="1"/>
    <col min="14" max="14" width="9.1640625" style="663"/>
    <col min="15" max="15" width="12.5" style="663" customWidth="1"/>
    <col min="16" max="16" width="9.1640625" style="663"/>
    <col min="17" max="17" width="11.83203125" style="663" bestFit="1" customWidth="1"/>
    <col min="18" max="16384" width="9.1640625" style="663"/>
  </cols>
  <sheetData>
    <row r="1" spans="1:15" ht="13.5" customHeight="1">
      <c r="A1" s="664" t="s">
        <v>2707</v>
      </c>
      <c r="B1" s="748"/>
      <c r="C1" s="663" t="str">
        <f>'Sensitivity Analysis'!C8</f>
        <v>Cave Spring Townhomes</v>
      </c>
    </row>
    <row r="2" spans="1:15" ht="13.5" customHeight="1"/>
    <row r="3" spans="1:15" ht="13.5" customHeight="1">
      <c r="A3" s="664" t="s">
        <v>2708</v>
      </c>
      <c r="C3" s="663" t="s">
        <v>2709</v>
      </c>
      <c r="E3" s="749">
        <f>SUM('Part III-A-Uses of Funds'!J162,'Part III-A-Uses of Funds'!M162,'Part III-A-Uses of Funds'!P162)</f>
        <v>15098409</v>
      </c>
      <c r="F3" s="1299" t="s">
        <v>2710</v>
      </c>
      <c r="H3" s="1279">
        <v>27.5</v>
      </c>
      <c r="I3" s="663" t="s">
        <v>2274</v>
      </c>
      <c r="K3" s="668" t="s">
        <v>2731</v>
      </c>
      <c r="M3" s="1299"/>
      <c r="O3" s="750"/>
    </row>
    <row r="4" spans="1:15" ht="13.5" customHeight="1">
      <c r="C4" s="663" t="s">
        <v>3130</v>
      </c>
      <c r="E4" s="749">
        <f>SUM('Part III-A-Uses of Funds'!G97:H101)</f>
        <v>43200</v>
      </c>
      <c r="F4" s="1299" t="s">
        <v>3662</v>
      </c>
      <c r="H4" s="664">
        <f>'Part II-Sources of Funds'!M40</f>
        <v>30</v>
      </c>
      <c r="I4" s="663" t="s">
        <v>2274</v>
      </c>
      <c r="K4" s="751" t="s">
        <v>2959</v>
      </c>
      <c r="M4" s="1299"/>
    </row>
    <row r="5" spans="1:15" ht="13.5" customHeight="1">
      <c r="C5" s="663" t="s">
        <v>3131</v>
      </c>
      <c r="E5" s="749">
        <f>SUM('Part III-A-Uses of Funds'!G105:H111)</f>
        <v>137400</v>
      </c>
      <c r="F5" s="1299" t="s">
        <v>3661</v>
      </c>
      <c r="H5" s="1279">
        <v>15</v>
      </c>
      <c r="I5" s="663" t="s">
        <v>2274</v>
      </c>
      <c r="K5" s="750">
        <f>-E6</f>
        <v>-15111000</v>
      </c>
    </row>
    <row r="6" spans="1:15" ht="13.5" customHeight="1">
      <c r="C6" s="663" t="s">
        <v>2711</v>
      </c>
      <c r="E6" s="752">
        <f>'Part II-Sources of Funds'!$I$51+'Part II-Sources of Funds'!$I$52</f>
        <v>15111000</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11071.40907871454</v>
      </c>
      <c r="D9" s="757">
        <f>'Part VI-Pro Forma'!C33</f>
        <v>25981.898758714538</v>
      </c>
      <c r="E9" s="757">
        <f>'Part VI-Pro Forma'!D33</f>
        <v>25809.475932314526</v>
      </c>
      <c r="F9" s="757">
        <f>'Part VI-Pro Forma'!E33</f>
        <v>25549.240280386453</v>
      </c>
      <c r="G9" s="757">
        <f>'Part VI-Pro Forma'!F33</f>
        <v>25198.14021534998</v>
      </c>
      <c r="H9" s="757">
        <f>'Part VI-Pro Forma'!G33</f>
        <v>24750.967657940622</v>
      </c>
      <c r="I9" s="757">
        <f>'Part VI-Pro Forma'!H33</f>
        <v>24202.352643578764</v>
      </c>
      <c r="K9" s="750" t="e">
        <f>F24</f>
        <v>#VALUE!</v>
      </c>
      <c r="N9" s="758" t="s">
        <v>2717</v>
      </c>
    </row>
    <row r="10" spans="1:15" ht="13.5" customHeight="1">
      <c r="A10" s="663" t="s">
        <v>2716</v>
      </c>
      <c r="C10" s="1248">
        <f>'Part II-Sources of Funds'!I40-'Part VI-Pro Forma'!B40</f>
        <v>14753.976190271787</v>
      </c>
      <c r="D10" s="759">
        <f>'Part VI-Pro Forma'!B40-'Part VI-Pro Forma'!C40</f>
        <v>15742.077300135512</v>
      </c>
      <c r="E10" s="759">
        <f>'Part VI-Pro Forma'!C40-'Part VI-Pro Forma'!D40</f>
        <v>16796.353371292818</v>
      </c>
      <c r="F10" s="759">
        <f>'Part VI-Pro Forma'!D40-'Part VI-Pro Forma'!E40</f>
        <v>17921.236263457453</v>
      </c>
      <c r="G10" s="759">
        <f>'Part VI-Pro Forma'!E40-'Part VI-Pro Forma'!F40</f>
        <v>19121.454646196449</v>
      </c>
      <c r="H10" s="759">
        <f>'Part VI-Pro Forma'!F40-'Part VI-Pro Forma'!G40</f>
        <v>20402.053876834689</v>
      </c>
      <c r="I10" s="759">
        <f>'Part VI-Pro Forma'!G40-'Part VI-Pro Forma'!H40</f>
        <v>21768.417209621985</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-13000</v>
      </c>
      <c r="D13" s="1249">
        <f>'Part VI-Pro Forma'!C23</f>
        <v>-13390</v>
      </c>
      <c r="E13" s="1249">
        <f>'Part VI-Pro Forma'!D23</f>
        <v>-13791.699999999999</v>
      </c>
      <c r="F13" s="1249">
        <f>'Part VI-Pro Forma'!E23</f>
        <v>-14205.451000000001</v>
      </c>
      <c r="G13" s="1249">
        <f>'Part VI-Pro Forma'!F23</f>
        <v>-14631.614529999999</v>
      </c>
      <c r="H13" s="1249">
        <f>'Part VI-Pro Forma'!G23</f>
        <v>-15070.562965899999</v>
      </c>
      <c r="I13" s="1249">
        <f>'Part VI-Pro Forma'!H23</f>
        <v>-15522.679854876998</v>
      </c>
      <c r="K13" s="750" t="e">
        <f>C44</f>
        <v>#VALUE!</v>
      </c>
      <c r="O13" s="755"/>
    </row>
    <row r="14" spans="1:15" ht="13.5" customHeight="1">
      <c r="A14" s="761" t="s">
        <v>3133</v>
      </c>
      <c r="B14" s="762"/>
      <c r="C14" s="1249">
        <f>'Part VI-Pro Forma'!B32</f>
        <v>-15000</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549033.05454545456</v>
      </c>
      <c r="D15" s="764">
        <f t="shared" si="0"/>
        <v>549033.05454545456</v>
      </c>
      <c r="E15" s="764">
        <f t="shared" si="0"/>
        <v>549033.05454545456</v>
      </c>
      <c r="F15" s="764">
        <f t="shared" si="0"/>
        <v>549033.05454545456</v>
      </c>
      <c r="G15" s="764">
        <f t="shared" si="0"/>
        <v>549033.05454545456</v>
      </c>
      <c r="H15" s="764">
        <f t="shared" si="0"/>
        <v>549033.05454545456</v>
      </c>
      <c r="I15" s="764">
        <f t="shared" si="0"/>
        <v>549033.05454545456</v>
      </c>
      <c r="K15" s="750" t="e">
        <f>E44</f>
        <v>#VALUE!</v>
      </c>
      <c r="O15" s="755"/>
    </row>
    <row r="16" spans="1:15" ht="13.5" customHeight="1">
      <c r="A16" s="763" t="s">
        <v>2721</v>
      </c>
      <c r="C16" s="764">
        <f>IF(C$8&lt;=$H$4,($E$4/$H$4),0)+IF(C$8&lt;=$H$5,($E$5/$H$5),0)</f>
        <v>10600</v>
      </c>
      <c r="D16" s="764">
        <f t="shared" ref="D16:I16" si="1">IF(D$8&lt;=$H$4,($E$4/$H$4),0)+IF(D$8&lt;=$H$5,($E$5/$H$5),0)</f>
        <v>10600</v>
      </c>
      <c r="E16" s="764">
        <f t="shared" si="1"/>
        <v>10600</v>
      </c>
      <c r="F16" s="764">
        <f t="shared" si="1"/>
        <v>10600</v>
      </c>
      <c r="G16" s="764">
        <f t="shared" si="1"/>
        <v>10600</v>
      </c>
      <c r="H16" s="764">
        <f t="shared" si="1"/>
        <v>10600</v>
      </c>
      <c r="I16" s="764">
        <f t="shared" si="1"/>
        <v>10600</v>
      </c>
      <c r="K16" s="750" t="e">
        <f>F44</f>
        <v>#VALUE!</v>
      </c>
      <c r="M16" s="663" t="s">
        <v>2725</v>
      </c>
      <c r="O16" s="755">
        <f>E3</f>
        <v>15098409</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10980661.090909092</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4117747.9090909082</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1035000</v>
      </c>
      <c r="D21" s="765">
        <f t="shared" ref="D21:I21" si="5">C21</f>
        <v>1035000</v>
      </c>
      <c r="E21" s="765">
        <f t="shared" si="5"/>
        <v>1035000</v>
      </c>
      <c r="F21" s="765">
        <f t="shared" si="5"/>
        <v>1035000</v>
      </c>
      <c r="G21" s="765">
        <f t="shared" si="5"/>
        <v>1035000</v>
      </c>
      <c r="H21" s="765">
        <f t="shared" si="5"/>
        <v>1035000</v>
      </c>
      <c r="I21" s="765">
        <f t="shared" si="5"/>
        <v>1035000</v>
      </c>
      <c r="J21" s="663" t="s">
        <v>233</v>
      </c>
      <c r="K21" s="750" t="e">
        <f>D64</f>
        <v>#VALUE!</v>
      </c>
      <c r="O21" s="755"/>
    </row>
    <row r="22" spans="1:17" ht="13.5" customHeight="1">
      <c r="A22" s="663" t="s">
        <v>2728</v>
      </c>
      <c r="C22" s="765">
        <f>C21</f>
        <v>1035000</v>
      </c>
      <c r="D22" s="765">
        <f t="shared" ref="D22:I22" si="6">D21</f>
        <v>1035000</v>
      </c>
      <c r="E22" s="765">
        <f t="shared" si="6"/>
        <v>1035000</v>
      </c>
      <c r="F22" s="765">
        <f t="shared" si="6"/>
        <v>1035000</v>
      </c>
      <c r="G22" s="765">
        <f t="shared" si="6"/>
        <v>1035000</v>
      </c>
      <c r="H22" s="765">
        <f t="shared" si="6"/>
        <v>1035000</v>
      </c>
      <c r="I22" s="765">
        <f t="shared" si="6"/>
        <v>1035000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4117747.9090909082</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-4117747.9090909082</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23548.757752951104</v>
      </c>
      <c r="D29" s="757">
        <f>'Part VI-Pro Forma'!J33</f>
        <v>22785.472361253531</v>
      </c>
      <c r="E29" s="757">
        <f>'Part VI-Pro Forma'!K33</f>
        <v>21906.606700366348</v>
      </c>
      <c r="F29" s="757">
        <f>'Part VI-Pro Forma'!B65</f>
        <v>20907.085728065271</v>
      </c>
      <c r="G29" s="757">
        <f>'Part VI-Pro Forma'!C65</f>
        <v>19781.642798176064</v>
      </c>
      <c r="H29" s="757">
        <f>'Part VI-Pro Forma'!D65</f>
        <v>18523.813125403103</v>
      </c>
      <c r="I29" s="757">
        <f>'Part VI-Pro Forma'!E65</f>
        <v>17127.927038359558</v>
      </c>
      <c r="N29" s="768"/>
      <c r="O29" s="768"/>
    </row>
    <row r="30" spans="1:17" ht="13.5" customHeight="1">
      <c r="A30" s="663" t="s">
        <v>2716</v>
      </c>
      <c r="C30" s="759">
        <f>'Part VI-Pro Forma'!H40-'Part VI-Pro Forma'!I40</f>
        <v>23226.288425314473</v>
      </c>
      <c r="D30" s="759">
        <f>'Part VI-Pro Forma'!I40-'Part VI-Pro Forma'!J40</f>
        <v>24781.795976303052</v>
      </c>
      <c r="E30" s="759">
        <f>'Part VI-Pro Forma'!J40-'Part VI-Pro Forma'!K40</f>
        <v>26441.478748785332</v>
      </c>
      <c r="F30" s="1246">
        <f>'Part VI-Pro Forma'!K40-'Part VI-Pro Forma'!B72</f>
        <v>28212.313550277147</v>
      </c>
      <c r="G30" s="1246">
        <f>'Part VI-Pro Forma'!B72-'Part VI-Pro Forma'!C72</f>
        <v>30101.744438015856</v>
      </c>
      <c r="H30" s="1246">
        <f>'Part VI-Pro Forma'!C72-'Part VI-Pro Forma'!D72</f>
        <v>32117.714011536911</v>
      </c>
      <c r="I30" s="1246">
        <f>'Part VI-Pro Forma'!D72-'Part VI-Pro Forma'!E72</f>
        <v>34268.69680097769</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-823549.58181818167</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-15988.36025052331</v>
      </c>
      <c r="D33" s="1249">
        <f>'Part VI-Pro Forma'!J23</f>
        <v>-16468.011058039006</v>
      </c>
      <c r="E33" s="1249">
        <f>'Part VI-Pro Forma'!K23</f>
        <v>-16962.051389780179</v>
      </c>
      <c r="F33" s="1249">
        <f>'Part VI-Pro Forma'!B55</f>
        <v>-17470.912931473584</v>
      </c>
      <c r="G33" s="1249">
        <f>'Part VI-Pro Forma'!C55</f>
        <v>-17995.040319417792</v>
      </c>
      <c r="H33" s="1249">
        <f>'Part VI-Pro Forma'!D55</f>
        <v>-18534.891529000321</v>
      </c>
      <c r="I33" s="1249">
        <f>'Part VI-Pro Forma'!E55</f>
        <v>-19090.938274870332</v>
      </c>
      <c r="K33" s="663" t="s">
        <v>233</v>
      </c>
      <c r="M33" s="663" t="s">
        <v>2736</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549033.05454545456</v>
      </c>
      <c r="D35" s="764">
        <f t="shared" si="8"/>
        <v>549033.05454545456</v>
      </c>
      <c r="E35" s="764">
        <f t="shared" si="8"/>
        <v>549033.05454545456</v>
      </c>
      <c r="F35" s="764">
        <f t="shared" si="8"/>
        <v>549033.05454545456</v>
      </c>
      <c r="G35" s="764">
        <f t="shared" si="8"/>
        <v>549033.05454545456</v>
      </c>
      <c r="H35" s="764">
        <f t="shared" si="8"/>
        <v>549033.05454545456</v>
      </c>
      <c r="I35" s="764">
        <f t="shared" si="8"/>
        <v>549033.05454545456</v>
      </c>
    </row>
    <row r="36" spans="1:15" ht="13.5" customHeight="1">
      <c r="A36" s="763" t="s">
        <v>2721</v>
      </c>
      <c r="C36" s="757">
        <f>IF(C$28&lt;=$H$4,($E$4/$H$4),0)+IF(C$28&lt;=$H$5,($E$5/$H$5),0)</f>
        <v>10600</v>
      </c>
      <c r="D36" s="757">
        <f t="shared" ref="D36:I36" si="9">IF(D$28&lt;=$H$4,($E$4/$H$4),0)+IF(D$28&lt;=$H$5,($E$5/$H$5),0)</f>
        <v>10600</v>
      </c>
      <c r="E36" s="757">
        <f t="shared" si="9"/>
        <v>10600</v>
      </c>
      <c r="F36" s="757">
        <f t="shared" si="9"/>
        <v>10600</v>
      </c>
      <c r="G36" s="757">
        <f t="shared" si="9"/>
        <v>10600</v>
      </c>
      <c r="H36" s="757">
        <f t="shared" si="9"/>
        <v>10600</v>
      </c>
      <c r="I36" s="757">
        <f t="shared" si="9"/>
        <v>10600</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1035000</v>
      </c>
      <c r="D41" s="765">
        <f>C41</f>
        <v>1035000</v>
      </c>
      <c r="E41" s="765">
        <f>D41</f>
        <v>1035000</v>
      </c>
      <c r="F41" s="765">
        <v>0</v>
      </c>
      <c r="G41" s="765">
        <v>0</v>
      </c>
      <c r="H41" s="765">
        <v>0</v>
      </c>
      <c r="I41" s="765">
        <v>0</v>
      </c>
    </row>
    <row r="42" spans="1:15" ht="13.5" customHeight="1">
      <c r="A42" s="663" t="s">
        <v>2728</v>
      </c>
      <c r="C42" s="765">
        <f>C22</f>
        <v>1035000</v>
      </c>
      <c r="D42" s="765">
        <f>C42</f>
        <v>1035000</v>
      </c>
      <c r="E42" s="765">
        <f>D42</f>
        <v>1035000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15588.103014135791</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36563.734891452594</v>
      </c>
      <c r="D50" s="1247">
        <f>'Part VI-Pro Forma'!F72-'Part VI-Pro Forma'!G72</f>
        <v>39012.475933263311</v>
      </c>
      <c r="E50" s="1247">
        <f>'Part VI-Pro Forma'!G72-'Part VI-Pro Forma'!H72</f>
        <v>41625.213697718573</v>
      </c>
      <c r="F50" s="1247">
        <f>'Part VI-Pro Forma'!H72-'Part VI-Pro Forma'!I72</f>
        <v>44412.931349056424</v>
      </c>
      <c r="G50" s="1247">
        <f>'Part VI-Pro Forma'!I72-'Part VI-Pro Forma'!J72</f>
        <v>47387.347614364466</v>
      </c>
      <c r="H50" s="1247">
        <f>'Part VI-Pro Forma'!J72-'Part VI-Pro Forma'!K72</f>
        <v>50560.966045586742</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-19663.666423116443</v>
      </c>
      <c r="D53" s="1249">
        <f>'Part VI-Pro Forma'!G55</f>
        <v>-20253.576415809937</v>
      </c>
      <c r="E53" s="1249">
        <f>'Part VI-Pro Forma'!H55</f>
        <v>-20861.183708284232</v>
      </c>
      <c r="F53" s="1249">
        <f>'Part VI-Pro Forma'!I55</f>
        <v>-21487.019219532758</v>
      </c>
      <c r="G53" s="1249">
        <f>'Part VI-Pro Forma'!J55</f>
        <v>-22131.629796118741</v>
      </c>
      <c r="H53" s="1249">
        <f>'Part VI-Pro Forma'!K55</f>
        <v>-22795.578690002305</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549033.05454545456</v>
      </c>
      <c r="D55" s="764">
        <f t="shared" si="14"/>
        <v>549033.05454545456</v>
      </c>
      <c r="E55" s="764">
        <f t="shared" si="14"/>
        <v>549033.05454545456</v>
      </c>
      <c r="F55" s="764">
        <f t="shared" si="14"/>
        <v>549033.05454545456</v>
      </c>
      <c r="G55" s="764">
        <f t="shared" si="14"/>
        <v>549033.05454545456</v>
      </c>
      <c r="H55" s="764">
        <f t="shared" si="14"/>
        <v>549033.05454545456</v>
      </c>
    </row>
    <row r="56" spans="1:10" ht="13.5" customHeight="1">
      <c r="A56" s="763" t="s">
        <v>2721</v>
      </c>
      <c r="C56" s="757">
        <f t="shared" ref="C56:H56" si="15">IF(C$48&lt;=$H$4,($E$4/$H$4),0)+IF(C$48&lt;=$H$5,($E$5/$H$5),0)</f>
        <v>10600</v>
      </c>
      <c r="D56" s="757">
        <f t="shared" si="15"/>
        <v>1440</v>
      </c>
      <c r="E56" s="757">
        <f t="shared" si="15"/>
        <v>1440</v>
      </c>
      <c r="F56" s="757">
        <f t="shared" si="15"/>
        <v>1440</v>
      </c>
      <c r="G56" s="757">
        <f t="shared" si="15"/>
        <v>1440</v>
      </c>
      <c r="H56" s="757">
        <f t="shared" si="15"/>
        <v>1440</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c r="A66" s="771"/>
      <c r="B66" s="772"/>
      <c r="C66" s="772"/>
      <c r="D66" s="772"/>
      <c r="E66" s="772"/>
      <c r="F66" s="773" t="s">
        <v>2737</v>
      </c>
      <c r="G66" s="4581" t="e">
        <f>IRR(K5:K25)</f>
        <v>#VALUE!</v>
      </c>
      <c r="H66" s="4582"/>
      <c r="I66" s="770"/>
      <c r="J66" s="770"/>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150" zoomScaleNormal="150" workbookViewId="0">
      <selection activeCell="A4" sqref="A4:P4"/>
    </sheetView>
  </sheetViews>
  <sheetFormatPr baseColWidth="10" defaultColWidth="9.1640625" defaultRowHeight="13"/>
  <cols>
    <col min="1" max="1" width="3.1640625" style="332" customWidth="1"/>
    <col min="2" max="2" width="2.1640625" style="342" customWidth="1"/>
    <col min="3" max="11" width="8.83203125" style="332" customWidth="1"/>
    <col min="12" max="12" width="4" style="332" customWidth="1"/>
    <col min="13" max="13" width="8.83203125" style="332" customWidth="1"/>
    <col min="14" max="14" width="9.33203125" style="332" customWidth="1"/>
    <col min="15" max="16" width="8.83203125" style="332" customWidth="1"/>
    <col min="17" max="17" width="9.1640625" style="332"/>
    <col min="18" max="18" width="10.33203125" style="332" bestFit="1" customWidth="1"/>
    <col min="19" max="19" width="9.1640625" style="332"/>
    <col min="20" max="20" width="10.33203125" style="332" bestFit="1" customWidth="1"/>
    <col min="21" max="25" width="9.1640625" style="332"/>
    <col min="26" max="26" width="9.1640625" style="2220"/>
    <col min="27" max="16384" width="9.1640625" style="332"/>
  </cols>
  <sheetData>
    <row r="1" spans="1:26" s="2244" customFormat="1" ht="9" hidden="1" customHeight="1">
      <c r="A1" s="2243"/>
      <c r="B1" s="2243" t="s">
        <v>6311</v>
      </c>
      <c r="C1" s="2243"/>
      <c r="D1" s="2243"/>
      <c r="E1" s="2243"/>
      <c r="F1" s="2243" t="s">
        <v>6312</v>
      </c>
      <c r="G1" s="2243" t="s">
        <v>6313</v>
      </c>
      <c r="H1" s="2243" t="s">
        <v>6314</v>
      </c>
      <c r="I1" s="2243" t="s">
        <v>6315</v>
      </c>
      <c r="J1" s="2243" t="s">
        <v>6316</v>
      </c>
      <c r="K1" s="2243" t="s">
        <v>6317</v>
      </c>
      <c r="L1" s="2243"/>
      <c r="M1" s="2243"/>
      <c r="N1" s="2243" t="s">
        <v>6318</v>
      </c>
      <c r="O1" s="2243" t="s">
        <v>6319</v>
      </c>
      <c r="P1" s="2243" t="s">
        <v>6320</v>
      </c>
      <c r="Z1" s="2245">
        <v>1</v>
      </c>
    </row>
    <row r="2" spans="1:26" s="315" customFormat="1" ht="14" customHeight="1">
      <c r="A2" s="3357" t="str">
        <f>CONCATENATE("PART ONE - PROJECT INFORMATION"," - ",$O$7," ",$F$29,", ",'Part I-Project Identification'!F30,", ",'Part I-Project Identification'!J30," County")</f>
        <v>PART ONE - PROJECT INFORMATION - 2022-0 Cave Spring Townhomes, Cave Spring, Floyd County</v>
      </c>
      <c r="B2" s="3358"/>
      <c r="C2" s="3358"/>
      <c r="D2" s="3358"/>
      <c r="E2" s="3358"/>
      <c r="F2" s="3358"/>
      <c r="G2" s="3358"/>
      <c r="H2" s="3358"/>
      <c r="I2" s="3358"/>
      <c r="J2" s="3358"/>
      <c r="K2" s="3358"/>
      <c r="L2" s="3358"/>
      <c r="M2" s="3358"/>
      <c r="N2" s="3358"/>
      <c r="O2" s="3358"/>
      <c r="P2" s="3359"/>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1" t="s">
        <v>6752</v>
      </c>
      <c r="B4" s="3371"/>
      <c r="C4" s="3371"/>
      <c r="D4" s="3371"/>
      <c r="E4" s="3371"/>
      <c r="F4" s="3371"/>
      <c r="G4" s="3371"/>
      <c r="H4" s="3371"/>
      <c r="I4" s="3371"/>
      <c r="J4" s="3371"/>
      <c r="K4" s="3371"/>
      <c r="L4" s="3371"/>
      <c r="M4" s="3371"/>
      <c r="N4" s="3371"/>
      <c r="O4" s="3371"/>
      <c r="P4" s="3371"/>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2" t="s">
        <v>6749</v>
      </c>
      <c r="B6" s="3372"/>
      <c r="C6" s="3372"/>
      <c r="D6" s="3372"/>
      <c r="F6" s="316"/>
      <c r="G6" s="292" t="s">
        <v>3826</v>
      </c>
      <c r="L6" s="862"/>
      <c r="P6" s="2357" t="s">
        <v>3292</v>
      </c>
      <c r="Z6" s="2246">
        <v>6</v>
      </c>
    </row>
    <row r="7" spans="1:26" s="315" customFormat="1" ht="12" customHeight="1" thickBot="1">
      <c r="A7" s="3372"/>
      <c r="B7" s="3372"/>
      <c r="C7" s="3372"/>
      <c r="D7" s="3372"/>
      <c r="E7" s="1272"/>
      <c r="F7" s="318"/>
      <c r="G7" s="292" t="s">
        <v>6085</v>
      </c>
      <c r="H7" s="1046"/>
      <c r="I7" s="1046"/>
      <c r="J7" s="1046"/>
      <c r="O7" s="3360" t="s">
        <v>6512</v>
      </c>
      <c r="P7" s="3361"/>
      <c r="Q7" s="3300" t="s">
        <v>6642</v>
      </c>
      <c r="R7" s="3300"/>
      <c r="S7" s="3301"/>
      <c r="Z7" s="2246">
        <v>7</v>
      </c>
    </row>
    <row r="8" spans="1:26" s="315" customFormat="1" ht="12" customHeight="1">
      <c r="A8" s="3372"/>
      <c r="B8" s="3372"/>
      <c r="C8" s="3372"/>
      <c r="D8" s="3372"/>
      <c r="E8" s="1272"/>
      <c r="F8" s="537"/>
      <c r="G8" s="185" t="s">
        <v>2961</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25" customHeight="1">
      <c r="A10" s="317" t="s">
        <v>573</v>
      </c>
      <c r="B10" s="317" t="s">
        <v>2193</v>
      </c>
      <c r="D10" s="293"/>
      <c r="E10" s="319"/>
      <c r="F10" s="320" t="s">
        <v>3268</v>
      </c>
      <c r="I10" s="3362">
        <f>'Part III-A-Uses of Funds'!$J$191</f>
        <v>1035000</v>
      </c>
      <c r="J10" s="3363"/>
      <c r="L10" s="315" t="s">
        <v>3269</v>
      </c>
      <c r="O10" s="3364">
        <f>'Part II-Sources of Funds'!$I$6</f>
        <v>0</v>
      </c>
      <c r="P10" s="3365"/>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25" customHeight="1">
      <c r="A12" s="321" t="s">
        <v>689</v>
      </c>
      <c r="B12" s="317" t="s">
        <v>1892</v>
      </c>
      <c r="F12" s="3366" t="s">
        <v>6908</v>
      </c>
      <c r="G12" s="3367"/>
      <c r="H12" s="3368"/>
      <c r="I12" s="2364" t="s">
        <v>6523</v>
      </c>
      <c r="J12" s="516" t="s">
        <v>6522</v>
      </c>
      <c r="K12" s="326"/>
      <c r="L12" s="1046"/>
      <c r="O12" s="3369" t="s">
        <v>6909</v>
      </c>
      <c r="P12" s="3370"/>
      <c r="Q12" s="3302"/>
      <c r="R12" s="3303"/>
      <c r="S12" s="3304"/>
      <c r="Z12" s="2246">
        <v>12</v>
      </c>
    </row>
    <row r="13" spans="1:26" s="315" customFormat="1" ht="3" customHeight="1">
      <c r="A13" s="495"/>
      <c r="B13" s="1577"/>
      <c r="C13" s="1577"/>
      <c r="D13" s="1577"/>
      <c r="E13" s="1577"/>
      <c r="H13" s="1046"/>
      <c r="J13" s="517"/>
      <c r="K13" s="290"/>
      <c r="M13" s="1046"/>
      <c r="Q13" s="3302"/>
      <c r="R13" s="3303"/>
      <c r="S13" s="3304"/>
      <c r="Z13" s="2246">
        <v>13</v>
      </c>
    </row>
    <row r="14" spans="1:26" s="1661" customFormat="1">
      <c r="A14" s="2216" t="s">
        <v>691</v>
      </c>
      <c r="B14" s="1665" t="s">
        <v>3673</v>
      </c>
      <c r="D14" s="1664"/>
      <c r="E14" s="2556"/>
      <c r="G14" s="2556"/>
      <c r="H14" s="2556"/>
      <c r="I14" s="2556"/>
      <c r="L14" s="2557"/>
      <c r="Q14" s="3302"/>
      <c r="R14" s="3303"/>
      <c r="S14" s="3304"/>
      <c r="Z14" s="2246">
        <v>14</v>
      </c>
    </row>
    <row r="15" spans="1:26" s="1661" customFormat="1">
      <c r="B15" s="1661" t="s">
        <v>3297</v>
      </c>
      <c r="F15" s="3342" t="s">
        <v>680</v>
      </c>
      <c r="G15" s="3343"/>
      <c r="H15" s="3344"/>
      <c r="I15" s="2558" t="s">
        <v>1671</v>
      </c>
      <c r="J15" s="3342" t="s">
        <v>6912</v>
      </c>
      <c r="K15" s="3343"/>
      <c r="L15" s="3344"/>
      <c r="M15" s="2559" t="s">
        <v>1839</v>
      </c>
      <c r="N15" s="3345" t="s">
        <v>6913</v>
      </c>
      <c r="O15" s="3346"/>
      <c r="P15" s="3347"/>
      <c r="Q15" s="3302"/>
      <c r="R15" s="3303"/>
      <c r="S15" s="3304"/>
      <c r="Z15" s="2246">
        <v>15</v>
      </c>
    </row>
    <row r="16" spans="1:26" s="1661" customFormat="1">
      <c r="B16" s="1664" t="s">
        <v>1840</v>
      </c>
      <c r="F16" s="3328" t="s">
        <v>6910</v>
      </c>
      <c r="G16" s="3329"/>
      <c r="H16" s="3329"/>
      <c r="I16" s="3329"/>
      <c r="J16" s="3329"/>
      <c r="K16" s="3329"/>
      <c r="L16" s="3330"/>
      <c r="M16" s="3331" t="s">
        <v>3296</v>
      </c>
      <c r="N16" s="3331"/>
      <c r="O16" s="3331"/>
      <c r="P16" s="3331"/>
      <c r="Q16" s="3302"/>
      <c r="R16" s="3303"/>
      <c r="S16" s="3304"/>
      <c r="Z16" s="2246">
        <v>16</v>
      </c>
    </row>
    <row r="17" spans="1:26" s="1661" customFormat="1">
      <c r="B17" s="1664" t="s">
        <v>575</v>
      </c>
      <c r="F17" s="3332" t="s">
        <v>2097</v>
      </c>
      <c r="G17" s="3333"/>
      <c r="H17" s="3334"/>
      <c r="I17" s="2563" t="s">
        <v>1672</v>
      </c>
      <c r="J17" s="2560" t="s">
        <v>791</v>
      </c>
      <c r="K17" s="2566"/>
      <c r="L17" s="2564"/>
      <c r="M17" s="3331"/>
      <c r="N17" s="3331"/>
      <c r="O17" s="3331"/>
      <c r="P17" s="3331"/>
      <c r="Q17" s="3302"/>
      <c r="R17" s="3303"/>
      <c r="S17" s="3304"/>
      <c r="Z17" s="2246">
        <v>17</v>
      </c>
    </row>
    <row r="18" spans="1:26" s="1661" customFormat="1">
      <c r="B18" s="1664" t="s">
        <v>2062</v>
      </c>
      <c r="F18" s="3335">
        <v>301652764</v>
      </c>
      <c r="G18" s="3336"/>
      <c r="H18" s="3337"/>
      <c r="I18" s="2565" t="s">
        <v>1600</v>
      </c>
      <c r="J18" s="3338">
        <v>7062910780</v>
      </c>
      <c r="K18" s="3339"/>
      <c r="L18" s="2561" t="s">
        <v>1599</v>
      </c>
      <c r="M18" s="834">
        <v>1100</v>
      </c>
      <c r="N18" s="1664" t="s">
        <v>1601</v>
      </c>
      <c r="O18" s="3340">
        <v>7063783940</v>
      </c>
      <c r="P18" s="3341"/>
      <c r="Q18" s="3302"/>
      <c r="R18" s="3303"/>
      <c r="S18" s="3304"/>
      <c r="Z18" s="2246">
        <v>18</v>
      </c>
    </row>
    <row r="19" spans="1:26" s="1661" customFormat="1">
      <c r="B19" s="1664" t="s">
        <v>1843</v>
      </c>
      <c r="F19" s="3321" t="s">
        <v>6911</v>
      </c>
      <c r="G19" s="3322"/>
      <c r="H19" s="3322"/>
      <c r="I19" s="3322"/>
      <c r="J19" s="3322"/>
      <c r="K19" s="3323"/>
      <c r="N19" s="1664" t="s">
        <v>1838</v>
      </c>
      <c r="O19" s="3324">
        <v>7062524635</v>
      </c>
      <c r="P19" s="3325"/>
      <c r="Q19" s="3302"/>
      <c r="R19" s="3303"/>
      <c r="S19" s="3304"/>
      <c r="Z19" s="2246">
        <v>19</v>
      </c>
    </row>
    <row r="20" spans="1:26" s="1661" customFormat="1">
      <c r="A20" s="2562"/>
      <c r="B20" s="1665" t="s">
        <v>3672</v>
      </c>
      <c r="C20" s="181"/>
      <c r="H20" s="2561"/>
      <c r="J20" s="181"/>
      <c r="P20" s="2561"/>
      <c r="Q20" s="3302"/>
      <c r="R20" s="3303"/>
      <c r="S20" s="3304"/>
      <c r="Z20" s="2246">
        <v>20</v>
      </c>
    </row>
    <row r="21" spans="1:26" s="1661" customFormat="1">
      <c r="B21" s="1661" t="s">
        <v>3297</v>
      </c>
      <c r="F21" s="3342" t="s">
        <v>680</v>
      </c>
      <c r="G21" s="3343"/>
      <c r="H21" s="3344"/>
      <c r="I21" s="2558" t="s">
        <v>1671</v>
      </c>
      <c r="J21" s="3342" t="s">
        <v>6918</v>
      </c>
      <c r="K21" s="3343"/>
      <c r="L21" s="3344"/>
      <c r="M21" s="2559" t="s">
        <v>1839</v>
      </c>
      <c r="N21" s="3345" t="s">
        <v>6915</v>
      </c>
      <c r="O21" s="3346"/>
      <c r="P21" s="3347"/>
      <c r="Q21" s="3302"/>
      <c r="R21" s="3303"/>
      <c r="S21" s="3304"/>
      <c r="Z21" s="2245">
        <v>21</v>
      </c>
    </row>
    <row r="22" spans="1:26" s="1661" customFormat="1">
      <c r="B22" s="1664" t="s">
        <v>1840</v>
      </c>
      <c r="F22" s="3328" t="s">
        <v>6910</v>
      </c>
      <c r="G22" s="3329"/>
      <c r="H22" s="3329"/>
      <c r="I22" s="3329"/>
      <c r="J22" s="3329"/>
      <c r="K22" s="3329"/>
      <c r="L22" s="3330"/>
      <c r="M22" s="3348" t="s">
        <v>3296</v>
      </c>
      <c r="N22" s="3348"/>
      <c r="O22" s="3348"/>
      <c r="P22" s="3348"/>
      <c r="Q22" s="3302"/>
      <c r="R22" s="3303"/>
      <c r="S22" s="3304"/>
      <c r="Z22" s="2246">
        <v>22</v>
      </c>
    </row>
    <row r="23" spans="1:26" s="1661" customFormat="1">
      <c r="B23" s="1664" t="s">
        <v>575</v>
      </c>
      <c r="F23" s="3332" t="s">
        <v>2097</v>
      </c>
      <c r="G23" s="3333"/>
      <c r="H23" s="3334"/>
      <c r="I23" s="2567" t="s">
        <v>1672</v>
      </c>
      <c r="J23" s="2560" t="s">
        <v>791</v>
      </c>
      <c r="K23" s="2566"/>
      <c r="L23" s="2564"/>
      <c r="M23" s="3348"/>
      <c r="N23" s="3348"/>
      <c r="O23" s="3348"/>
      <c r="P23" s="3348"/>
      <c r="Q23" s="3302"/>
      <c r="R23" s="3303"/>
      <c r="S23" s="3304"/>
      <c r="Z23" s="2246">
        <v>23</v>
      </c>
    </row>
    <row r="24" spans="1:26" s="1661" customFormat="1">
      <c r="B24" s="1664" t="s">
        <v>2062</v>
      </c>
      <c r="F24" s="3335">
        <v>301652764</v>
      </c>
      <c r="G24" s="3336"/>
      <c r="H24" s="3337"/>
      <c r="I24" s="2565" t="s">
        <v>1600</v>
      </c>
      <c r="J24" s="3338">
        <v>7062910780</v>
      </c>
      <c r="K24" s="3339"/>
      <c r="L24" s="2561" t="s">
        <v>1599</v>
      </c>
      <c r="M24" s="834">
        <v>1126</v>
      </c>
      <c r="N24" s="1664" t="s">
        <v>1601</v>
      </c>
      <c r="O24" s="3340">
        <v>7063685726</v>
      </c>
      <c r="P24" s="3341"/>
      <c r="Q24" s="3302"/>
      <c r="R24" s="3303"/>
      <c r="S24" s="3304"/>
      <c r="Z24" s="2246">
        <v>24</v>
      </c>
    </row>
    <row r="25" spans="1:26" s="1661" customFormat="1">
      <c r="B25" s="1664" t="s">
        <v>1843</v>
      </c>
      <c r="F25" s="3321" t="s">
        <v>6914</v>
      </c>
      <c r="G25" s="3322"/>
      <c r="H25" s="3322"/>
      <c r="I25" s="3322"/>
      <c r="J25" s="3322"/>
      <c r="K25" s="3323"/>
      <c r="N25" s="1664" t="s">
        <v>1838</v>
      </c>
      <c r="O25" s="3324">
        <v>7063685726</v>
      </c>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25"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25" customHeight="1">
      <c r="A29" s="317"/>
      <c r="B29" s="315" t="s">
        <v>574</v>
      </c>
      <c r="D29" s="326"/>
      <c r="F29" s="3349" t="s">
        <v>6916</v>
      </c>
      <c r="G29" s="3350"/>
      <c r="H29" s="3350"/>
      <c r="I29" s="3351"/>
      <c r="J29" s="3350"/>
      <c r="K29" s="3352"/>
      <c r="M29" s="1034" t="s">
        <v>425</v>
      </c>
      <c r="P29" s="2568" t="s">
        <v>2654</v>
      </c>
      <c r="Q29" s="3302"/>
      <c r="R29" s="3303"/>
      <c r="S29" s="3304"/>
      <c r="Z29" s="2246">
        <v>29</v>
      </c>
    </row>
    <row r="30" spans="1:26" s="315" customFormat="1">
      <c r="A30" s="495"/>
      <c r="B30" s="315" t="s">
        <v>575</v>
      </c>
      <c r="F30" s="3310" t="s">
        <v>962</v>
      </c>
      <c r="G30" s="3311"/>
      <c r="H30" s="3312"/>
      <c r="I30" s="340" t="s">
        <v>576</v>
      </c>
      <c r="J30" s="3353" t="str">
        <f>IF(F30="","",VLOOKUP(F30,'DCA Underwriting Assumptions'!$T$136:$U$765,2,FALSE))</f>
        <v>Floyd</v>
      </c>
      <c r="K30" s="3354"/>
      <c r="M30" s="2618" t="s">
        <v>426</v>
      </c>
      <c r="P30" s="2641" t="s">
        <v>2654</v>
      </c>
      <c r="Q30" s="3302"/>
      <c r="R30" s="3303"/>
      <c r="S30" s="3304"/>
      <c r="U30" s="2562"/>
      <c r="W30" s="1661"/>
      <c r="X30" s="1661"/>
      <c r="Y30" s="1661"/>
      <c r="Z30" s="2246">
        <v>30</v>
      </c>
    </row>
    <row r="31" spans="1:26" s="315" customFormat="1">
      <c r="A31" s="2120"/>
      <c r="B31" s="1661" t="s">
        <v>3909</v>
      </c>
      <c r="C31" s="330"/>
      <c r="D31" s="331"/>
      <c r="E31" s="331"/>
      <c r="F31" s="3310" t="s">
        <v>6917</v>
      </c>
      <c r="G31" s="3311"/>
      <c r="H31" s="3312"/>
      <c r="I31" s="2617"/>
      <c r="J31" s="515" t="s">
        <v>6729</v>
      </c>
      <c r="K31" s="2617"/>
      <c r="M31" s="1664" t="s">
        <v>6674</v>
      </c>
      <c r="N31" s="1661"/>
      <c r="O31" s="3373">
        <v>6.12</v>
      </c>
      <c r="P31" s="3374"/>
      <c r="Q31" s="3302"/>
      <c r="R31" s="3303"/>
      <c r="S31" s="3304"/>
      <c r="Z31" s="2246">
        <v>31</v>
      </c>
    </row>
    <row r="32" spans="1:26" s="315" customFormat="1">
      <c r="A32" s="495"/>
      <c r="B32" s="315" t="s">
        <v>1456</v>
      </c>
      <c r="F32" s="518" t="s">
        <v>2651</v>
      </c>
      <c r="G32" s="2498"/>
      <c r="H32" s="2499"/>
      <c r="I32" s="2640"/>
      <c r="J32" s="1036" t="s">
        <v>2501</v>
      </c>
      <c r="K32" s="2642" t="str">
        <f>IF(F32="Yes","Rural","Urban")</f>
        <v>Rural</v>
      </c>
      <c r="M32" s="1034" t="s">
        <v>2400</v>
      </c>
      <c r="N32" s="2643" t="str">
        <f>VLOOKUP($J$30,'DCA Underwriting Assumptions'!$G$136:$J$295,4)</f>
        <v>MSA</v>
      </c>
      <c r="O32" s="3355" t="str">
        <f>IF($F$30="","",VLOOKUP($J$30,'DCA Underwriting Assumptions'!$G$136:$L$295,3,FALSE))</f>
        <v>Rome</v>
      </c>
      <c r="P32" s="3356"/>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6661</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6660</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3089</v>
      </c>
      <c r="M38" s="1041"/>
      <c r="N38" s="1041"/>
      <c r="P38" s="2540"/>
      <c r="Q38" s="3302"/>
      <c r="R38" s="3303"/>
      <c r="S38" s="3304"/>
      <c r="Z38" s="2246">
        <v>38</v>
      </c>
    </row>
    <row r="39" spans="1:26" s="315" customFormat="1" ht="12.75" hidden="1" customHeight="1">
      <c r="A39" s="495"/>
      <c r="B39" s="317"/>
      <c r="C39" s="1041" t="s">
        <v>3935</v>
      </c>
      <c r="I39" s="2533"/>
      <c r="J39" s="340" t="s">
        <v>2485</v>
      </c>
      <c r="O39" s="3308"/>
      <c r="P39" s="3309"/>
      <c r="Q39" s="3302"/>
      <c r="R39" s="3303"/>
      <c r="S39" s="3304"/>
      <c r="Z39" s="2246">
        <v>39</v>
      </c>
    </row>
    <row r="40" spans="1:26" s="315" customFormat="1" ht="12.75" customHeight="1">
      <c r="A40" s="495"/>
      <c r="B40" s="317"/>
      <c r="C40" s="1659" t="s">
        <v>1677</v>
      </c>
      <c r="I40" s="1578" t="s">
        <v>2654</v>
      </c>
      <c r="J40" s="340" t="s">
        <v>2485</v>
      </c>
      <c r="O40" s="3319"/>
      <c r="P40" s="3320"/>
      <c r="Q40" s="3302"/>
      <c r="R40" s="3303"/>
      <c r="S40" s="3304"/>
      <c r="Z40" s="2246">
        <v>40</v>
      </c>
    </row>
    <row r="41" spans="1:26" s="315" customFormat="1" ht="12.5" customHeight="1">
      <c r="A41" s="495"/>
      <c r="B41" s="495"/>
      <c r="C41" s="1041" t="s">
        <v>2576</v>
      </c>
      <c r="I41" s="1098" t="s">
        <v>2654</v>
      </c>
      <c r="J41" s="340" t="s">
        <v>2485</v>
      </c>
      <c r="O41" s="3326"/>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3" t="s">
        <v>6978</v>
      </c>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baseColWidth="10" defaultColWidth="9.1640625" defaultRowHeight="13"/>
  <cols>
    <col min="1" max="1" width="6.5" style="563" customWidth="1"/>
    <col min="2" max="2" width="16.6640625" style="563" customWidth="1"/>
    <col min="3" max="3" width="4.6640625" style="563" customWidth="1"/>
    <col min="4" max="4" width="6.5" style="563" customWidth="1"/>
    <col min="5" max="5" width="16.6640625" style="563" customWidth="1"/>
    <col min="6" max="6" width="4.6640625" style="563" customWidth="1"/>
    <col min="7" max="7" width="6.5" style="563" customWidth="1"/>
    <col min="8" max="8" width="16.6640625" style="563" customWidth="1"/>
    <col min="9" max="9" width="4.6640625" style="563" customWidth="1"/>
    <col min="10" max="10" width="6.5" style="563" customWidth="1"/>
    <col min="11" max="11" width="16.6640625" style="563" customWidth="1"/>
    <col min="12" max="16384" width="9.1640625" style="563"/>
  </cols>
  <sheetData>
    <row r="1" spans="1:11" s="1878" customFormat="1" ht="17.5" customHeight="1">
      <c r="A1" s="4584" t="str">
        <f>'Sensitivity Analysis'!C8</f>
        <v>Cave Spring Townhomes</v>
      </c>
      <c r="B1" s="4584"/>
      <c r="C1" s="4584"/>
      <c r="D1" s="4584"/>
      <c r="E1" s="4584"/>
      <c r="F1" s="4584"/>
      <c r="G1" s="4584"/>
      <c r="H1" s="4584"/>
      <c r="I1" s="4584"/>
      <c r="J1" s="4584"/>
      <c r="K1" s="4584"/>
    </row>
    <row r="2" spans="1:11" s="1878" customFormat="1" ht="17.5"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5" customHeight="1">
      <c r="A4" s="4585" t="s">
        <v>6062</v>
      </c>
      <c r="B4" s="4585"/>
      <c r="C4" s="1879"/>
      <c r="D4" s="4585" t="s">
        <v>6063</v>
      </c>
      <c r="E4" s="4585"/>
      <c r="F4" s="1880"/>
      <c r="G4" s="4585" t="s">
        <v>6064</v>
      </c>
      <c r="H4" s="4585"/>
      <c r="I4" s="1880"/>
      <c r="J4" s="4585" t="s">
        <v>6182</v>
      </c>
      <c r="K4" s="4585"/>
    </row>
    <row r="5" spans="1:11" ht="26" customHeight="1">
      <c r="A5" s="4586" t="str">
        <f>'Part II-Sources of Funds'!E40</f>
        <v>Churchill Stateside</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6">
      <c r="A7" s="1252"/>
      <c r="B7" s="1252" t="s">
        <v>2738</v>
      </c>
      <c r="D7" s="1252"/>
      <c r="E7" s="1252" t="s">
        <v>2738</v>
      </c>
      <c r="G7" s="1252"/>
      <c r="H7" s="1252" t="s">
        <v>2738</v>
      </c>
      <c r="J7" s="1252"/>
      <c r="K7" s="1252" t="s">
        <v>2738</v>
      </c>
    </row>
    <row r="8" spans="1:11" ht="16">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8343.2979101071214</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8343.2979101071214</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8343.2979101071214</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8343.2979101071214</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8343.2979101071214</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8343.2979101071214</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8343.2979101071214</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8343.2979101071214</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8343.2979101071214</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8343.2979101071214</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8343.2979101071214</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8343.2979101071214</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8343.2979101071214</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8343.2979101071214</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8343.2979101071214</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8343.2979101071214</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8343.2979101071214</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8343.2979101071214</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8343.2979101071214</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8343.2979101071214</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8343.2979101071214</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8343.2979101071214</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8343.2979101071214</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8343.2979101071214</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8343.2979101071214</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8343.2979101071214</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8343.2979101071214</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8343.2979101071214</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8343.2979101071214</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8343.2979101071214</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8343.2979101071214</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8343.2979101071214</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8343.2979101071214</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8343.2979101071214</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8343.2979101071214</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baseColWidth="10" defaultColWidth="9.1640625" defaultRowHeight="13"/>
  <cols>
    <col min="1" max="1" width="3" style="774" customWidth="1"/>
    <col min="2" max="2" width="0.83203125" style="774" customWidth="1"/>
    <col min="3" max="3" width="16.5" style="774" customWidth="1"/>
    <col min="4" max="4" width="18.1640625" style="774" customWidth="1"/>
    <col min="5" max="5" width="16.5" style="774" customWidth="1"/>
    <col min="6" max="6" width="13.1640625" style="774" customWidth="1"/>
    <col min="7" max="7" width="14.5" style="774" customWidth="1"/>
    <col min="8" max="8" width="5.83203125" style="774" customWidth="1"/>
    <col min="9" max="16384" width="9.1640625" style="774"/>
  </cols>
  <sheetData>
    <row r="1" spans="1:13" ht="12" customHeight="1">
      <c r="A1" s="4588" t="str">
        <f>CONCATENATE('Sensitivity Analysis'!E8,"  ",'Sensitivity Analysis'!C8)</f>
        <v>2022-0  Cave Spring Townhomes</v>
      </c>
      <c r="B1" s="4588"/>
      <c r="C1" s="4588"/>
      <c r="D1" s="4588"/>
      <c r="E1" s="4588"/>
      <c r="F1" s="4588"/>
      <c r="G1" s="4588"/>
      <c r="H1" s="4588"/>
    </row>
    <row r="3" spans="1:13" ht="12" customHeight="1">
      <c r="A3" s="4589" t="s">
        <v>3107</v>
      </c>
      <c r="B3" s="4589"/>
      <c r="C3" s="4589"/>
      <c r="D3" s="4589"/>
      <c r="E3" s="4589"/>
      <c r="F3" s="4589"/>
      <c r="G3" s="4589"/>
      <c r="H3" s="4589"/>
      <c r="I3" s="1302"/>
      <c r="J3" s="4591" t="s">
        <v>3459</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3464</v>
      </c>
      <c r="E11" s="792">
        <f>'Part II-Development Team'!L10</f>
        <v>0</v>
      </c>
    </row>
    <row r="12" spans="1:13" ht="12" customHeight="1">
      <c r="C12" s="774" t="s">
        <v>3460</v>
      </c>
      <c r="E12" s="1303">
        <f>'Part II-Development Team'!H10</f>
        <v>0</v>
      </c>
    </row>
    <row r="13" spans="1:13" ht="12" customHeight="1">
      <c r="C13" s="774" t="s">
        <v>3463</v>
      </c>
      <c r="E13" s="1303">
        <f>'Part II-Development Team'!Q8</f>
        <v>0</v>
      </c>
    </row>
    <row r="14" spans="1:13" ht="3" customHeight="1"/>
    <row r="15" spans="1:13" ht="12" customHeight="1">
      <c r="A15" s="774">
        <v>3</v>
      </c>
      <c r="C15" s="774" t="s">
        <v>2745</v>
      </c>
      <c r="E15" s="792" t="str">
        <f>'Sensitivity Analysis'!C8</f>
        <v>Cave Spring Townhomes</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3460</v>
      </c>
      <c r="E22" s="1303">
        <f>'Part II-Development Team'!H97</f>
        <v>0</v>
      </c>
    </row>
    <row r="23" spans="1:8" ht="12" customHeight="1">
      <c r="C23" s="774" t="s">
        <v>3463</v>
      </c>
      <c r="E23" s="1303">
        <f>'Part II-Development Team'!Q95</f>
        <v>0</v>
      </c>
    </row>
    <row r="24" spans="1:8" ht="12" customHeight="1">
      <c r="C24" s="774" t="s">
        <v>3464</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12600000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216</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3466</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52</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3465</v>
      </c>
    </row>
    <row r="57" spans="1:7" ht="3" customHeight="1">
      <c r="F57" s="783"/>
    </row>
    <row r="58" spans="1:7" ht="12" customHeight="1">
      <c r="A58" s="774">
        <v>19</v>
      </c>
      <c r="C58" s="774" t="s">
        <v>2769</v>
      </c>
      <c r="F58" s="1999">
        <f>'Part VII-Threshold Criteria'!$P$44</f>
        <v>2</v>
      </c>
      <c r="G58" s="774" t="s">
        <v>3108</v>
      </c>
    </row>
    <row r="59" spans="1:7" ht="3" customHeight="1">
      <c r="F59" s="783"/>
    </row>
    <row r="60" spans="1:7" ht="12" customHeight="1">
      <c r="A60" s="774">
        <v>20</v>
      </c>
      <c r="C60" s="774" t="s">
        <v>2770</v>
      </c>
      <c r="F60" s="1311">
        <f>'Subsidy Layering Memo'!$L$70</f>
        <v>734781.72965953674</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6166</v>
      </c>
    </row>
    <row r="64" spans="1:7" ht="12" customHeight="1">
      <c r="E64" s="1312" t="s">
        <v>3109</v>
      </c>
      <c r="F64" s="1313" t="s">
        <v>3110</v>
      </c>
      <c r="G64" s="1312" t="s">
        <v>6167</v>
      </c>
    </row>
    <row r="65" spans="1:7" ht="12" customHeight="1">
      <c r="E65" s="1312" t="s">
        <v>3109</v>
      </c>
      <c r="F65" s="1313" t="s">
        <v>3110</v>
      </c>
      <c r="G65" s="1312" t="s">
        <v>6168</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192077</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71009</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baseColWidth="10" defaultColWidth="9.1640625" defaultRowHeight="13"/>
  <cols>
    <col min="1" max="1" width="23.5" style="774" customWidth="1"/>
    <col min="2" max="2" width="11" style="774" customWidth="1"/>
    <col min="3" max="3" width="31" style="774" customWidth="1"/>
    <col min="4" max="4" width="14" style="774" customWidth="1"/>
    <col min="5" max="10" width="11.1640625" style="774" customWidth="1"/>
    <col min="11" max="16384" width="9.1640625" style="774"/>
  </cols>
  <sheetData>
    <row r="1" spans="1:13" ht="14">
      <c r="A1" s="4604" t="s">
        <v>2962</v>
      </c>
      <c r="B1" s="4604"/>
      <c r="C1" s="4604"/>
      <c r="D1" s="4604"/>
      <c r="E1" s="4604"/>
      <c r="F1" s="4604"/>
      <c r="G1" s="4604"/>
      <c r="H1" s="4604"/>
      <c r="I1" s="4604"/>
      <c r="J1" s="4604"/>
    </row>
    <row r="2" spans="1:13" ht="14">
      <c r="A2" s="4604" t="str">
        <f>'Sensitivity Analysis'!E8&amp;"  "&amp;'Sensitivity Analysis'!C8</f>
        <v>2022-0  Cave Spring Townhomes</v>
      </c>
      <c r="B2" s="4604"/>
      <c r="C2" s="4604"/>
      <c r="D2" s="4604"/>
      <c r="E2" s="4604"/>
      <c r="F2" s="4604"/>
      <c r="G2" s="4604"/>
      <c r="H2" s="4604"/>
      <c r="I2" s="4604"/>
      <c r="J2" s="4604"/>
    </row>
    <row r="3" spans="1:13" ht="6" customHeight="1">
      <c r="K3" s="4591" t="s">
        <v>3459</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2"/>
      <c r="E13" s="4592"/>
      <c r="F13" s="4592"/>
      <c r="G13" s="4592"/>
      <c r="H13" s="4592"/>
      <c r="I13" s="4592"/>
      <c r="J13" s="4592"/>
    </row>
    <row r="14" spans="1:13" ht="3" customHeight="1">
      <c r="G14" s="711"/>
      <c r="H14" s="780"/>
      <c r="I14" s="780"/>
    </row>
    <row r="15" spans="1:13" ht="12" customHeight="1">
      <c r="A15" s="774" t="s">
        <v>2786</v>
      </c>
      <c r="C15" s="782">
        <f>'Preview term'!E10</f>
        <v>0</v>
      </c>
      <c r="G15" s="711"/>
      <c r="I15" s="780"/>
    </row>
    <row r="16" spans="1:13" ht="12" customHeight="1">
      <c r="A16" s="792" t="s">
        <v>3663</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Cave Spring Townhomes</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6169</v>
      </c>
      <c r="C39" s="4605" t="str">
        <f>_xlfn.CONCAT('Part VII-Threshold Criteria'!K192," and ",'Part VII-Threshold Criteria'!K193)</f>
        <v>Building and Gazebo</v>
      </c>
      <c r="D39" s="4605"/>
      <c r="E39" s="4605"/>
      <c r="F39" s="4605"/>
      <c r="G39" s="4605"/>
      <c r="H39" s="4605"/>
      <c r="I39" s="4605"/>
      <c r="J39" s="4605"/>
    </row>
    <row r="40" spans="1:10" ht="25.5" customHeight="1">
      <c r="A40" s="787" t="s">
        <v>6170</v>
      </c>
      <c r="C40" s="460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Covered pavilion with picnic/BBQ facilities , (Select an amenity from options provided here), (Select an amenity from options provided here),   , ,   , and  </v>
      </c>
      <c r="D40" s="4605"/>
      <c r="E40" s="4605"/>
      <c r="F40" s="4605"/>
      <c r="G40" s="4605"/>
      <c r="H40" s="4605"/>
      <c r="I40" s="4605"/>
      <c r="J40" s="4605"/>
    </row>
    <row r="41" spans="1:10" ht="3" customHeight="1">
      <c r="G41" s="711"/>
      <c r="H41" s="711"/>
      <c r="I41" s="711"/>
    </row>
    <row r="42" spans="1:10" ht="25.5" customHeight="1">
      <c r="A42" s="787" t="s">
        <v>2800</v>
      </c>
      <c r="C42" s="4606" t="s">
        <v>3111</v>
      </c>
      <c r="D42" s="4606"/>
      <c r="E42" s="4606"/>
      <c r="F42" s="4606"/>
      <c r="G42" s="4606"/>
      <c r="H42" s="4606"/>
      <c r="I42" s="4606"/>
      <c r="J42" s="4606"/>
    </row>
    <row r="43" spans="1:10" ht="3" customHeight="1">
      <c r="C43" s="574"/>
      <c r="D43" s="574"/>
      <c r="E43" s="574"/>
      <c r="F43" s="574"/>
      <c r="G43" s="574"/>
      <c r="H43" s="575"/>
      <c r="I43" s="576"/>
      <c r="J43" s="575"/>
    </row>
    <row r="44" spans="1:10" ht="12" customHeight="1">
      <c r="A44" s="774" t="s">
        <v>2801</v>
      </c>
      <c r="C44" s="650" t="str">
        <f>'Part I-Project Identification'!J30</f>
        <v>Floyd</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606" t="s">
        <v>533</v>
      </c>
      <c r="D50" s="4606"/>
      <c r="E50" s="4606"/>
      <c r="F50" s="4606"/>
      <c r="G50" s="4606"/>
      <c r="H50" s="4606"/>
      <c r="I50" s="4606"/>
      <c r="J50" s="4606"/>
    </row>
    <row r="51" spans="1:10" ht="12" customHeight="1">
      <c r="C51" s="4595" t="s">
        <v>1678</v>
      </c>
      <c r="D51" s="4595"/>
      <c r="E51" s="4595"/>
      <c r="F51" s="4595"/>
      <c r="G51" s="4595"/>
      <c r="H51" s="4595"/>
      <c r="I51" s="4595"/>
      <c r="J51" s="4595"/>
    </row>
    <row r="52" spans="1:10" ht="3" customHeight="1">
      <c r="D52" s="789"/>
      <c r="E52" s="789"/>
      <c r="F52" s="789"/>
      <c r="G52" s="790"/>
      <c r="H52" s="711"/>
      <c r="I52" s="789"/>
      <c r="J52" s="789"/>
    </row>
    <row r="53" spans="1:10" ht="12" customHeight="1">
      <c r="A53" s="787" t="s">
        <v>2805</v>
      </c>
      <c r="B53" s="787"/>
      <c r="C53" s="791" t="s">
        <v>2806</v>
      </c>
      <c r="D53" s="791" t="s">
        <v>3112</v>
      </c>
      <c r="E53" s="4596"/>
      <c r="F53" s="4596"/>
      <c r="G53" s="4596"/>
      <c r="H53" s="4596"/>
      <c r="I53" s="4596"/>
      <c r="J53" s="4596"/>
    </row>
    <row r="54" spans="1:10" ht="12" customHeight="1">
      <c r="A54" s="787"/>
      <c r="B54" s="787"/>
      <c r="C54" s="787"/>
      <c r="D54" s="791" t="s">
        <v>3113</v>
      </c>
      <c r="E54" s="4597"/>
      <c r="F54" s="4597"/>
      <c r="G54" s="4597"/>
      <c r="H54" s="4597"/>
      <c r="I54" s="4597"/>
      <c r="J54" s="4597"/>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12600000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2"/>
      <c r="E69" s="4592"/>
      <c r="F69" s="4592"/>
      <c r="G69" s="4592"/>
      <c r="H69" s="4592"/>
      <c r="I69" s="4592"/>
      <c r="J69" s="4592"/>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216</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6171</v>
      </c>
      <c r="G84" s="711"/>
    </row>
    <row r="85" spans="1:9" ht="3" customHeight="1">
      <c r="G85" s="711"/>
      <c r="H85" s="711"/>
      <c r="I85" s="711"/>
    </row>
    <row r="86" spans="1:9" ht="12" customHeight="1">
      <c r="A86" s="774" t="s">
        <v>2827</v>
      </c>
      <c r="C86" s="2001">
        <f>'Subsidy Layering Memo'!L70</f>
        <v>734781.72965953674</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Churchill Stateside</v>
      </c>
      <c r="I93" s="711"/>
    </row>
    <row r="94" spans="1:9" ht="12" customHeight="1">
      <c r="C94" s="806"/>
      <c r="D94" s="711"/>
      <c r="E94" s="792" t="s">
        <v>1671</v>
      </c>
      <c r="F94" s="4598"/>
      <c r="G94" s="4598"/>
      <c r="H94" s="4598"/>
      <c r="I94" s="711"/>
    </row>
    <row r="95" spans="1:9" ht="12" customHeight="1">
      <c r="C95" s="792"/>
      <c r="D95" s="711"/>
      <c r="E95" s="792" t="s">
        <v>1841</v>
      </c>
      <c r="F95" s="4599"/>
      <c r="G95" s="4599"/>
      <c r="H95" s="4599"/>
      <c r="I95" s="711"/>
    </row>
    <row r="96" spans="1:9" ht="12" customHeight="1">
      <c r="C96" s="792"/>
      <c r="D96" s="711"/>
      <c r="E96" s="792" t="s">
        <v>1673</v>
      </c>
      <c r="F96" s="4594"/>
      <c r="G96" s="4594"/>
      <c r="H96" s="4594"/>
      <c r="I96" s="711"/>
    </row>
    <row r="97" spans="1:10" ht="12" customHeight="1">
      <c r="B97" s="783"/>
      <c r="C97" s="795" t="s">
        <v>2974</v>
      </c>
      <c r="D97" s="711" t="s">
        <v>2833</v>
      </c>
      <c r="E97" s="792" t="str">
        <f>'Part II-Sources of Funds'!E40</f>
        <v>Churchill Stateside</v>
      </c>
      <c r="I97" s="711"/>
    </row>
    <row r="98" spans="1:10" ht="12" customHeight="1">
      <c r="C98" s="792"/>
      <c r="D98" s="711"/>
      <c r="E98" s="792" t="s">
        <v>1671</v>
      </c>
      <c r="F98" s="4598"/>
      <c r="G98" s="4598"/>
      <c r="H98" s="4598"/>
      <c r="I98" s="711"/>
    </row>
    <row r="99" spans="1:10" ht="12" customHeight="1">
      <c r="C99" s="792"/>
      <c r="D99" s="711"/>
      <c r="E99" s="792" t="s">
        <v>1841</v>
      </c>
      <c r="F99" s="4599"/>
      <c r="G99" s="4599"/>
      <c r="H99" s="4599"/>
      <c r="I99" s="711"/>
    </row>
    <row r="100" spans="1:10" ht="12" customHeight="1">
      <c r="C100" s="792"/>
      <c r="D100" s="711"/>
      <c r="E100" s="792" t="s">
        <v>1673</v>
      </c>
      <c r="F100" s="4594"/>
      <c r="G100" s="4594"/>
      <c r="H100" s="4594"/>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0"/>
      <c r="E107" s="4600"/>
      <c r="F107" s="4600"/>
      <c r="G107" s="4600"/>
      <c r="H107" s="4600"/>
      <c r="I107" s="4600"/>
      <c r="J107" s="4601"/>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6172</v>
      </c>
      <c r="I114" s="711"/>
    </row>
    <row r="115" spans="1:10" ht="12" customHeight="1">
      <c r="C115" s="781" t="s">
        <v>6173</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3" t="s">
        <v>6174</v>
      </c>
      <c r="F120" s="4603"/>
      <c r="G120" s="4603"/>
      <c r="H120" s="4603"/>
      <c r="I120" s="4603"/>
      <c r="J120" s="4603"/>
    </row>
    <row r="121" spans="1:10" ht="12" customHeight="1">
      <c r="C121" s="711" t="s">
        <v>2844</v>
      </c>
      <c r="D121" s="1269"/>
      <c r="E121" s="4603"/>
      <c r="F121" s="4603"/>
      <c r="G121" s="4603"/>
      <c r="H121" s="4603"/>
      <c r="I121" s="4603"/>
      <c r="J121" s="4603"/>
    </row>
    <row r="122" spans="1:10" ht="12" customHeight="1">
      <c r="C122" s="711" t="s">
        <v>2845</v>
      </c>
      <c r="D122" s="1269"/>
      <c r="E122" s="4603"/>
      <c r="F122" s="4603"/>
      <c r="G122" s="4603"/>
      <c r="H122" s="4603"/>
      <c r="I122" s="4603"/>
      <c r="J122" s="4603"/>
    </row>
    <row r="123" spans="1:10" ht="12" customHeight="1">
      <c r="C123" s="711" t="s">
        <v>2845</v>
      </c>
      <c r="D123" s="1269"/>
      <c r="E123" s="4603"/>
      <c r="F123" s="4603"/>
      <c r="G123" s="4603"/>
      <c r="H123" s="4603"/>
      <c r="I123" s="4603"/>
      <c r="J123" s="460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668385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2"/>
      <c r="F166" s="4592"/>
      <c r="G166" s="4592"/>
      <c r="I166" s="711"/>
    </row>
    <row r="167" spans="1:13" ht="3" customHeight="1">
      <c r="E167" s="711"/>
      <c r="G167" s="711"/>
      <c r="I167" s="711"/>
    </row>
    <row r="168" spans="1:13" ht="12" customHeight="1">
      <c r="A168" s="774" t="s">
        <v>2868</v>
      </c>
      <c r="C168" s="774" t="s">
        <v>2869</v>
      </c>
      <c r="E168" s="813">
        <f>'Preview term'!F73</f>
        <v>192077</v>
      </c>
      <c r="G168" s="711"/>
      <c r="I168" s="711"/>
    </row>
    <row r="169" spans="1:13" ht="12" customHeight="1">
      <c r="C169" s="774" t="s">
        <v>3118</v>
      </c>
      <c r="E169" s="4592"/>
      <c r="F169" s="4592"/>
      <c r="G169" s="4592"/>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13000</v>
      </c>
      <c r="F174" s="780" t="s">
        <v>2873</v>
      </c>
      <c r="J174" s="810"/>
      <c r="K174" s="810"/>
      <c r="L174" s="810"/>
      <c r="M174" s="810"/>
    </row>
    <row r="175" spans="1:13">
      <c r="E175" s="813">
        <f>E174/12</f>
        <v>1083.3333333333333</v>
      </c>
      <c r="F175" s="711" t="s">
        <v>2738</v>
      </c>
    </row>
    <row r="176" spans="1:13" ht="12" customHeight="1">
      <c r="C176" s="774" t="s">
        <v>3119</v>
      </c>
      <c r="E176" s="4592"/>
      <c r="F176" s="4592"/>
      <c r="G176" s="4592"/>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2"/>
      <c r="G181" s="4592"/>
      <c r="H181" s="4592"/>
      <c r="I181" s="4592"/>
      <c r="J181" s="4592"/>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71009</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602">
        <f>'Part VII-Threshold Criteria'!E372</f>
        <v>0</v>
      </c>
      <c r="G199" s="4602"/>
      <c r="H199" s="4602"/>
      <c r="I199" s="4602"/>
      <c r="J199" s="4602"/>
    </row>
    <row r="200" spans="1:10" ht="9" customHeight="1">
      <c r="G200" s="711"/>
      <c r="H200" s="711"/>
      <c r="I200" s="711"/>
    </row>
    <row r="201" spans="1:10" ht="12" customHeight="1">
      <c r="A201" s="815" t="s">
        <v>2963</v>
      </c>
      <c r="G201" s="711"/>
      <c r="H201" s="711"/>
      <c r="I201" s="799"/>
    </row>
    <row r="202" spans="1:10" ht="25.5" hidden="1" customHeight="1">
      <c r="A202" s="4593" t="str">
        <f>'Subsidy Layering Memo'!A105</f>
        <v>Include any reserve requirements; explain any reserves far in excess of 6 month ODR, 3 mo lease up, 1 year RR, 6 mo T&amp;I standards.</v>
      </c>
      <c r="B202" s="4593"/>
      <c r="C202" s="4593"/>
      <c r="D202" s="4593"/>
      <c r="E202" s="4593"/>
      <c r="F202" s="4593"/>
      <c r="G202" s="4593"/>
      <c r="H202" s="4593"/>
      <c r="I202" s="4593"/>
      <c r="J202" s="4593"/>
    </row>
    <row r="203" spans="1:10">
      <c r="A203" s="711"/>
      <c r="G203" s="711"/>
      <c r="H203" s="711"/>
      <c r="I203" s="711"/>
    </row>
    <row r="204" spans="1:10" s="663" customFormat="1" ht="14">
      <c r="A204" s="669" t="s">
        <v>6158</v>
      </c>
    </row>
    <row r="205" spans="1:10" s="663" customFormat="1" ht="14.25" customHeight="1">
      <c r="A205" s="45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3"/>
      <c r="C205" s="4573"/>
      <c r="D205" s="4573"/>
      <c r="E205" s="4573"/>
      <c r="F205" s="4573"/>
      <c r="G205" s="4573"/>
      <c r="H205" s="4573"/>
      <c r="I205" s="4573"/>
      <c r="J205" s="4573"/>
    </row>
    <row r="206" spans="1:10" s="663" customFormat="1" ht="14.25" customHeight="1">
      <c r="A206" s="4573"/>
      <c r="B206" s="4573"/>
      <c r="C206" s="4573"/>
      <c r="D206" s="4573"/>
      <c r="E206" s="4573"/>
      <c r="F206" s="4573"/>
      <c r="G206" s="4573"/>
      <c r="H206" s="4573"/>
      <c r="I206" s="4573"/>
      <c r="J206" s="4573"/>
    </row>
    <row r="207" spans="1:10" s="663" customFormat="1" ht="6.75" customHeight="1">
      <c r="A207" s="4573"/>
      <c r="B207" s="4573"/>
      <c r="C207" s="4573"/>
      <c r="D207" s="4573"/>
      <c r="E207" s="4573"/>
      <c r="F207" s="4573"/>
      <c r="G207" s="4573"/>
      <c r="H207" s="4573"/>
      <c r="I207" s="4573"/>
      <c r="J207" s="4573"/>
    </row>
    <row r="208" spans="1:10" s="663" customFormat="1" ht="21.75" customHeight="1">
      <c r="A208" s="4573"/>
      <c r="B208" s="4573"/>
      <c r="C208" s="4573"/>
      <c r="D208" s="4573"/>
      <c r="E208" s="4573"/>
      <c r="F208" s="4573"/>
      <c r="G208" s="4573"/>
      <c r="H208" s="4573"/>
      <c r="I208" s="4573"/>
      <c r="J208" s="4573"/>
    </row>
    <row r="209" spans="1:10" s="663" customFormat="1" ht="20.25" customHeight="1">
      <c r="A209" s="4573"/>
      <c r="B209" s="4573"/>
      <c r="C209" s="4573"/>
      <c r="D209" s="4573"/>
      <c r="E209" s="4573"/>
      <c r="F209" s="4573"/>
      <c r="G209" s="4573"/>
      <c r="H209" s="4573"/>
      <c r="I209" s="4573"/>
      <c r="J209" s="4573"/>
    </row>
    <row r="210" spans="1:10" s="663" customFormat="1" ht="54.75" customHeight="1">
      <c r="A210" s="4573"/>
      <c r="B210" s="4573"/>
      <c r="C210" s="4573"/>
      <c r="D210" s="4573"/>
      <c r="E210" s="4573"/>
      <c r="F210" s="4573"/>
      <c r="G210" s="4573"/>
      <c r="H210" s="4573"/>
      <c r="I210" s="4573"/>
      <c r="J210" s="4573"/>
    </row>
    <row r="211" spans="1:10" s="663" customFormat="1" ht="0.75" hidden="1" customHeight="1">
      <c r="A211" s="4573"/>
      <c r="B211" s="4573"/>
      <c r="C211" s="4573"/>
      <c r="D211" s="4573"/>
      <c r="E211" s="4573"/>
      <c r="F211" s="4573"/>
      <c r="G211" s="4573"/>
      <c r="H211" s="4573"/>
      <c r="I211" s="4573"/>
      <c r="J211" s="4573"/>
    </row>
    <row r="212" spans="1:10" s="663" customFormat="1" ht="3.75" hidden="1" customHeight="1">
      <c r="A212" s="4573"/>
      <c r="B212" s="4573"/>
      <c r="C212" s="4573"/>
      <c r="D212" s="4573"/>
      <c r="E212" s="4573"/>
      <c r="F212" s="4573"/>
      <c r="G212" s="4573"/>
      <c r="H212" s="4573"/>
      <c r="I212" s="4573"/>
      <c r="J212" s="4573"/>
    </row>
    <row r="213" spans="1:10" s="663" customFormat="1" ht="5.25" customHeight="1">
      <c r="A213" s="1988"/>
      <c r="B213" s="1988"/>
      <c r="C213" s="1988"/>
      <c r="D213" s="1988"/>
      <c r="E213" s="1988"/>
      <c r="F213" s="1988"/>
      <c r="G213" s="1988"/>
      <c r="H213" s="1988"/>
      <c r="I213" s="1988"/>
      <c r="J213" s="1988"/>
    </row>
    <row r="214" spans="1:10" s="663" customFormat="1" ht="19.5" customHeight="1">
      <c r="A214" s="4572" t="s">
        <v>6161</v>
      </c>
      <c r="B214" s="4572"/>
      <c r="C214" s="4572"/>
      <c r="D214" s="1987"/>
      <c r="E214" s="1987"/>
      <c r="F214" s="1987"/>
      <c r="G214" s="1987"/>
      <c r="H214" s="1987"/>
      <c r="I214" s="1987"/>
      <c r="J214" s="1987"/>
    </row>
    <row r="215" spans="1:10" s="663" customFormat="1" ht="22.5" customHeight="1">
      <c r="A215" s="4551" t="str">
        <f>'Subsidy Layering Memo'!A37</f>
        <v>1)</v>
      </c>
      <c r="B215" s="4551"/>
      <c r="C215" s="4551"/>
      <c r="D215" s="4551"/>
      <c r="E215" s="4551"/>
      <c r="F215" s="4551"/>
      <c r="G215" s="4551"/>
      <c r="H215" s="4551"/>
      <c r="I215" s="4551"/>
      <c r="J215" s="4551"/>
    </row>
    <row r="216" spans="1:10" s="663" customFormat="1" ht="22.5" customHeight="1">
      <c r="A216" s="4551" t="str">
        <f>'Subsidy Layering Memo'!A38</f>
        <v>2)</v>
      </c>
      <c r="B216" s="4551"/>
      <c r="C216" s="4551"/>
      <c r="D216" s="4551"/>
      <c r="E216" s="4551"/>
      <c r="F216" s="4551"/>
      <c r="G216" s="4551"/>
      <c r="H216" s="4551"/>
      <c r="I216" s="4551"/>
      <c r="J216" s="4551"/>
    </row>
    <row r="217" spans="1:10" s="663" customFormat="1" ht="22.5" customHeight="1">
      <c r="A217" s="4551" t="str">
        <f>'Subsidy Layering Memo'!A39</f>
        <v>3)</v>
      </c>
      <c r="B217" s="4551"/>
      <c r="C217" s="4551"/>
      <c r="D217" s="4551"/>
      <c r="E217" s="4551"/>
      <c r="F217" s="4551"/>
      <c r="G217" s="4551"/>
      <c r="H217" s="4551"/>
      <c r="I217" s="4551"/>
      <c r="J217" s="4551"/>
    </row>
    <row r="218" spans="1:10" s="663" customFormat="1" ht="22.5" customHeight="1">
      <c r="A218" s="4551" t="str">
        <f>'Subsidy Layering Memo'!A40</f>
        <v>4)</v>
      </c>
      <c r="B218" s="4551"/>
      <c r="C218" s="4551"/>
      <c r="D218" s="4551"/>
      <c r="E218" s="4551"/>
      <c r="F218" s="4551"/>
      <c r="G218" s="4551"/>
      <c r="H218" s="4551"/>
      <c r="I218" s="4551"/>
      <c r="J218" s="4551"/>
    </row>
    <row r="219" spans="1:10" s="663" customFormat="1" ht="22.5" customHeight="1">
      <c r="A219" s="4551" t="str">
        <f>'Subsidy Layering Memo'!A41</f>
        <v>5)</v>
      </c>
      <c r="B219" s="4551"/>
      <c r="C219" s="4551"/>
      <c r="D219" s="4551"/>
      <c r="E219" s="4551"/>
      <c r="F219" s="4551"/>
      <c r="G219" s="4551"/>
      <c r="H219" s="4551"/>
      <c r="I219" s="4551"/>
      <c r="J219" s="4551"/>
    </row>
    <row r="220" spans="1:10" s="663" customFormat="1" ht="22.5" customHeight="1">
      <c r="A220" s="4551" t="str">
        <f>'Subsidy Layering Memo'!A42</f>
        <v>6)</v>
      </c>
      <c r="B220" s="4551"/>
      <c r="C220" s="4551"/>
      <c r="D220" s="4551"/>
      <c r="E220" s="4551"/>
      <c r="F220" s="4551"/>
      <c r="G220" s="4551"/>
      <c r="H220" s="4551"/>
      <c r="I220" s="4551"/>
      <c r="J220" s="4551"/>
    </row>
    <row r="221" spans="1:10" s="663" customFormat="1" ht="22.5" customHeight="1">
      <c r="A221" s="4551" t="str">
        <f>'Subsidy Layering Memo'!A43</f>
        <v>7)</v>
      </c>
      <c r="B221" s="4551"/>
      <c r="C221" s="4551"/>
      <c r="D221" s="4551"/>
      <c r="E221" s="4551"/>
      <c r="F221" s="4551"/>
      <c r="G221" s="4551"/>
      <c r="H221" s="4551"/>
      <c r="I221" s="4551"/>
      <c r="J221" s="4551"/>
    </row>
    <row r="222" spans="1:10" s="663" customFormat="1" ht="22.5" customHeight="1">
      <c r="A222" s="4551" t="str">
        <f>'Subsidy Layering Memo'!A44</f>
        <v>8)</v>
      </c>
      <c r="B222" s="4551"/>
      <c r="C222" s="4551"/>
      <c r="D222" s="4551"/>
      <c r="E222" s="4551"/>
      <c r="F222" s="4551"/>
      <c r="G222" s="4551"/>
      <c r="H222" s="4551"/>
      <c r="I222" s="4551"/>
      <c r="J222" s="455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baseColWidth="10" defaultColWidth="9.1640625" defaultRowHeight="14"/>
  <cols>
    <col min="1" max="1" width="5.5" style="1691" customWidth="1"/>
    <col min="2" max="2" width="6.33203125" style="1691" customWidth="1"/>
    <col min="3" max="3" width="9.83203125" style="1691" customWidth="1"/>
    <col min="4" max="4" width="10.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3203125" style="1691" customWidth="1"/>
    <col min="12" max="16384" width="9.1640625" style="1691"/>
  </cols>
  <sheetData>
    <row r="1" spans="1:11" ht="18">
      <c r="A1" s="1741" t="s">
        <v>3968</v>
      </c>
      <c r="B1" s="1741"/>
      <c r="C1" s="1741"/>
      <c r="D1" s="1741"/>
      <c r="E1" s="1741"/>
      <c r="F1" s="1741"/>
      <c r="G1" s="1741"/>
      <c r="H1" s="1741"/>
    </row>
    <row r="2" spans="1:11" ht="19" thickBot="1">
      <c r="A2" s="1741" t="s">
        <v>3969</v>
      </c>
      <c r="B2" s="1741"/>
      <c r="C2" s="1741"/>
      <c r="D2" s="1741"/>
      <c r="E2" s="1741"/>
      <c r="F2" s="1741"/>
      <c r="G2" s="1741"/>
      <c r="H2" s="1741"/>
    </row>
    <row r="3" spans="1:11" ht="15" customHeight="1" thickBot="1">
      <c r="A3" s="1692" t="s">
        <v>3970</v>
      </c>
      <c r="B3" s="1693"/>
      <c r="C3" s="1694"/>
      <c r="D3" s="4623" t="str">
        <f>'Part I-Project Identification'!F29</f>
        <v>Cave Spring Townhomes</v>
      </c>
      <c r="E3" s="4624"/>
      <c r="F3" s="4624"/>
      <c r="G3" s="4624"/>
      <c r="H3" s="4624"/>
      <c r="I3" s="4624"/>
      <c r="J3" s="4625" t="s">
        <v>6175</v>
      </c>
      <c r="K3" s="4626"/>
    </row>
    <row r="4" spans="1:11" ht="15" customHeight="1">
      <c r="A4" s="1696" t="s">
        <v>3971</v>
      </c>
      <c r="B4" s="1697"/>
      <c r="C4" s="1698"/>
      <c r="D4" s="4627" t="e">
        <f>CONCATENATE('Part I-Project Identification'!#REF!,", ",'Part I-Project Identification'!F30,", GA ",'Part I-Project Identification'!#REF!," (",'Part I-Project Identification'!J30," Co.)",)</f>
        <v>#REF!</v>
      </c>
      <c r="E4" s="4628"/>
      <c r="F4" s="4628"/>
      <c r="G4" s="4628"/>
      <c r="H4" s="4628"/>
      <c r="I4" s="4628"/>
      <c r="J4" s="4629" t="s">
        <v>4012</v>
      </c>
      <c r="K4" s="4630"/>
    </row>
    <row r="5" spans="1:11" ht="15" customHeight="1" thickBot="1">
      <c r="A5" s="1699" t="s">
        <v>3972</v>
      </c>
      <c r="B5" s="1700"/>
      <c r="C5" s="1701"/>
      <c r="D5" s="4633"/>
      <c r="E5" s="4634"/>
      <c r="F5" s="4634"/>
      <c r="G5" s="4634"/>
      <c r="H5" s="4634"/>
      <c r="I5" s="4634"/>
      <c r="J5" s="4631"/>
      <c r="K5" s="4632"/>
    </row>
    <row r="6" spans="1:11" ht="9" customHeight="1" thickBot="1">
      <c r="E6" s="1691"/>
    </row>
    <row r="7" spans="1:11">
      <c r="A7" s="4615" t="s">
        <v>3974</v>
      </c>
      <c r="B7" s="4616"/>
      <c r="C7" s="4616"/>
      <c r="D7" s="4616"/>
      <c r="E7" s="4616"/>
      <c r="F7" s="4616"/>
      <c r="G7" s="4616"/>
      <c r="H7" s="4616"/>
      <c r="I7" s="4616"/>
      <c r="J7" s="4616"/>
      <c r="K7" s="4617"/>
    </row>
    <row r="8" spans="1:11" ht="14.25" customHeight="1">
      <c r="A8" s="1717"/>
      <c r="B8" s="1717"/>
      <c r="C8" s="2011">
        <v>1</v>
      </c>
      <c r="D8" s="1718" t="s">
        <v>3975</v>
      </c>
      <c r="E8" s="1718"/>
      <c r="F8" s="1718"/>
      <c r="G8" s="1718"/>
      <c r="H8" s="1718"/>
      <c r="I8" s="1718"/>
      <c r="J8" s="4613"/>
      <c r="K8" s="4614"/>
    </row>
    <row r="9" spans="1:11" ht="7.25" customHeight="1">
      <c r="A9" s="4618"/>
      <c r="B9" s="4618"/>
      <c r="C9" s="4618"/>
      <c r="D9" s="4619"/>
      <c r="E9" s="4619"/>
      <c r="F9" s="4619"/>
      <c r="G9" s="4619"/>
      <c r="H9" s="4619"/>
      <c r="I9" s="4619"/>
      <c r="J9" s="4619"/>
      <c r="K9" s="1719"/>
    </row>
    <row r="10" spans="1:11">
      <c r="A10" s="4620" t="s">
        <v>3976</v>
      </c>
      <c r="B10" s="4621"/>
      <c r="C10" s="4621"/>
      <c r="D10" s="4621"/>
      <c r="E10" s="4621"/>
      <c r="F10" s="4621"/>
      <c r="G10" s="4621"/>
      <c r="H10" s="4621"/>
      <c r="I10" s="4621"/>
      <c r="J10" s="4621"/>
      <c r="K10" s="4622"/>
    </row>
    <row r="11" spans="1:11" ht="14.25" customHeight="1">
      <c r="A11" s="1717"/>
      <c r="B11" s="1717"/>
      <c r="C11" s="2011">
        <v>2</v>
      </c>
      <c r="D11" s="1718" t="s">
        <v>3977</v>
      </c>
      <c r="E11" s="1720"/>
      <c r="F11" s="1720"/>
      <c r="G11" s="1720"/>
      <c r="H11" s="1720"/>
      <c r="I11" s="1720"/>
      <c r="J11" s="4611"/>
      <c r="K11" s="4612"/>
    </row>
    <row r="12" spans="1:11" ht="7.25" customHeight="1">
      <c r="A12" s="4618"/>
      <c r="B12" s="4618"/>
      <c r="C12" s="4618"/>
      <c r="D12" s="4619"/>
      <c r="E12" s="4619"/>
      <c r="F12" s="4619"/>
      <c r="G12" s="4619"/>
      <c r="H12" s="4619"/>
      <c r="I12" s="4619"/>
      <c r="J12" s="4619"/>
      <c r="K12" s="1993"/>
    </row>
    <row r="13" spans="1:11">
      <c r="A13" s="4620" t="s">
        <v>3978</v>
      </c>
      <c r="B13" s="4621"/>
      <c r="C13" s="4621"/>
      <c r="D13" s="4621"/>
      <c r="E13" s="4621"/>
      <c r="F13" s="4621"/>
      <c r="G13" s="4621"/>
      <c r="H13" s="4621"/>
      <c r="I13" s="4621"/>
      <c r="J13" s="4621"/>
      <c r="K13" s="4622"/>
    </row>
    <row r="14" spans="1:11" ht="14.25" customHeight="1">
      <c r="A14" s="1697"/>
      <c r="B14" s="1697"/>
      <c r="C14" s="2012">
        <v>3</v>
      </c>
      <c r="D14" s="1722" t="s">
        <v>3979</v>
      </c>
      <c r="E14" s="1722"/>
      <c r="F14" s="1722"/>
      <c r="G14" s="1722"/>
      <c r="H14" s="1722"/>
      <c r="I14" s="1722"/>
      <c r="J14" s="4609"/>
      <c r="K14" s="4610"/>
    </row>
    <row r="15" spans="1:11" ht="14.25" customHeight="1">
      <c r="A15" s="1697"/>
      <c r="B15" s="1697"/>
      <c r="C15" s="2013">
        <v>4</v>
      </c>
      <c r="D15" s="1697" t="s">
        <v>3980</v>
      </c>
      <c r="E15" s="1697"/>
      <c r="F15" s="1697"/>
      <c r="G15" s="1697"/>
      <c r="H15" s="1697"/>
      <c r="I15" s="1697"/>
      <c r="J15" s="4607"/>
      <c r="K15" s="4608"/>
    </row>
    <row r="16" spans="1:11" ht="14.25" customHeight="1">
      <c r="A16" s="1697"/>
      <c r="B16" s="1697"/>
      <c r="C16" s="2013">
        <v>5</v>
      </c>
      <c r="D16" s="1697" t="s">
        <v>3981</v>
      </c>
      <c r="E16" s="1697"/>
      <c r="F16" s="1697"/>
      <c r="G16" s="1697"/>
      <c r="H16" s="1697"/>
      <c r="I16" s="1697"/>
      <c r="J16" s="4607"/>
      <c r="K16" s="4608"/>
    </row>
    <row r="17" spans="1:13" ht="14.25" customHeight="1">
      <c r="A17" s="1717"/>
      <c r="B17" s="1717"/>
      <c r="C17" s="2014">
        <v>6</v>
      </c>
      <c r="D17" s="1700" t="s">
        <v>3982</v>
      </c>
      <c r="E17" s="1700"/>
      <c r="F17" s="1700"/>
      <c r="G17" s="1700"/>
      <c r="H17" s="1700"/>
      <c r="I17" s="1700"/>
      <c r="J17" s="4688"/>
      <c r="K17" s="4689"/>
    </row>
    <row r="18" spans="1:13" ht="7.25" customHeight="1">
      <c r="A18" s="4618"/>
      <c r="B18" s="4618"/>
      <c r="C18" s="4618"/>
      <c r="D18" s="4619"/>
      <c r="E18" s="4619"/>
      <c r="F18" s="4619"/>
      <c r="G18" s="4619"/>
      <c r="H18" s="4619"/>
      <c r="I18" s="4619"/>
      <c r="J18" s="4619"/>
      <c r="K18" s="1993"/>
    </row>
    <row r="19" spans="1:13" ht="14.25" customHeight="1">
      <c r="A19" s="1697"/>
      <c r="B19" s="1697"/>
      <c r="C19" s="2012">
        <v>7</v>
      </c>
      <c r="D19" s="1722" t="s">
        <v>3983</v>
      </c>
      <c r="E19" s="1722"/>
      <c r="F19" s="1722"/>
      <c r="G19" s="1722"/>
      <c r="H19" s="1722"/>
      <c r="I19" s="1722"/>
      <c r="J19" s="4686" t="str">
        <f>IF(J17="No",J14-J15,IF(J17="Yes",J14-J15-J16,"Error"))</f>
        <v>Error</v>
      </c>
      <c r="K19" s="4687"/>
    </row>
    <row r="20" spans="1:13" ht="14.25" customHeight="1">
      <c r="A20" s="1717"/>
      <c r="B20" s="1717"/>
      <c r="C20" s="2014">
        <v>8</v>
      </c>
      <c r="D20" s="1700" t="s">
        <v>3984</v>
      </c>
      <c r="E20" s="1700"/>
      <c r="F20" s="1700"/>
      <c r="G20" s="1700"/>
      <c r="H20" s="1700"/>
      <c r="I20" s="1700"/>
      <c r="J20" s="4684" t="e">
        <f>ROUNDDOWN(J19/J8,2)</f>
        <v>#VALUE!</v>
      </c>
      <c r="K20" s="4685"/>
    </row>
    <row r="21" spans="1:13" ht="7.25" customHeight="1">
      <c r="A21" s="4618"/>
      <c r="B21" s="4618"/>
      <c r="C21" s="4618"/>
      <c r="D21" s="4619"/>
      <c r="E21" s="4619"/>
      <c r="F21" s="4619"/>
      <c r="G21" s="4619"/>
      <c r="H21" s="4619"/>
      <c r="I21" s="4619"/>
      <c r="J21" s="4619"/>
      <c r="K21" s="1993"/>
    </row>
    <row r="22" spans="1:13" ht="14.25" customHeight="1" thickBot="1">
      <c r="A22" s="1697"/>
      <c r="B22" s="1697"/>
      <c r="C22" s="2011">
        <v>9</v>
      </c>
      <c r="D22" s="1723" t="s">
        <v>3985</v>
      </c>
      <c r="E22" s="1723"/>
      <c r="F22" s="1723"/>
      <c r="G22" s="1723"/>
      <c r="H22" s="1723"/>
      <c r="I22" s="1723"/>
      <c r="J22" s="4682" t="e">
        <f>J11/J19</f>
        <v>#VALUE!</v>
      </c>
      <c r="K22" s="4683"/>
    </row>
    <row r="23" spans="1:13" ht="9" customHeight="1">
      <c r="A23" s="1989"/>
      <c r="C23" s="1707"/>
      <c r="D23" s="1707"/>
      <c r="E23" s="1707"/>
      <c r="F23" s="1707"/>
      <c r="G23" s="1707"/>
      <c r="H23" s="1707"/>
      <c r="I23" s="1707"/>
      <c r="J23" s="1707"/>
      <c r="K23" s="1708"/>
    </row>
    <row r="24" spans="1:13" ht="18">
      <c r="A24" s="1709" t="s">
        <v>3986</v>
      </c>
      <c r="C24" s="1707"/>
      <c r="D24" s="1707"/>
      <c r="E24" s="1707"/>
      <c r="F24" s="1707"/>
      <c r="G24" s="1707"/>
      <c r="H24" s="1707"/>
      <c r="I24" s="1707"/>
      <c r="J24" s="1707"/>
      <c r="K24" s="1708"/>
    </row>
    <row r="25" spans="1:13" ht="14.25" customHeight="1">
      <c r="A25" s="1767" t="s">
        <v>4017</v>
      </c>
      <c r="C25" s="1707"/>
      <c r="D25" s="1707"/>
      <c r="E25" s="1707"/>
      <c r="F25" s="1707"/>
      <c r="G25" s="1707"/>
      <c r="H25" s="1707"/>
      <c r="I25" s="1707"/>
      <c r="J25" s="1707"/>
      <c r="K25" s="1708"/>
    </row>
    <row r="26" spans="1:13" ht="14.25" customHeight="1">
      <c r="A26" s="1767" t="s">
        <v>4018</v>
      </c>
      <c r="C26" s="1707"/>
      <c r="D26" s="1707"/>
      <c r="E26" s="1707"/>
      <c r="F26" s="1707"/>
      <c r="G26" s="1707"/>
      <c r="H26" s="1707"/>
      <c r="I26" s="1707"/>
      <c r="J26" s="1707"/>
      <c r="K26" s="1708"/>
    </row>
    <row r="27" spans="1:13" ht="14.25" customHeight="1">
      <c r="A27" s="1767" t="s">
        <v>4019</v>
      </c>
      <c r="C27" s="1707"/>
      <c r="D27" s="1707"/>
      <c r="E27" s="1707"/>
      <c r="F27" s="1707"/>
      <c r="G27" s="1707"/>
      <c r="H27" s="1707"/>
      <c r="I27" s="1707"/>
      <c r="J27" s="1707"/>
      <c r="K27" s="1708"/>
    </row>
    <row r="28" spans="1:13" ht="14.25" customHeight="1">
      <c r="A28" s="1767" t="s">
        <v>4020</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4016</v>
      </c>
      <c r="B30" s="4641"/>
      <c r="C30" s="4641"/>
      <c r="D30" s="4641"/>
      <c r="E30" s="4641"/>
      <c r="F30" s="4641"/>
      <c r="G30" s="4641"/>
      <c r="H30" s="4641"/>
      <c r="I30" s="4641"/>
      <c r="J30" s="4641"/>
      <c r="K30" s="4642"/>
    </row>
    <row r="31" spans="1:13">
      <c r="A31" s="1715"/>
      <c r="B31" s="4643" t="s">
        <v>6175</v>
      </c>
      <c r="C31" s="4643"/>
      <c r="D31" s="4643"/>
      <c r="E31" s="4643"/>
      <c r="F31" s="4643"/>
      <c r="G31" s="4644" t="s">
        <v>3987</v>
      </c>
      <c r="H31" s="4645"/>
      <c r="I31" s="4645"/>
      <c r="J31" s="4645"/>
      <c r="K31" s="4646"/>
    </row>
    <row r="32" spans="1:13" ht="56.25" customHeight="1">
      <c r="A32" s="1992"/>
      <c r="B32" s="1735" t="s">
        <v>4015</v>
      </c>
      <c r="C32" s="1736" t="s">
        <v>4011</v>
      </c>
      <c r="D32" s="1736" t="s">
        <v>4010</v>
      </c>
      <c r="E32" s="4647" t="s">
        <v>6100</v>
      </c>
      <c r="F32" s="4648"/>
      <c r="G32" s="1737" t="s">
        <v>3988</v>
      </c>
      <c r="H32" s="1737" t="s">
        <v>3989</v>
      </c>
      <c r="J32" s="1737" t="s">
        <v>3990</v>
      </c>
      <c r="K32" s="1737" t="s">
        <v>3991</v>
      </c>
      <c r="L32" s="4635" t="s">
        <v>3992</v>
      </c>
      <c r="M32" s="4635"/>
    </row>
    <row r="33" spans="2:14" ht="12.75" customHeight="1">
      <c r="B33" s="2002"/>
      <c r="C33" s="2003"/>
      <c r="D33" s="2004"/>
      <c r="E33" s="4636"/>
      <c r="F33" s="4637"/>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2005"/>
      <c r="C34" s="2006"/>
      <c r="D34" s="2007"/>
      <c r="E34" s="4638"/>
      <c r="F34" s="4639"/>
      <c r="G34" s="1761" t="e">
        <f t="shared" si="0"/>
        <v>#VALUE!</v>
      </c>
      <c r="H34" s="1762" t="e">
        <f t="shared" ref="H34:H51" si="3">ROUNDUP(G34,0)</f>
        <v>#VALUE!</v>
      </c>
      <c r="I34" s="1759"/>
      <c r="J34" s="1763" t="e">
        <f t="shared" si="1"/>
        <v>#VALUE!</v>
      </c>
      <c r="K34" s="1763" t="e">
        <f t="shared" si="2"/>
        <v>#VALUE!</v>
      </c>
      <c r="L34" s="4635"/>
      <c r="M34" s="4635"/>
    </row>
    <row r="35" spans="2:14" ht="12.75" customHeight="1">
      <c r="B35" s="2005"/>
      <c r="C35" s="2006"/>
      <c r="D35" s="2007"/>
      <c r="E35" s="4638"/>
      <c r="F35" s="4639"/>
      <c r="G35" s="1761" t="e">
        <f t="shared" si="0"/>
        <v>#VALUE!</v>
      </c>
      <c r="H35" s="1762" t="e">
        <f t="shared" si="3"/>
        <v>#VALUE!</v>
      </c>
      <c r="I35" s="1759"/>
      <c r="J35" s="1763" t="e">
        <f t="shared" si="1"/>
        <v>#VALUE!</v>
      </c>
      <c r="K35" s="1763" t="e">
        <f t="shared" si="2"/>
        <v>#VALUE!</v>
      </c>
      <c r="L35" s="4635"/>
      <c r="M35" s="4635"/>
    </row>
    <row r="36" spans="2:14" ht="12.75" customHeight="1">
      <c r="B36" s="2005"/>
      <c r="C36" s="2006"/>
      <c r="D36" s="2007"/>
      <c r="E36" s="4638"/>
      <c r="F36" s="4639"/>
      <c r="G36" s="1761" t="e">
        <f t="shared" si="0"/>
        <v>#VALUE!</v>
      </c>
      <c r="H36" s="1762" t="e">
        <f t="shared" si="3"/>
        <v>#VALUE!</v>
      </c>
      <c r="I36" s="1759"/>
      <c r="J36" s="1763" t="e">
        <f t="shared" si="1"/>
        <v>#VALUE!</v>
      </c>
      <c r="K36" s="1763" t="e">
        <f t="shared" si="2"/>
        <v>#VALUE!</v>
      </c>
      <c r="L36" s="4635"/>
      <c r="M36" s="4635"/>
      <c r="N36" s="1710"/>
    </row>
    <row r="37" spans="2:14" ht="12.75" customHeight="1">
      <c r="B37" s="2005"/>
      <c r="C37" s="2006"/>
      <c r="D37" s="2007"/>
      <c r="E37" s="4638"/>
      <c r="F37" s="4639"/>
      <c r="G37" s="1761" t="e">
        <f t="shared" si="0"/>
        <v>#VALUE!</v>
      </c>
      <c r="H37" s="1762" t="e">
        <f t="shared" si="3"/>
        <v>#VALUE!</v>
      </c>
      <c r="I37" s="1759"/>
      <c r="J37" s="1763" t="e">
        <f t="shared" si="1"/>
        <v>#VALUE!</v>
      </c>
      <c r="K37" s="1763" t="e">
        <f t="shared" si="2"/>
        <v>#VALUE!</v>
      </c>
      <c r="L37" s="4635"/>
      <c r="M37" s="4635"/>
    </row>
    <row r="38" spans="2:14" ht="12.75" customHeight="1">
      <c r="B38" s="2005"/>
      <c r="C38" s="2006"/>
      <c r="D38" s="2007"/>
      <c r="E38" s="4638"/>
      <c r="F38" s="4639"/>
      <c r="G38" s="1761" t="e">
        <f t="shared" si="0"/>
        <v>#VALUE!</v>
      </c>
      <c r="H38" s="1762" t="e">
        <f t="shared" si="3"/>
        <v>#VALUE!</v>
      </c>
      <c r="I38" s="1759"/>
      <c r="J38" s="1763" t="e">
        <f t="shared" si="1"/>
        <v>#VALUE!</v>
      </c>
      <c r="K38" s="1763" t="e">
        <f t="shared" si="2"/>
        <v>#VALUE!</v>
      </c>
      <c r="L38" s="4635"/>
      <c r="M38" s="4635"/>
    </row>
    <row r="39" spans="2:14" ht="12.75" customHeight="1">
      <c r="B39" s="2005"/>
      <c r="C39" s="2006"/>
      <c r="D39" s="2007"/>
      <c r="E39" s="4638"/>
      <c r="F39" s="4639"/>
      <c r="G39" s="1761" t="e">
        <f t="shared" si="0"/>
        <v>#VALUE!</v>
      </c>
      <c r="H39" s="1762" t="e">
        <f t="shared" si="3"/>
        <v>#VALUE!</v>
      </c>
      <c r="I39" s="1759"/>
      <c r="J39" s="1763" t="e">
        <f t="shared" si="1"/>
        <v>#VALUE!</v>
      </c>
      <c r="K39" s="1763" t="e">
        <f t="shared" si="2"/>
        <v>#VALUE!</v>
      </c>
      <c r="L39" s="4635"/>
      <c r="M39" s="4635"/>
    </row>
    <row r="40" spans="2:14" ht="12.75" customHeight="1">
      <c r="B40" s="2005"/>
      <c r="C40" s="2006"/>
      <c r="D40" s="2007"/>
      <c r="E40" s="4638"/>
      <c r="F40" s="4639"/>
      <c r="G40" s="1761" t="e">
        <f t="shared" si="0"/>
        <v>#VALUE!</v>
      </c>
      <c r="H40" s="1762" t="e">
        <f t="shared" si="3"/>
        <v>#VALUE!</v>
      </c>
      <c r="I40" s="1759"/>
      <c r="J40" s="1763" t="e">
        <f t="shared" si="1"/>
        <v>#VALUE!</v>
      </c>
      <c r="K40" s="1763" t="e">
        <f t="shared" si="2"/>
        <v>#VALUE!</v>
      </c>
      <c r="L40" s="4635"/>
      <c r="M40" s="4635"/>
    </row>
    <row r="41" spans="2:14" ht="12.75" customHeight="1">
      <c r="B41" s="2005"/>
      <c r="C41" s="2006"/>
      <c r="D41" s="2007"/>
      <c r="E41" s="4638"/>
      <c r="F41" s="4639"/>
      <c r="G41" s="1761" t="e">
        <f t="shared" si="0"/>
        <v>#VALUE!</v>
      </c>
      <c r="H41" s="1762" t="e">
        <f t="shared" si="3"/>
        <v>#VALUE!</v>
      </c>
      <c r="I41" s="1759"/>
      <c r="J41" s="1763" t="e">
        <f t="shared" si="1"/>
        <v>#VALUE!</v>
      </c>
      <c r="K41" s="1763" t="e">
        <f t="shared" si="2"/>
        <v>#VALUE!</v>
      </c>
      <c r="L41" s="4635"/>
      <c r="M41" s="4635"/>
    </row>
    <row r="42" spans="2:14" ht="12.75" customHeight="1">
      <c r="B42" s="2005"/>
      <c r="C42" s="2006"/>
      <c r="D42" s="2007"/>
      <c r="E42" s="4638"/>
      <c r="F42" s="4639"/>
      <c r="G42" s="1761" t="e">
        <f t="shared" si="0"/>
        <v>#VALUE!</v>
      </c>
      <c r="H42" s="1762" t="e">
        <f t="shared" si="3"/>
        <v>#VALUE!</v>
      </c>
      <c r="I42" s="1759"/>
      <c r="J42" s="1763" t="e">
        <f t="shared" si="1"/>
        <v>#VALUE!</v>
      </c>
      <c r="K42" s="1763" t="e">
        <f t="shared" si="2"/>
        <v>#VALUE!</v>
      </c>
      <c r="L42" s="4635"/>
      <c r="M42" s="4635"/>
    </row>
    <row r="43" spans="2:14" ht="12.75" customHeight="1">
      <c r="B43" s="2005"/>
      <c r="C43" s="2006"/>
      <c r="D43" s="2007"/>
      <c r="E43" s="4638"/>
      <c r="F43" s="4639"/>
      <c r="G43" s="1761" t="e">
        <f t="shared" si="0"/>
        <v>#VALUE!</v>
      </c>
      <c r="H43" s="1762" t="e">
        <f t="shared" si="3"/>
        <v>#VALUE!</v>
      </c>
      <c r="I43" s="1759"/>
      <c r="J43" s="1763" t="e">
        <f t="shared" si="1"/>
        <v>#VALUE!</v>
      </c>
      <c r="K43" s="1763" t="e">
        <f t="shared" si="2"/>
        <v>#VALUE!</v>
      </c>
      <c r="L43" s="4635"/>
      <c r="M43" s="4635"/>
    </row>
    <row r="44" spans="2:14" ht="12.75" customHeight="1">
      <c r="B44" s="2005"/>
      <c r="C44" s="2006"/>
      <c r="D44" s="2007"/>
      <c r="E44" s="4638"/>
      <c r="F44" s="4639"/>
      <c r="G44" s="1761" t="e">
        <f t="shared" si="0"/>
        <v>#VALUE!</v>
      </c>
      <c r="H44" s="1762" t="e">
        <f t="shared" si="3"/>
        <v>#VALUE!</v>
      </c>
      <c r="I44" s="1759"/>
      <c r="J44" s="1763" t="e">
        <f t="shared" si="1"/>
        <v>#VALUE!</v>
      </c>
      <c r="K44" s="1763" t="e">
        <f t="shared" si="2"/>
        <v>#VALUE!</v>
      </c>
      <c r="L44" s="4635"/>
      <c r="M44" s="4635"/>
    </row>
    <row r="45" spans="2:14" ht="12.75" customHeight="1">
      <c r="B45" s="2005"/>
      <c r="C45" s="2006"/>
      <c r="D45" s="2007"/>
      <c r="E45" s="4638"/>
      <c r="F45" s="4639"/>
      <c r="G45" s="1761" t="e">
        <f t="shared" si="0"/>
        <v>#VALUE!</v>
      </c>
      <c r="H45" s="1762" t="e">
        <f t="shared" si="3"/>
        <v>#VALUE!</v>
      </c>
      <c r="I45" s="1759"/>
      <c r="J45" s="1763" t="e">
        <f t="shared" si="1"/>
        <v>#VALUE!</v>
      </c>
      <c r="K45" s="1763" t="e">
        <f t="shared" si="2"/>
        <v>#VALUE!</v>
      </c>
      <c r="L45" s="4635"/>
      <c r="M45" s="4635"/>
    </row>
    <row r="46" spans="2:14" ht="12.75" customHeight="1">
      <c r="B46" s="2005"/>
      <c r="C46" s="2006"/>
      <c r="D46" s="2007"/>
      <c r="E46" s="4638"/>
      <c r="F46" s="4639"/>
      <c r="G46" s="1761" t="e">
        <f t="shared" si="0"/>
        <v>#VALUE!</v>
      </c>
      <c r="H46" s="1762" t="e">
        <f t="shared" si="3"/>
        <v>#VALUE!</v>
      </c>
      <c r="I46" s="1759"/>
      <c r="J46" s="1763" t="e">
        <f t="shared" si="1"/>
        <v>#VALUE!</v>
      </c>
      <c r="K46" s="1763" t="e">
        <f t="shared" si="2"/>
        <v>#VALUE!</v>
      </c>
      <c r="L46" s="4635"/>
      <c r="M46" s="4635"/>
    </row>
    <row r="47" spans="2:14" ht="12.75" customHeight="1">
      <c r="B47" s="2005"/>
      <c r="C47" s="2006"/>
      <c r="D47" s="2007"/>
      <c r="E47" s="4638"/>
      <c r="F47" s="4639"/>
      <c r="G47" s="1761" t="e">
        <f t="shared" si="0"/>
        <v>#VALUE!</v>
      </c>
      <c r="H47" s="1762" t="e">
        <f t="shared" si="3"/>
        <v>#VALUE!</v>
      </c>
      <c r="I47" s="1759"/>
      <c r="J47" s="1763" t="e">
        <f t="shared" si="1"/>
        <v>#VALUE!</v>
      </c>
      <c r="K47" s="1763" t="e">
        <f t="shared" si="2"/>
        <v>#VALUE!</v>
      </c>
      <c r="L47" s="4635"/>
      <c r="M47" s="4635"/>
    </row>
    <row r="48" spans="2:14" ht="12.75" customHeight="1">
      <c r="B48" s="2005"/>
      <c r="C48" s="2006"/>
      <c r="D48" s="2007"/>
      <c r="E48" s="4638"/>
      <c r="F48" s="4639"/>
      <c r="G48" s="1761" t="e">
        <f t="shared" si="0"/>
        <v>#VALUE!</v>
      </c>
      <c r="H48" s="1762" t="e">
        <f t="shared" si="3"/>
        <v>#VALUE!</v>
      </c>
      <c r="I48" s="1759"/>
      <c r="J48" s="1763" t="e">
        <f t="shared" si="1"/>
        <v>#VALUE!</v>
      </c>
      <c r="K48" s="1763" t="e">
        <f t="shared" si="2"/>
        <v>#VALUE!</v>
      </c>
      <c r="L48" s="4635"/>
      <c r="M48" s="4635"/>
    </row>
    <row r="49" spans="1:13" ht="12.75" customHeight="1">
      <c r="B49" s="2005"/>
      <c r="C49" s="2006"/>
      <c r="D49" s="2007"/>
      <c r="E49" s="4638"/>
      <c r="F49" s="4639"/>
      <c r="G49" s="1761" t="e">
        <f t="shared" si="0"/>
        <v>#VALUE!</v>
      </c>
      <c r="H49" s="1762" t="e">
        <f t="shared" si="3"/>
        <v>#VALUE!</v>
      </c>
      <c r="I49" s="1759"/>
      <c r="J49" s="1763" t="e">
        <f t="shared" si="1"/>
        <v>#VALUE!</v>
      </c>
      <c r="K49" s="1763" t="e">
        <f t="shared" si="2"/>
        <v>#VALUE!</v>
      </c>
      <c r="L49" s="4635"/>
      <c r="M49" s="4635"/>
    </row>
    <row r="50" spans="1:13" ht="12.75" customHeight="1">
      <c r="B50" s="2005"/>
      <c r="C50" s="2006"/>
      <c r="D50" s="2007"/>
      <c r="E50" s="4638"/>
      <c r="F50" s="4639"/>
      <c r="G50" s="1761" t="e">
        <f t="shared" si="0"/>
        <v>#VALUE!</v>
      </c>
      <c r="H50" s="1762" t="e">
        <f t="shared" si="3"/>
        <v>#VALUE!</v>
      </c>
      <c r="I50" s="1759"/>
      <c r="J50" s="1763" t="e">
        <f t="shared" si="1"/>
        <v>#VALUE!</v>
      </c>
      <c r="K50" s="1763" t="e">
        <f t="shared" si="2"/>
        <v>#VALUE!</v>
      </c>
      <c r="L50" s="4635"/>
      <c r="M50" s="4635"/>
    </row>
    <row r="51" spans="1:13" ht="12.75" customHeight="1" thickBot="1">
      <c r="B51" s="2008"/>
      <c r="C51" s="2009"/>
      <c r="D51" s="2010"/>
      <c r="E51" s="4652"/>
      <c r="F51" s="4653"/>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3993</v>
      </c>
      <c r="H52" s="1739" t="e">
        <f>SUM(H33:H51)</f>
        <v>#VALUE!</v>
      </c>
      <c r="I52" s="1722"/>
      <c r="J52" s="1728" t="s">
        <v>3994</v>
      </c>
      <c r="K52" s="1724" t="e">
        <f>SUM(K33:K51)</f>
        <v>#VALUE!</v>
      </c>
      <c r="L52" s="4635"/>
      <c r="M52" s="4635"/>
    </row>
    <row r="53" spans="1:13" ht="15" customHeight="1">
      <c r="A53" s="1715"/>
      <c r="B53" s="1990"/>
      <c r="C53" s="4654" t="s">
        <v>3995</v>
      </c>
      <c r="D53" s="4654"/>
      <c r="E53" s="4654"/>
      <c r="F53" s="4654"/>
      <c r="G53" s="4654"/>
      <c r="H53" s="4654"/>
      <c r="I53" s="4654"/>
      <c r="J53" s="4655"/>
      <c r="K53" s="1730" t="str">
        <f>IF(J17="no",0,IF(J17="yes",J16,"Error"))</f>
        <v>Error</v>
      </c>
      <c r="L53" s="4635"/>
      <c r="M53" s="4635"/>
    </row>
    <row r="54" spans="1:13" ht="15" customHeight="1" thickBot="1">
      <c r="A54" s="1715"/>
      <c r="B54" s="1990"/>
      <c r="C54" s="4656" t="s">
        <v>3996</v>
      </c>
      <c r="D54" s="4656"/>
      <c r="E54" s="4656"/>
      <c r="F54" s="4656"/>
      <c r="G54" s="4656"/>
      <c r="H54" s="4656"/>
      <c r="I54" s="4656"/>
      <c r="J54" s="4657"/>
      <c r="K54" s="1742" t="e">
        <f>K52+K53</f>
        <v>#VALUE!</v>
      </c>
    </row>
    <row r="55" spans="1:13" ht="8" customHeight="1">
      <c r="A55" s="4658"/>
      <c r="B55" s="4659"/>
      <c r="C55" s="4659"/>
      <c r="D55" s="4659"/>
      <c r="E55" s="4659"/>
      <c r="F55" s="4659"/>
      <c r="G55" s="4659"/>
      <c r="H55" s="4659"/>
      <c r="I55" s="4659"/>
      <c r="J55" s="4659"/>
      <c r="K55" s="1756"/>
    </row>
    <row r="56" spans="1:13" ht="15" customHeight="1">
      <c r="A56" s="4649" t="s">
        <v>3997</v>
      </c>
      <c r="B56" s="4650"/>
      <c r="C56" s="4650"/>
      <c r="D56" s="4650"/>
      <c r="E56" s="4650"/>
      <c r="F56" s="4650"/>
      <c r="G56" s="4650"/>
      <c r="H56" s="4650"/>
      <c r="I56" s="4650"/>
      <c r="J56" s="4650"/>
      <c r="K56" s="4651"/>
    </row>
    <row r="57" spans="1:13" ht="48" customHeight="1">
      <c r="A57" s="1712"/>
      <c r="B57" s="1703"/>
      <c r="C57" s="1714" t="s">
        <v>3998</v>
      </c>
      <c r="D57" s="1890" t="s">
        <v>6065</v>
      </c>
      <c r="E57" s="4660" t="s">
        <v>4014</v>
      </c>
      <c r="F57" s="4661"/>
      <c r="G57" s="4662" t="s">
        <v>3999</v>
      </c>
      <c r="H57" s="4663"/>
      <c r="I57" s="4660" t="s">
        <v>4013</v>
      </c>
      <c r="J57" s="4661"/>
      <c r="K57" s="4664"/>
    </row>
    <row r="58" spans="1:13" ht="15" customHeight="1">
      <c r="A58" s="1991"/>
      <c r="B58" s="1887"/>
      <c r="C58" s="1725">
        <f>SUMIF(C33:C51, "0", H33:H51)</f>
        <v>0</v>
      </c>
      <c r="D58" s="1891">
        <f t="shared" ref="D58:D63" si="4">ROUNDUP(C58*1.1,0)</f>
        <v>0</v>
      </c>
      <c r="E58" s="4666" t="s">
        <v>4000</v>
      </c>
      <c r="F58" s="4667"/>
      <c r="G58" s="4668">
        <v>153314.4</v>
      </c>
      <c r="H58" s="4669"/>
      <c r="I58" s="4670">
        <f t="shared" ref="I58:I63" si="5">D58*G58</f>
        <v>0</v>
      </c>
      <c r="J58" s="4670"/>
      <c r="K58" s="4665"/>
    </row>
    <row r="59" spans="1:13">
      <c r="A59" s="1991"/>
      <c r="B59" s="1887"/>
      <c r="C59" s="1726">
        <f>SUMIF(C33:C51, "1", H33:H51)</f>
        <v>0</v>
      </c>
      <c r="D59" s="1892">
        <f t="shared" si="4"/>
        <v>0</v>
      </c>
      <c r="E59" s="4671" t="s">
        <v>2463</v>
      </c>
      <c r="F59" s="4672"/>
      <c r="G59" s="4673">
        <v>175752</v>
      </c>
      <c r="H59" s="4674"/>
      <c r="I59" s="4675">
        <f t="shared" si="5"/>
        <v>0</v>
      </c>
      <c r="J59" s="4675"/>
      <c r="K59" s="4665"/>
    </row>
    <row r="60" spans="1:13" ht="15" customHeight="1">
      <c r="A60" s="1991"/>
      <c r="B60" s="1887"/>
      <c r="C60" s="1726">
        <f>SUMIF(C33:C51, "2", H33:H51)</f>
        <v>0</v>
      </c>
      <c r="D60" s="1892">
        <f t="shared" si="4"/>
        <v>0</v>
      </c>
      <c r="E60" s="4671" t="s">
        <v>2464</v>
      </c>
      <c r="F60" s="4672"/>
      <c r="G60" s="4673">
        <v>213717.6</v>
      </c>
      <c r="H60" s="4674"/>
      <c r="I60" s="4675">
        <f t="shared" si="5"/>
        <v>0</v>
      </c>
      <c r="J60" s="4675"/>
      <c r="K60" s="4665"/>
    </row>
    <row r="61" spans="1:13">
      <c r="A61" s="1991"/>
      <c r="B61" s="1887"/>
      <c r="C61" s="1726">
        <f>SUMIF(C33:C51, "3", H33:H51)</f>
        <v>0</v>
      </c>
      <c r="D61" s="1892">
        <f t="shared" si="4"/>
        <v>0</v>
      </c>
      <c r="E61" s="4671" t="s">
        <v>2467</v>
      </c>
      <c r="F61" s="4672"/>
      <c r="G61" s="4673">
        <v>276482.40000000002</v>
      </c>
      <c r="H61" s="4674"/>
      <c r="I61" s="4675">
        <f t="shared" si="5"/>
        <v>0</v>
      </c>
      <c r="J61" s="4675"/>
      <c r="K61" s="4665"/>
    </row>
    <row r="62" spans="1:13">
      <c r="A62" s="1991"/>
      <c r="B62" s="1887"/>
      <c r="C62" s="1726">
        <f>SUMIF(C33:C51, "4", H33:H51)</f>
        <v>0</v>
      </c>
      <c r="D62" s="1892">
        <f t="shared" si="4"/>
        <v>0</v>
      </c>
      <c r="E62" s="4671" t="s">
        <v>4001</v>
      </c>
      <c r="F62" s="4672"/>
      <c r="G62" s="4673">
        <v>303489.59999999998</v>
      </c>
      <c r="H62" s="4674"/>
      <c r="I62" s="4675">
        <f t="shared" si="5"/>
        <v>0</v>
      </c>
      <c r="J62" s="4675"/>
      <c r="K62" s="4665"/>
    </row>
    <row r="63" spans="1:13">
      <c r="A63" s="1888"/>
      <c r="B63" s="1889"/>
      <c r="C63" s="1727">
        <f>SUMIF(C33:C51, "5", H33:H51)</f>
        <v>0</v>
      </c>
      <c r="D63" s="1893">
        <f t="shared" si="4"/>
        <v>0</v>
      </c>
      <c r="E63" s="4677" t="s">
        <v>4002</v>
      </c>
      <c r="F63" s="4678"/>
      <c r="G63" s="4679">
        <v>303489.59999999998</v>
      </c>
      <c r="H63" s="4680"/>
      <c r="I63" s="4681">
        <f t="shared" si="5"/>
        <v>0</v>
      </c>
      <c r="J63" s="4681"/>
      <c r="K63" s="1754"/>
    </row>
    <row r="64" spans="1:13" ht="15" thickBot="1">
      <c r="A64" s="1886" t="s">
        <v>4003</v>
      </c>
      <c r="B64" s="1744">
        <f>SUM(C58:C63)</f>
        <v>0</v>
      </c>
      <c r="C64" s="1894"/>
      <c r="D64" s="1894">
        <f>SUM(D58:D63)</f>
        <v>0</v>
      </c>
      <c r="E64" s="1885"/>
      <c r="F64" s="1885"/>
      <c r="G64" s="1885"/>
      <c r="H64" s="1885"/>
      <c r="I64" s="1885"/>
      <c r="J64" s="1868" t="s">
        <v>4004</v>
      </c>
      <c r="K64" s="1743">
        <f>SUM(I58:I62)</f>
        <v>0</v>
      </c>
    </row>
    <row r="65" spans="1:11">
      <c r="A65" s="4659"/>
      <c r="B65" s="4659"/>
      <c r="C65" s="4659"/>
      <c r="D65" s="4659"/>
      <c r="E65" s="4659"/>
      <c r="F65" s="4659"/>
      <c r="G65" s="4659"/>
      <c r="H65" s="4659"/>
      <c r="I65" s="4659"/>
      <c r="J65" s="4659"/>
    </row>
    <row r="66" spans="1:11">
      <c r="A66" s="4649" t="s">
        <v>4005</v>
      </c>
      <c r="B66" s="4650"/>
      <c r="C66" s="4650"/>
      <c r="D66" s="4650"/>
      <c r="E66" s="4650"/>
      <c r="F66" s="4650"/>
      <c r="G66" s="4650"/>
      <c r="H66" s="4650"/>
      <c r="I66" s="4650"/>
      <c r="J66" s="4650"/>
      <c r="K66" s="4651"/>
    </row>
    <row r="67" spans="1:11" ht="15" customHeight="1">
      <c r="A67" s="1745"/>
      <c r="B67" s="1702"/>
      <c r="C67" s="1748"/>
      <c r="D67" s="1748"/>
      <c r="E67" s="1748" t="s">
        <v>4006</v>
      </c>
      <c r="F67" s="1748"/>
      <c r="G67" s="1748"/>
      <c r="H67" s="1748"/>
      <c r="I67" s="1748"/>
      <c r="J67" s="1749"/>
      <c r="K67" s="1711">
        <f>J11</f>
        <v>0</v>
      </c>
    </row>
    <row r="68" spans="1:11">
      <c r="A68" s="1746"/>
      <c r="B68" s="1715"/>
      <c r="C68" s="1738"/>
      <c r="D68" s="1738"/>
      <c r="E68" s="1738" t="s">
        <v>4007</v>
      </c>
      <c r="F68" s="1738"/>
      <c r="G68" s="1738"/>
      <c r="H68" s="1738"/>
      <c r="I68" s="1738"/>
      <c r="J68" s="1750"/>
      <c r="K68" s="1711" t="e">
        <f>K54</f>
        <v>#VALUE!</v>
      </c>
    </row>
    <row r="69" spans="1:11" ht="15" thickBot="1">
      <c r="A69" s="1747"/>
      <c r="B69" s="1704"/>
      <c r="C69" s="1751"/>
      <c r="D69" s="1751"/>
      <c r="E69" s="1751" t="s">
        <v>4008</v>
      </c>
      <c r="F69" s="1751"/>
      <c r="G69" s="1751"/>
      <c r="H69" s="1751"/>
      <c r="I69" s="1751"/>
      <c r="J69" s="1752"/>
      <c r="K69" s="1755">
        <f>K64</f>
        <v>0</v>
      </c>
    </row>
    <row r="70" spans="1:11" ht="15" thickBot="1">
      <c r="A70" s="1713"/>
      <c r="B70" s="1705"/>
      <c r="C70" s="4676" t="s">
        <v>4009</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baseColWidth="10" defaultColWidth="9.1640625" defaultRowHeight="14"/>
  <cols>
    <col min="1" max="1" width="5.5" style="1691" customWidth="1"/>
    <col min="2" max="2" width="6.33203125" style="1691" customWidth="1"/>
    <col min="3" max="3" width="9.83203125" style="1691" customWidth="1"/>
    <col min="4" max="4" width="10.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3203125" style="1691" customWidth="1"/>
    <col min="12" max="16384" width="9.1640625" style="1691"/>
  </cols>
  <sheetData>
    <row r="1" spans="1:11" ht="18">
      <c r="A1" s="1741" t="s">
        <v>3968</v>
      </c>
      <c r="B1" s="1741"/>
      <c r="C1" s="1741"/>
      <c r="D1" s="1741"/>
      <c r="E1" s="1741"/>
      <c r="F1" s="1741"/>
      <c r="G1" s="1741"/>
      <c r="H1" s="1741"/>
    </row>
    <row r="2" spans="1:11" ht="19" thickBot="1">
      <c r="A2" s="1741" t="s">
        <v>3969</v>
      </c>
      <c r="B2" s="1741"/>
      <c r="C2" s="1741"/>
      <c r="D2" s="1741"/>
      <c r="E2" s="1741"/>
      <c r="F2" s="1741"/>
      <c r="G2" s="1741"/>
      <c r="H2" s="1741"/>
    </row>
    <row r="3" spans="1:11" ht="15" customHeight="1" thickBot="1">
      <c r="A3" s="1692" t="s">
        <v>3970</v>
      </c>
      <c r="B3" s="1693"/>
      <c r="C3" s="1694"/>
      <c r="D3" s="4623" t="str">
        <f>'Part I-Project Identification'!F29</f>
        <v>Cave Spring Townhomes</v>
      </c>
      <c r="E3" s="4624"/>
      <c r="F3" s="4624"/>
      <c r="G3" s="4624"/>
      <c r="H3" s="4624"/>
      <c r="I3" s="4624"/>
      <c r="J3" s="4690" t="s">
        <v>3973</v>
      </c>
      <c r="K3" s="4691"/>
    </row>
    <row r="4" spans="1:11" ht="15" customHeight="1">
      <c r="A4" s="1696" t="s">
        <v>3971</v>
      </c>
      <c r="B4" s="1697"/>
      <c r="C4" s="1698"/>
      <c r="D4" s="4627" t="e">
        <f>CONCATENATE('Part I-Project Identification'!#REF!,", ",'Part I-Project Identification'!F30,", GA ",'Part I-Project Identification'!#REF!," (",'Part I-Project Identification'!J30," Co.)",)</f>
        <v>#REF!</v>
      </c>
      <c r="E4" s="4628"/>
      <c r="F4" s="4628"/>
      <c r="G4" s="4628"/>
      <c r="H4" s="4628"/>
      <c r="I4" s="4628"/>
      <c r="J4" s="4629" t="s">
        <v>4012</v>
      </c>
      <c r="K4" s="4630"/>
    </row>
    <row r="5" spans="1:11" ht="15" customHeight="1" thickBot="1">
      <c r="A5" s="1699" t="s">
        <v>3972</v>
      </c>
      <c r="B5" s="1700"/>
      <c r="C5" s="1701"/>
      <c r="D5" s="4633"/>
      <c r="E5" s="4634"/>
      <c r="F5" s="4634"/>
      <c r="G5" s="4634"/>
      <c r="H5" s="4634"/>
      <c r="I5" s="4634"/>
      <c r="J5" s="4631"/>
      <c r="K5" s="4632"/>
    </row>
    <row r="6" spans="1:11" ht="9" customHeight="1" thickBot="1">
      <c r="E6" s="1691"/>
    </row>
    <row r="7" spans="1:11">
      <c r="A7" s="4615" t="s">
        <v>3974</v>
      </c>
      <c r="B7" s="4616"/>
      <c r="C7" s="4616"/>
      <c r="D7" s="4616"/>
      <c r="E7" s="4616"/>
      <c r="F7" s="4616"/>
      <c r="G7" s="4616"/>
      <c r="H7" s="4616"/>
      <c r="I7" s="4616"/>
      <c r="J7" s="4616"/>
      <c r="K7" s="4617"/>
    </row>
    <row r="8" spans="1:11" ht="14.25" customHeight="1">
      <c r="A8" s="1717"/>
      <c r="B8" s="1717"/>
      <c r="C8" s="1731">
        <v>1</v>
      </c>
      <c r="D8" s="1718" t="s">
        <v>3975</v>
      </c>
      <c r="E8" s="1718"/>
      <c r="F8" s="1718"/>
      <c r="G8" s="1718"/>
      <c r="H8" s="1718"/>
      <c r="I8" s="1718"/>
      <c r="J8" s="4705"/>
      <c r="K8" s="4706"/>
    </row>
    <row r="9" spans="1:11" ht="7.25" customHeight="1">
      <c r="A9" s="4618"/>
      <c r="B9" s="4618"/>
      <c r="C9" s="4618"/>
      <c r="D9" s="4619"/>
      <c r="E9" s="4619"/>
      <c r="F9" s="4619"/>
      <c r="G9" s="4619"/>
      <c r="H9" s="4619"/>
      <c r="I9" s="4619"/>
      <c r="J9" s="4619"/>
      <c r="K9" s="1719"/>
    </row>
    <row r="10" spans="1:11">
      <c r="A10" s="4620" t="s">
        <v>3976</v>
      </c>
      <c r="B10" s="4621"/>
      <c r="C10" s="4621"/>
      <c r="D10" s="4621"/>
      <c r="E10" s="4621"/>
      <c r="F10" s="4621"/>
      <c r="G10" s="4621"/>
      <c r="H10" s="4621"/>
      <c r="I10" s="4621"/>
      <c r="J10" s="4621"/>
      <c r="K10" s="4622"/>
    </row>
    <row r="11" spans="1:11" ht="14.25" customHeight="1">
      <c r="A11" s="1717"/>
      <c r="B11" s="1717"/>
      <c r="C11" s="1731">
        <v>2</v>
      </c>
      <c r="D11" s="1718" t="s">
        <v>3977</v>
      </c>
      <c r="E11" s="1720"/>
      <c r="F11" s="1720"/>
      <c r="G11" s="1720"/>
      <c r="H11" s="1720"/>
      <c r="I11" s="1720"/>
      <c r="J11" s="4703"/>
      <c r="K11" s="4704"/>
    </row>
    <row r="12" spans="1:11" ht="7.25" customHeight="1">
      <c r="A12" s="4618"/>
      <c r="B12" s="4618"/>
      <c r="C12" s="4618"/>
      <c r="D12" s="4619"/>
      <c r="E12" s="4619"/>
      <c r="F12" s="4619"/>
      <c r="G12" s="4619"/>
      <c r="H12" s="4619"/>
      <c r="I12" s="4619"/>
      <c r="J12" s="4619"/>
      <c r="K12" s="1721"/>
    </row>
    <row r="13" spans="1:11">
      <c r="A13" s="4620" t="s">
        <v>3978</v>
      </c>
      <c r="B13" s="4621"/>
      <c r="C13" s="4621"/>
      <c r="D13" s="4621"/>
      <c r="E13" s="4621"/>
      <c r="F13" s="4621"/>
      <c r="G13" s="4621"/>
      <c r="H13" s="4621"/>
      <c r="I13" s="4621"/>
      <c r="J13" s="4621"/>
      <c r="K13" s="4622"/>
    </row>
    <row r="14" spans="1:11" ht="14.25" customHeight="1">
      <c r="A14" s="1697"/>
      <c r="B14" s="1697"/>
      <c r="C14" s="1732">
        <v>3</v>
      </c>
      <c r="D14" s="1722" t="s">
        <v>3979</v>
      </c>
      <c r="E14" s="1722"/>
      <c r="F14" s="1722"/>
      <c r="G14" s="1722"/>
      <c r="H14" s="1722"/>
      <c r="I14" s="1722"/>
      <c r="J14" s="4701"/>
      <c r="K14" s="4702"/>
    </row>
    <row r="15" spans="1:11" ht="14.25" customHeight="1">
      <c r="A15" s="1697"/>
      <c r="B15" s="1697"/>
      <c r="C15" s="1733">
        <v>4</v>
      </c>
      <c r="D15" s="1697" t="s">
        <v>3980</v>
      </c>
      <c r="E15" s="1697"/>
      <c r="F15" s="1697"/>
      <c r="G15" s="1697"/>
      <c r="H15" s="1697"/>
      <c r="I15" s="1697"/>
      <c r="J15" s="4699"/>
      <c r="K15" s="4700"/>
    </row>
    <row r="16" spans="1:11" ht="14.25" customHeight="1">
      <c r="A16" s="1697"/>
      <c r="B16" s="1697"/>
      <c r="C16" s="1733">
        <v>5</v>
      </c>
      <c r="D16" s="1697" t="s">
        <v>3981</v>
      </c>
      <c r="E16" s="1697"/>
      <c r="F16" s="1697"/>
      <c r="G16" s="1697"/>
      <c r="H16" s="1697"/>
      <c r="I16" s="1697"/>
      <c r="J16" s="4699"/>
      <c r="K16" s="4700"/>
    </row>
    <row r="17" spans="1:13" ht="14.25" customHeight="1">
      <c r="A17" s="1717"/>
      <c r="B17" s="1717"/>
      <c r="C17" s="1734">
        <v>6</v>
      </c>
      <c r="D17" s="1700" t="s">
        <v>3982</v>
      </c>
      <c r="E17" s="1700"/>
      <c r="F17" s="1700"/>
      <c r="G17" s="1700"/>
      <c r="H17" s="1700"/>
      <c r="I17" s="1700"/>
      <c r="J17" s="4707"/>
      <c r="K17" s="4708"/>
    </row>
    <row r="18" spans="1:13" ht="7.25" customHeight="1">
      <c r="A18" s="4618"/>
      <c r="B18" s="4618"/>
      <c r="C18" s="4618"/>
      <c r="D18" s="4619"/>
      <c r="E18" s="4619"/>
      <c r="F18" s="4619"/>
      <c r="G18" s="4619"/>
      <c r="H18" s="4619"/>
      <c r="I18" s="4619"/>
      <c r="J18" s="4619"/>
      <c r="K18" s="1721"/>
    </row>
    <row r="19" spans="1:13" ht="14.25" customHeight="1">
      <c r="A19" s="1697"/>
      <c r="B19" s="1697"/>
      <c r="C19" s="1732">
        <v>7</v>
      </c>
      <c r="D19" s="1722" t="s">
        <v>3983</v>
      </c>
      <c r="E19" s="1722"/>
      <c r="F19" s="1722"/>
      <c r="G19" s="1722"/>
      <c r="H19" s="1722"/>
      <c r="I19" s="1722"/>
      <c r="J19" s="4686" t="str">
        <f>IF(J17="No",J14-J15,IF(J17="Yes",J14-J15-J16,"Error"))</f>
        <v>Error</v>
      </c>
      <c r="K19" s="4687"/>
    </row>
    <row r="20" spans="1:13" ht="14.25" customHeight="1">
      <c r="A20" s="1717"/>
      <c r="B20" s="1717"/>
      <c r="C20" s="1734">
        <v>8</v>
      </c>
      <c r="D20" s="1700" t="s">
        <v>3984</v>
      </c>
      <c r="E20" s="1700"/>
      <c r="F20" s="1700"/>
      <c r="G20" s="1700"/>
      <c r="H20" s="1700"/>
      <c r="I20" s="1700"/>
      <c r="J20" s="4684" t="e">
        <f>ROUNDDOWN(J19/J8,2)</f>
        <v>#VALUE!</v>
      </c>
      <c r="K20" s="4685"/>
    </row>
    <row r="21" spans="1:13" ht="7.25" customHeight="1">
      <c r="A21" s="4618"/>
      <c r="B21" s="4618"/>
      <c r="C21" s="4618"/>
      <c r="D21" s="4619"/>
      <c r="E21" s="4619"/>
      <c r="F21" s="4619"/>
      <c r="G21" s="4619"/>
      <c r="H21" s="4619"/>
      <c r="I21" s="4619"/>
      <c r="J21" s="4619"/>
      <c r="K21" s="1721"/>
    </row>
    <row r="22" spans="1:13" ht="14.25" customHeight="1" thickBot="1">
      <c r="A22" s="1697"/>
      <c r="B22" s="1697"/>
      <c r="C22" s="1731">
        <v>9</v>
      </c>
      <c r="D22" s="1723" t="s">
        <v>3985</v>
      </c>
      <c r="E22" s="1723"/>
      <c r="F22" s="1723"/>
      <c r="G22" s="1723"/>
      <c r="H22" s="1723"/>
      <c r="I22" s="1723"/>
      <c r="J22" s="4682" t="e">
        <f>J11/J19</f>
        <v>#VALUE!</v>
      </c>
      <c r="K22" s="4683"/>
    </row>
    <row r="23" spans="1:13" ht="9" customHeight="1">
      <c r="A23" s="1706"/>
      <c r="C23" s="1707"/>
      <c r="D23" s="1707"/>
      <c r="E23" s="1707"/>
      <c r="F23" s="1707"/>
      <c r="G23" s="1707"/>
      <c r="H23" s="1707"/>
      <c r="I23" s="1707"/>
      <c r="J23" s="1707"/>
      <c r="K23" s="1708"/>
    </row>
    <row r="24" spans="1:13" ht="18">
      <c r="A24" s="1709" t="s">
        <v>3986</v>
      </c>
      <c r="C24" s="1707"/>
      <c r="D24" s="1707"/>
      <c r="E24" s="1707"/>
      <c r="F24" s="1707"/>
      <c r="G24" s="1707"/>
      <c r="H24" s="1707"/>
      <c r="I24" s="1707"/>
      <c r="J24" s="1707"/>
      <c r="K24" s="1708"/>
    </row>
    <row r="25" spans="1:13" ht="14.25" customHeight="1">
      <c r="A25" s="1767" t="s">
        <v>4017</v>
      </c>
      <c r="C25" s="1707"/>
      <c r="D25" s="1707"/>
      <c r="E25" s="1707"/>
      <c r="F25" s="1707"/>
      <c r="G25" s="1707"/>
      <c r="H25" s="1707"/>
      <c r="I25" s="1707"/>
      <c r="J25" s="1707"/>
      <c r="K25" s="1708"/>
    </row>
    <row r="26" spans="1:13" ht="14.25" customHeight="1">
      <c r="A26" s="1767" t="s">
        <v>4018</v>
      </c>
      <c r="C26" s="1707"/>
      <c r="D26" s="1707"/>
      <c r="E26" s="1707"/>
      <c r="F26" s="1707"/>
      <c r="G26" s="1707"/>
      <c r="H26" s="1707"/>
      <c r="I26" s="1707"/>
      <c r="J26" s="1707"/>
      <c r="K26" s="1708"/>
    </row>
    <row r="27" spans="1:13" ht="14.25" customHeight="1">
      <c r="A27" s="1767" t="s">
        <v>4019</v>
      </c>
      <c r="C27" s="1707"/>
      <c r="D27" s="1707"/>
      <c r="E27" s="1707"/>
      <c r="F27" s="1707"/>
      <c r="G27" s="1707"/>
      <c r="H27" s="1707"/>
      <c r="I27" s="1707"/>
      <c r="J27" s="1707"/>
      <c r="K27" s="1708"/>
    </row>
    <row r="28" spans="1:13" ht="14.25" customHeight="1">
      <c r="A28" s="1767" t="s">
        <v>4020</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4016</v>
      </c>
      <c r="B30" s="4641"/>
      <c r="C30" s="4641"/>
      <c r="D30" s="4641"/>
      <c r="E30" s="4641"/>
      <c r="F30" s="4641"/>
      <c r="G30" s="4641"/>
      <c r="H30" s="4641"/>
      <c r="I30" s="4641"/>
      <c r="J30" s="4641"/>
      <c r="K30" s="4642"/>
    </row>
    <row r="31" spans="1:13">
      <c r="A31" s="1715"/>
      <c r="B31" s="4696" t="s">
        <v>3973</v>
      </c>
      <c r="C31" s="4696"/>
      <c r="D31" s="4696"/>
      <c r="E31" s="4696"/>
      <c r="F31" s="4696"/>
      <c r="G31" s="4644" t="s">
        <v>3987</v>
      </c>
      <c r="H31" s="4645"/>
      <c r="I31" s="4645"/>
      <c r="J31" s="4645"/>
      <c r="K31" s="4646"/>
    </row>
    <row r="32" spans="1:13" ht="56.25" customHeight="1">
      <c r="A32" s="1716"/>
      <c r="B32" s="1735" t="s">
        <v>4015</v>
      </c>
      <c r="C32" s="1736" t="s">
        <v>4011</v>
      </c>
      <c r="D32" s="1736" t="s">
        <v>4010</v>
      </c>
      <c r="E32" s="4647" t="s">
        <v>6100</v>
      </c>
      <c r="F32" s="4648"/>
      <c r="G32" s="1737" t="s">
        <v>3988</v>
      </c>
      <c r="H32" s="1737" t="s">
        <v>3989</v>
      </c>
      <c r="J32" s="1737" t="s">
        <v>3990</v>
      </c>
      <c r="K32" s="1737" t="s">
        <v>3991</v>
      </c>
      <c r="L32" s="4635" t="s">
        <v>3992</v>
      </c>
      <c r="M32" s="4635"/>
    </row>
    <row r="33" spans="2:14" ht="12.75" customHeight="1">
      <c r="B33" s="1904"/>
      <c r="C33" s="1905"/>
      <c r="D33" s="1906"/>
      <c r="E33" s="4692"/>
      <c r="F33" s="4693"/>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1907"/>
      <c r="C34" s="1908"/>
      <c r="D34" s="1909"/>
      <c r="E34" s="4694"/>
      <c r="F34" s="4695"/>
      <c r="G34" s="1761" t="e">
        <f t="shared" si="0"/>
        <v>#VALUE!</v>
      </c>
      <c r="H34" s="1762" t="e">
        <f t="shared" ref="H34:H51" si="3">ROUNDUP(G34,0)</f>
        <v>#VALUE!</v>
      </c>
      <c r="I34" s="1759"/>
      <c r="J34" s="1763" t="e">
        <f t="shared" si="1"/>
        <v>#VALUE!</v>
      </c>
      <c r="K34" s="1763" t="e">
        <f t="shared" si="2"/>
        <v>#VALUE!</v>
      </c>
      <c r="L34" s="4635"/>
      <c r="M34" s="4635"/>
    </row>
    <row r="35" spans="2:14" ht="12.75" customHeight="1">
      <c r="B35" s="1907"/>
      <c r="C35" s="1908"/>
      <c r="D35" s="1909"/>
      <c r="E35" s="4694"/>
      <c r="F35" s="4695"/>
      <c r="G35" s="1761" t="e">
        <f t="shared" si="0"/>
        <v>#VALUE!</v>
      </c>
      <c r="H35" s="1762" t="e">
        <f t="shared" si="3"/>
        <v>#VALUE!</v>
      </c>
      <c r="I35" s="1759"/>
      <c r="J35" s="1763" t="e">
        <f t="shared" si="1"/>
        <v>#VALUE!</v>
      </c>
      <c r="K35" s="1763" t="e">
        <f t="shared" si="2"/>
        <v>#VALUE!</v>
      </c>
      <c r="L35" s="4635"/>
      <c r="M35" s="4635"/>
    </row>
    <row r="36" spans="2:14" ht="12.75" customHeight="1">
      <c r="B36" s="1907"/>
      <c r="C36" s="1908"/>
      <c r="D36" s="1909"/>
      <c r="E36" s="4694"/>
      <c r="F36" s="4695"/>
      <c r="G36" s="1761" t="e">
        <f t="shared" si="0"/>
        <v>#VALUE!</v>
      </c>
      <c r="H36" s="1762" t="e">
        <f t="shared" si="3"/>
        <v>#VALUE!</v>
      </c>
      <c r="I36" s="1759"/>
      <c r="J36" s="1763" t="e">
        <f t="shared" si="1"/>
        <v>#VALUE!</v>
      </c>
      <c r="K36" s="1763" t="e">
        <f t="shared" si="2"/>
        <v>#VALUE!</v>
      </c>
      <c r="L36" s="4635"/>
      <c r="M36" s="4635"/>
      <c r="N36" s="1710"/>
    </row>
    <row r="37" spans="2:14" ht="12.75" customHeight="1">
      <c r="B37" s="1907"/>
      <c r="C37" s="1908"/>
      <c r="D37" s="1909"/>
      <c r="E37" s="4694"/>
      <c r="F37" s="4695"/>
      <c r="G37" s="1761" t="e">
        <f t="shared" si="0"/>
        <v>#VALUE!</v>
      </c>
      <c r="H37" s="1762" t="e">
        <f t="shared" si="3"/>
        <v>#VALUE!</v>
      </c>
      <c r="I37" s="1759"/>
      <c r="J37" s="1763" t="e">
        <f t="shared" si="1"/>
        <v>#VALUE!</v>
      </c>
      <c r="K37" s="1763" t="e">
        <f t="shared" si="2"/>
        <v>#VALUE!</v>
      </c>
      <c r="L37" s="4635"/>
      <c r="M37" s="4635"/>
    </row>
    <row r="38" spans="2:14" ht="12.75" customHeight="1">
      <c r="B38" s="1907"/>
      <c r="C38" s="1908"/>
      <c r="D38" s="1909"/>
      <c r="E38" s="4694"/>
      <c r="F38" s="4695"/>
      <c r="G38" s="1761" t="e">
        <f t="shared" si="0"/>
        <v>#VALUE!</v>
      </c>
      <c r="H38" s="1762" t="e">
        <f t="shared" si="3"/>
        <v>#VALUE!</v>
      </c>
      <c r="I38" s="1759"/>
      <c r="J38" s="1763" t="e">
        <f t="shared" si="1"/>
        <v>#VALUE!</v>
      </c>
      <c r="K38" s="1763" t="e">
        <f t="shared" si="2"/>
        <v>#VALUE!</v>
      </c>
      <c r="L38" s="4635"/>
      <c r="M38" s="4635"/>
    </row>
    <row r="39" spans="2:14" ht="12.75" customHeight="1">
      <c r="B39" s="1907"/>
      <c r="C39" s="1908"/>
      <c r="D39" s="1909"/>
      <c r="E39" s="4694"/>
      <c r="F39" s="4695"/>
      <c r="G39" s="1761" t="e">
        <f t="shared" si="0"/>
        <v>#VALUE!</v>
      </c>
      <c r="H39" s="1762" t="e">
        <f t="shared" si="3"/>
        <v>#VALUE!</v>
      </c>
      <c r="I39" s="1759"/>
      <c r="J39" s="1763" t="e">
        <f t="shared" si="1"/>
        <v>#VALUE!</v>
      </c>
      <c r="K39" s="1763" t="e">
        <f t="shared" si="2"/>
        <v>#VALUE!</v>
      </c>
      <c r="L39" s="4635"/>
      <c r="M39" s="4635"/>
    </row>
    <row r="40" spans="2:14" ht="12.75" customHeight="1">
      <c r="B40" s="1907"/>
      <c r="C40" s="1908"/>
      <c r="D40" s="1909"/>
      <c r="E40" s="4694"/>
      <c r="F40" s="4695"/>
      <c r="G40" s="1761" t="e">
        <f t="shared" si="0"/>
        <v>#VALUE!</v>
      </c>
      <c r="H40" s="1762" t="e">
        <f t="shared" si="3"/>
        <v>#VALUE!</v>
      </c>
      <c r="I40" s="1759"/>
      <c r="J40" s="1763" t="e">
        <f t="shared" si="1"/>
        <v>#VALUE!</v>
      </c>
      <c r="K40" s="1763" t="e">
        <f t="shared" si="2"/>
        <v>#VALUE!</v>
      </c>
      <c r="L40" s="4635"/>
      <c r="M40" s="4635"/>
    </row>
    <row r="41" spans="2:14" ht="12.75" customHeight="1">
      <c r="B41" s="1907"/>
      <c r="C41" s="1908"/>
      <c r="D41" s="1909"/>
      <c r="E41" s="4694"/>
      <c r="F41" s="4695"/>
      <c r="G41" s="1761" t="e">
        <f t="shared" si="0"/>
        <v>#VALUE!</v>
      </c>
      <c r="H41" s="1762" t="e">
        <f t="shared" si="3"/>
        <v>#VALUE!</v>
      </c>
      <c r="I41" s="1759"/>
      <c r="J41" s="1763" t="e">
        <f t="shared" si="1"/>
        <v>#VALUE!</v>
      </c>
      <c r="K41" s="1763" t="e">
        <f t="shared" si="2"/>
        <v>#VALUE!</v>
      </c>
      <c r="L41" s="4635"/>
      <c r="M41" s="4635"/>
    </row>
    <row r="42" spans="2:14" ht="12.75" customHeight="1">
      <c r="B42" s="1907"/>
      <c r="C42" s="1908"/>
      <c r="D42" s="1909"/>
      <c r="E42" s="4694"/>
      <c r="F42" s="4695"/>
      <c r="G42" s="1761" t="e">
        <f t="shared" si="0"/>
        <v>#VALUE!</v>
      </c>
      <c r="H42" s="1762" t="e">
        <f>ROUNDUP(G42,0)</f>
        <v>#VALUE!</v>
      </c>
      <c r="I42" s="1759"/>
      <c r="J42" s="1763" t="e">
        <f t="shared" si="1"/>
        <v>#VALUE!</v>
      </c>
      <c r="K42" s="1763" t="e">
        <f t="shared" si="2"/>
        <v>#VALUE!</v>
      </c>
      <c r="L42" s="4635"/>
      <c r="M42" s="4635"/>
    </row>
    <row r="43" spans="2:14" ht="12.75" customHeight="1">
      <c r="B43" s="1907"/>
      <c r="C43" s="1908"/>
      <c r="D43" s="1909"/>
      <c r="E43" s="4694"/>
      <c r="F43" s="4695"/>
      <c r="G43" s="1761" t="e">
        <f t="shared" si="0"/>
        <v>#VALUE!</v>
      </c>
      <c r="H43" s="1762" t="e">
        <f>ROUNDUP(G43,0)</f>
        <v>#VALUE!</v>
      </c>
      <c r="I43" s="1759"/>
      <c r="J43" s="1763" t="e">
        <f t="shared" si="1"/>
        <v>#VALUE!</v>
      </c>
      <c r="K43" s="1763" t="e">
        <f t="shared" si="2"/>
        <v>#VALUE!</v>
      </c>
      <c r="L43" s="4635"/>
      <c r="M43" s="4635"/>
    </row>
    <row r="44" spans="2:14" ht="12.75" customHeight="1">
      <c r="B44" s="1907"/>
      <c r="C44" s="1908"/>
      <c r="D44" s="1909"/>
      <c r="E44" s="4694"/>
      <c r="F44" s="4695"/>
      <c r="G44" s="1761" t="e">
        <f t="shared" si="0"/>
        <v>#VALUE!</v>
      </c>
      <c r="H44" s="1762" t="e">
        <f>ROUNDUP(G44,0)</f>
        <v>#VALUE!</v>
      </c>
      <c r="I44" s="1759"/>
      <c r="J44" s="1763" t="e">
        <f t="shared" si="1"/>
        <v>#VALUE!</v>
      </c>
      <c r="K44" s="1763" t="e">
        <f t="shared" si="2"/>
        <v>#VALUE!</v>
      </c>
      <c r="L44" s="4635"/>
      <c r="M44" s="4635"/>
    </row>
    <row r="45" spans="2:14" ht="12.75" customHeight="1">
      <c r="B45" s="1907"/>
      <c r="C45" s="1908"/>
      <c r="D45" s="1909"/>
      <c r="E45" s="4694"/>
      <c r="F45" s="4695"/>
      <c r="G45" s="1761" t="e">
        <f t="shared" si="0"/>
        <v>#VALUE!</v>
      </c>
      <c r="H45" s="1762" t="e">
        <f>ROUNDUP(G45,0)</f>
        <v>#VALUE!</v>
      </c>
      <c r="I45" s="1759"/>
      <c r="J45" s="1763" t="e">
        <f t="shared" si="1"/>
        <v>#VALUE!</v>
      </c>
      <c r="K45" s="1763" t="e">
        <f t="shared" si="2"/>
        <v>#VALUE!</v>
      </c>
      <c r="L45" s="4635"/>
      <c r="M45" s="4635"/>
    </row>
    <row r="46" spans="2:14" ht="12.75" customHeight="1">
      <c r="B46" s="1907"/>
      <c r="C46" s="1908"/>
      <c r="D46" s="1909"/>
      <c r="E46" s="4694"/>
      <c r="F46" s="4695"/>
      <c r="G46" s="1761" t="e">
        <f t="shared" si="0"/>
        <v>#VALUE!</v>
      </c>
      <c r="H46" s="1762" t="e">
        <f t="shared" si="3"/>
        <v>#VALUE!</v>
      </c>
      <c r="I46" s="1759"/>
      <c r="J46" s="1763" t="e">
        <f t="shared" si="1"/>
        <v>#VALUE!</v>
      </c>
      <c r="K46" s="1763" t="e">
        <f t="shared" si="2"/>
        <v>#VALUE!</v>
      </c>
      <c r="L46" s="4635"/>
      <c r="M46" s="4635"/>
    </row>
    <row r="47" spans="2:14" ht="12.75" customHeight="1">
      <c r="B47" s="1907"/>
      <c r="C47" s="1908"/>
      <c r="D47" s="1909"/>
      <c r="E47" s="4694"/>
      <c r="F47" s="4695"/>
      <c r="G47" s="1761" t="e">
        <f t="shared" si="0"/>
        <v>#VALUE!</v>
      </c>
      <c r="H47" s="1762" t="e">
        <f t="shared" si="3"/>
        <v>#VALUE!</v>
      </c>
      <c r="I47" s="1759"/>
      <c r="J47" s="1763" t="e">
        <f t="shared" si="1"/>
        <v>#VALUE!</v>
      </c>
      <c r="K47" s="1763" t="e">
        <f t="shared" si="2"/>
        <v>#VALUE!</v>
      </c>
      <c r="L47" s="4635"/>
      <c r="M47" s="4635"/>
    </row>
    <row r="48" spans="2:14" ht="12.75" customHeight="1">
      <c r="B48" s="1907"/>
      <c r="C48" s="1908"/>
      <c r="D48" s="1909"/>
      <c r="E48" s="4694"/>
      <c r="F48" s="4695"/>
      <c r="G48" s="1761" t="e">
        <f t="shared" si="0"/>
        <v>#VALUE!</v>
      </c>
      <c r="H48" s="1762" t="e">
        <f>ROUNDUP(G48,0)</f>
        <v>#VALUE!</v>
      </c>
      <c r="I48" s="1759"/>
      <c r="J48" s="1763" t="e">
        <f t="shared" si="1"/>
        <v>#VALUE!</v>
      </c>
      <c r="K48" s="1763" t="e">
        <f t="shared" si="2"/>
        <v>#VALUE!</v>
      </c>
      <c r="L48" s="4635"/>
      <c r="M48" s="4635"/>
    </row>
    <row r="49" spans="1:13" ht="12.75" customHeight="1">
      <c r="B49" s="1907"/>
      <c r="C49" s="1908"/>
      <c r="D49" s="1909"/>
      <c r="E49" s="4694"/>
      <c r="F49" s="4695"/>
      <c r="G49" s="1761" t="e">
        <f t="shared" si="0"/>
        <v>#VALUE!</v>
      </c>
      <c r="H49" s="1762" t="e">
        <f t="shared" si="3"/>
        <v>#VALUE!</v>
      </c>
      <c r="I49" s="1759"/>
      <c r="J49" s="1763" t="e">
        <f t="shared" si="1"/>
        <v>#VALUE!</v>
      </c>
      <c r="K49" s="1763" t="e">
        <f t="shared" si="2"/>
        <v>#VALUE!</v>
      </c>
      <c r="L49" s="4635"/>
      <c r="M49" s="4635"/>
    </row>
    <row r="50" spans="1:13" ht="12.75" customHeight="1">
      <c r="B50" s="1907"/>
      <c r="C50" s="1908"/>
      <c r="D50" s="1909"/>
      <c r="E50" s="4694"/>
      <c r="F50" s="4695"/>
      <c r="G50" s="1761" t="e">
        <f t="shared" si="0"/>
        <v>#VALUE!</v>
      </c>
      <c r="H50" s="1762" t="e">
        <f t="shared" si="3"/>
        <v>#VALUE!</v>
      </c>
      <c r="I50" s="1759"/>
      <c r="J50" s="1763" t="e">
        <f t="shared" si="1"/>
        <v>#VALUE!</v>
      </c>
      <c r="K50" s="1763" t="e">
        <f t="shared" si="2"/>
        <v>#VALUE!</v>
      </c>
      <c r="L50" s="4635"/>
      <c r="M50" s="4635"/>
    </row>
    <row r="51" spans="1:13" ht="12.75" customHeight="1" thickBot="1">
      <c r="B51" s="1910"/>
      <c r="C51" s="1911"/>
      <c r="D51" s="1912"/>
      <c r="E51" s="4697"/>
      <c r="F51" s="4698"/>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3993</v>
      </c>
      <c r="H52" s="1739" t="e">
        <f>SUM(H33:H51)</f>
        <v>#VALUE!</v>
      </c>
      <c r="I52" s="1722"/>
      <c r="J52" s="1728" t="s">
        <v>3994</v>
      </c>
      <c r="K52" s="1724" t="e">
        <f>SUM(K33:K51)</f>
        <v>#VALUE!</v>
      </c>
      <c r="L52" s="4635"/>
      <c r="M52" s="4635"/>
    </row>
    <row r="53" spans="1:13" ht="15" customHeight="1">
      <c r="A53" s="1715"/>
      <c r="B53" s="1729"/>
      <c r="C53" s="4654" t="s">
        <v>3995</v>
      </c>
      <c r="D53" s="4654"/>
      <c r="E53" s="4654"/>
      <c r="F53" s="4654"/>
      <c r="G53" s="4654"/>
      <c r="H53" s="4654"/>
      <c r="I53" s="4654"/>
      <c r="J53" s="4655"/>
      <c r="K53" s="1730" t="str">
        <f>IF(J17="no",0,IF(J17="yes",J16,"Error"))</f>
        <v>Error</v>
      </c>
      <c r="L53" s="4635"/>
      <c r="M53" s="4635"/>
    </row>
    <row r="54" spans="1:13" ht="15" customHeight="1" thickBot="1">
      <c r="A54" s="1715"/>
      <c r="B54" s="1729"/>
      <c r="C54" s="4656" t="s">
        <v>3996</v>
      </c>
      <c r="D54" s="4656"/>
      <c r="E54" s="4656"/>
      <c r="F54" s="4656"/>
      <c r="G54" s="4656"/>
      <c r="H54" s="4656"/>
      <c r="I54" s="4656"/>
      <c r="J54" s="4657"/>
      <c r="K54" s="1742" t="e">
        <f>K52+K53</f>
        <v>#VALUE!</v>
      </c>
    </row>
    <row r="55" spans="1:13" ht="8" customHeight="1">
      <c r="A55" s="4658"/>
      <c r="B55" s="4659"/>
      <c r="C55" s="4659"/>
      <c r="D55" s="4659"/>
      <c r="E55" s="4659"/>
      <c r="F55" s="4659"/>
      <c r="G55" s="4659"/>
      <c r="H55" s="4659"/>
      <c r="I55" s="4659"/>
      <c r="J55" s="4659"/>
      <c r="K55" s="1756"/>
    </row>
    <row r="56" spans="1:13" ht="15" customHeight="1">
      <c r="A56" s="4649" t="s">
        <v>3997</v>
      </c>
      <c r="B56" s="4650"/>
      <c r="C56" s="4650"/>
      <c r="D56" s="4650"/>
      <c r="E56" s="4650"/>
      <c r="F56" s="4650"/>
      <c r="G56" s="4650"/>
      <c r="H56" s="4650"/>
      <c r="I56" s="4650"/>
      <c r="J56" s="4650"/>
      <c r="K56" s="4651"/>
    </row>
    <row r="57" spans="1:13" ht="48" customHeight="1">
      <c r="A57" s="1712"/>
      <c r="B57" s="1703"/>
      <c r="C57" s="1714" t="s">
        <v>3998</v>
      </c>
      <c r="D57" s="1890" t="s">
        <v>6065</v>
      </c>
      <c r="E57" s="4660" t="s">
        <v>4014</v>
      </c>
      <c r="F57" s="4661"/>
      <c r="G57" s="4662" t="s">
        <v>3999</v>
      </c>
      <c r="H57" s="4663"/>
      <c r="I57" s="4660" t="s">
        <v>4013</v>
      </c>
      <c r="J57" s="4661"/>
      <c r="K57" s="4664"/>
    </row>
    <row r="58" spans="1:13" ht="15" customHeight="1">
      <c r="A58" s="1867"/>
      <c r="B58" s="1887"/>
      <c r="C58" s="1725">
        <f>SUMIF(C33:C51, "0", H33:H51)</f>
        <v>0</v>
      </c>
      <c r="D58" s="1891">
        <f t="shared" ref="D58:D63" si="4">ROUNDUP(C58*1.1,0)</f>
        <v>0</v>
      </c>
      <c r="E58" s="4666" t="s">
        <v>4000</v>
      </c>
      <c r="F58" s="4667"/>
      <c r="G58" s="4668">
        <v>153314.4</v>
      </c>
      <c r="H58" s="4669"/>
      <c r="I58" s="4670">
        <f t="shared" ref="I58:I63" si="5">D58*G58</f>
        <v>0</v>
      </c>
      <c r="J58" s="4670"/>
      <c r="K58" s="4665"/>
    </row>
    <row r="59" spans="1:13">
      <c r="A59" s="1867"/>
      <c r="B59" s="1887"/>
      <c r="C59" s="1726">
        <f>SUMIF(C33:C51, "1", H33:H51)</f>
        <v>0</v>
      </c>
      <c r="D59" s="1892">
        <f t="shared" si="4"/>
        <v>0</v>
      </c>
      <c r="E59" s="4671" t="s">
        <v>2463</v>
      </c>
      <c r="F59" s="4672"/>
      <c r="G59" s="4673">
        <v>175752</v>
      </c>
      <c r="H59" s="4674"/>
      <c r="I59" s="4675">
        <f t="shared" si="5"/>
        <v>0</v>
      </c>
      <c r="J59" s="4675"/>
      <c r="K59" s="4665"/>
    </row>
    <row r="60" spans="1:13" ht="15" customHeight="1">
      <c r="A60" s="1867"/>
      <c r="B60" s="1887"/>
      <c r="C60" s="1726">
        <f>SUMIF(C33:C51, "2", H33:H51)</f>
        <v>0</v>
      </c>
      <c r="D60" s="1892">
        <f t="shared" si="4"/>
        <v>0</v>
      </c>
      <c r="E60" s="4671" t="s">
        <v>2464</v>
      </c>
      <c r="F60" s="4672"/>
      <c r="G60" s="4673">
        <v>213717.6</v>
      </c>
      <c r="H60" s="4674"/>
      <c r="I60" s="4675">
        <f t="shared" si="5"/>
        <v>0</v>
      </c>
      <c r="J60" s="4675"/>
      <c r="K60" s="4665"/>
    </row>
    <row r="61" spans="1:13">
      <c r="A61" s="1867"/>
      <c r="B61" s="1887"/>
      <c r="C61" s="1726">
        <f>SUMIF(C33:C51, "3", H33:H51)</f>
        <v>0</v>
      </c>
      <c r="D61" s="1892">
        <f t="shared" si="4"/>
        <v>0</v>
      </c>
      <c r="E61" s="4671" t="s">
        <v>2467</v>
      </c>
      <c r="F61" s="4672"/>
      <c r="G61" s="4673">
        <v>276482.40000000002</v>
      </c>
      <c r="H61" s="4674"/>
      <c r="I61" s="4675">
        <f t="shared" si="5"/>
        <v>0</v>
      </c>
      <c r="J61" s="4675"/>
      <c r="K61" s="4665"/>
    </row>
    <row r="62" spans="1:13">
      <c r="A62" s="1867"/>
      <c r="B62" s="1887"/>
      <c r="C62" s="1726">
        <f>SUMIF(C33:C51, "4", H33:H51)</f>
        <v>0</v>
      </c>
      <c r="D62" s="1892">
        <f t="shared" si="4"/>
        <v>0</v>
      </c>
      <c r="E62" s="4671" t="s">
        <v>4001</v>
      </c>
      <c r="F62" s="4672"/>
      <c r="G62" s="4673">
        <v>303489.59999999998</v>
      </c>
      <c r="H62" s="4674"/>
      <c r="I62" s="4675">
        <f t="shared" si="5"/>
        <v>0</v>
      </c>
      <c r="J62" s="4675"/>
      <c r="K62" s="4665"/>
    </row>
    <row r="63" spans="1:13">
      <c r="A63" s="1888"/>
      <c r="B63" s="1889"/>
      <c r="C63" s="1727">
        <f>SUMIF(C33:C51, "5", H33:H51)</f>
        <v>0</v>
      </c>
      <c r="D63" s="1893">
        <f t="shared" si="4"/>
        <v>0</v>
      </c>
      <c r="E63" s="4677" t="s">
        <v>4002</v>
      </c>
      <c r="F63" s="4678"/>
      <c r="G63" s="4679">
        <v>303489.59999999998</v>
      </c>
      <c r="H63" s="4680"/>
      <c r="I63" s="4681">
        <f t="shared" si="5"/>
        <v>0</v>
      </c>
      <c r="J63" s="4681"/>
      <c r="K63" s="1754"/>
    </row>
    <row r="64" spans="1:13" ht="15" thickBot="1">
      <c r="A64" s="1886" t="s">
        <v>4003</v>
      </c>
      <c r="B64" s="1744">
        <f>SUM(C58:C63)</f>
        <v>0</v>
      </c>
      <c r="C64" s="1894"/>
      <c r="D64" s="1894">
        <f>SUM(D58:D63)</f>
        <v>0</v>
      </c>
      <c r="E64" s="1885"/>
      <c r="F64" s="1885"/>
      <c r="G64" s="1885"/>
      <c r="H64" s="1885"/>
      <c r="I64" s="1885"/>
      <c r="J64" s="1868" t="s">
        <v>4004</v>
      </c>
      <c r="K64" s="1743">
        <f>SUM(I58:I62)</f>
        <v>0</v>
      </c>
    </row>
    <row r="65" spans="1:11">
      <c r="A65" s="4659"/>
      <c r="B65" s="4659"/>
      <c r="C65" s="4659"/>
      <c r="D65" s="4659"/>
      <c r="E65" s="4659"/>
      <c r="F65" s="4659"/>
      <c r="G65" s="4659"/>
      <c r="H65" s="4659"/>
      <c r="I65" s="4659"/>
      <c r="J65" s="4659"/>
    </row>
    <row r="66" spans="1:11">
      <c r="A66" s="4649" t="s">
        <v>4005</v>
      </c>
      <c r="B66" s="4650"/>
      <c r="C66" s="4650"/>
      <c r="D66" s="4650"/>
      <c r="E66" s="4650"/>
      <c r="F66" s="4650"/>
      <c r="G66" s="4650"/>
      <c r="H66" s="4650"/>
      <c r="I66" s="4650"/>
      <c r="J66" s="4650"/>
      <c r="K66" s="4651"/>
    </row>
    <row r="67" spans="1:11" ht="15" customHeight="1">
      <c r="A67" s="1745"/>
      <c r="B67" s="1702"/>
      <c r="C67" s="1748"/>
      <c r="D67" s="1748"/>
      <c r="E67" s="1748" t="s">
        <v>4006</v>
      </c>
      <c r="F67" s="1748"/>
      <c r="G67" s="1748"/>
      <c r="H67" s="1748"/>
      <c r="I67" s="1748"/>
      <c r="J67" s="1749"/>
      <c r="K67" s="1711">
        <f>J11</f>
        <v>0</v>
      </c>
    </row>
    <row r="68" spans="1:11">
      <c r="A68" s="1746"/>
      <c r="B68" s="1715"/>
      <c r="C68" s="1738"/>
      <c r="D68" s="1738"/>
      <c r="E68" s="1738" t="s">
        <v>4007</v>
      </c>
      <c r="F68" s="1738"/>
      <c r="G68" s="1738"/>
      <c r="H68" s="1738"/>
      <c r="I68" s="1738"/>
      <c r="J68" s="1750"/>
      <c r="K68" s="1711" t="e">
        <f>K54</f>
        <v>#VALUE!</v>
      </c>
    </row>
    <row r="69" spans="1:11" ht="15" thickBot="1">
      <c r="A69" s="1747"/>
      <c r="B69" s="1704"/>
      <c r="C69" s="1751"/>
      <c r="D69" s="1751"/>
      <c r="E69" s="1751" t="s">
        <v>4008</v>
      </c>
      <c r="F69" s="1751"/>
      <c r="G69" s="1751"/>
      <c r="H69" s="1751"/>
      <c r="I69" s="1751"/>
      <c r="J69" s="1752"/>
      <c r="K69" s="1755">
        <f>K64</f>
        <v>0</v>
      </c>
    </row>
    <row r="70" spans="1:11" ht="15" thickBot="1">
      <c r="A70" s="1713"/>
      <c r="B70" s="1705"/>
      <c r="C70" s="4676" t="s">
        <v>4009</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baseColWidth="10" defaultColWidth="9.1640625" defaultRowHeight="13"/>
  <cols>
    <col min="1" max="1" width="3.5" style="774" customWidth="1"/>
    <col min="2" max="2" width="4.1640625" style="774" customWidth="1"/>
    <col min="3" max="3" width="18.5" style="774" customWidth="1"/>
    <col min="4" max="4" width="2.83203125" style="774" customWidth="1"/>
    <col min="5" max="5" width="6.5" style="774" customWidth="1"/>
    <col min="6" max="6" width="39.1640625" style="774" customWidth="1"/>
    <col min="7" max="8" width="8.5" style="774" customWidth="1"/>
    <col min="9" max="9" width="9.1640625" style="774"/>
    <col min="10" max="10" width="14.1640625" style="774" customWidth="1"/>
    <col min="11" max="16384" width="9.1640625" style="774"/>
  </cols>
  <sheetData>
    <row r="1" spans="1:11">
      <c r="A1" s="711" t="s">
        <v>2883</v>
      </c>
      <c r="H1" s="783" t="str">
        <f>'Sensitivity Analysis'!C8</f>
        <v>Cave Spring Townhomes</v>
      </c>
    </row>
    <row r="2" spans="1:11">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35686.332000000002</v>
      </c>
      <c r="K4" s="1281" t="s">
        <v>3664</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2" t="s">
        <v>2977</v>
      </c>
      <c r="C11" s="4712"/>
      <c r="D11" s="4712"/>
      <c r="E11" s="4712"/>
      <c r="F11" s="4712"/>
      <c r="G11" s="4713">
        <f>'Part II-Sources of Funds'!I51+'Part II-Sources of Funds'!I52</f>
        <v>15111000</v>
      </c>
      <c r="H11" s="4713"/>
    </row>
    <row r="12" spans="1:11" ht="1.5" customHeight="1">
      <c r="G12" s="787"/>
      <c r="H12" s="787"/>
    </row>
    <row r="13" spans="1:11" ht="26.25" customHeight="1">
      <c r="A13" s="818" t="s">
        <v>1844</v>
      </c>
      <c r="B13" s="4712" t="s">
        <v>2978</v>
      </c>
      <c r="C13" s="4712"/>
      <c r="D13" s="4712"/>
      <c r="E13" s="4712"/>
      <c r="F13" s="4712"/>
      <c r="G13" s="4714" t="s">
        <v>2815</v>
      </c>
      <c r="H13" s="4714"/>
    </row>
    <row r="14" spans="1:11" ht="12" hidden="1" customHeight="1">
      <c r="A14" s="818"/>
      <c r="B14" s="4605"/>
      <c r="C14" s="4605"/>
      <c r="D14" s="4605"/>
      <c r="E14" s="4605"/>
      <c r="F14" s="4605"/>
      <c r="G14" s="4605"/>
      <c r="H14" s="4605"/>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605" t="s">
        <v>2516</v>
      </c>
      <c r="H18" s="4605"/>
    </row>
    <row r="19" spans="1:8" ht="12" hidden="1" customHeight="1">
      <c r="B19" s="4605"/>
      <c r="C19" s="4605"/>
      <c r="D19" s="4605"/>
      <c r="E19" s="4605"/>
      <c r="F19" s="4605"/>
      <c r="G19" s="4605"/>
      <c r="H19" s="4605"/>
    </row>
    <row r="20" spans="1:8" ht="13.5" customHeight="1"/>
    <row r="21" spans="1:8" ht="12" customHeight="1">
      <c r="A21" s="711" t="s">
        <v>2888</v>
      </c>
    </row>
    <row r="22" spans="1:8" ht="3" customHeight="1"/>
    <row r="23" spans="1:8" ht="24.75" customHeight="1">
      <c r="A23" s="4716" t="s">
        <v>4083</v>
      </c>
      <c r="B23" s="4716"/>
      <c r="C23" s="4716"/>
      <c r="D23" s="4716"/>
      <c r="E23" s="4716"/>
      <c r="F23" s="4716"/>
      <c r="G23" s="4716"/>
      <c r="H23" s="4716"/>
    </row>
    <row r="24" spans="1:8" ht="9" customHeight="1" thickBot="1">
      <c r="A24" s="777"/>
    </row>
    <row r="25" spans="1:8" ht="16.25" customHeight="1" thickBot="1">
      <c r="A25" s="4717">
        <v>20</v>
      </c>
      <c r="B25" s="4718"/>
      <c r="C25" s="1851" t="s">
        <v>976</v>
      </c>
    </row>
    <row r="26" spans="1:8" ht="9" customHeight="1">
      <c r="A26" s="777"/>
    </row>
    <row r="27" spans="1:8" ht="28.25" customHeight="1">
      <c r="A27" s="4715" t="s">
        <v>4088</v>
      </c>
      <c r="B27" s="4715"/>
      <c r="C27" s="4715"/>
      <c r="D27" s="4715"/>
      <c r="E27" s="4715"/>
      <c r="F27" s="4715"/>
      <c r="G27" s="4715"/>
      <c r="H27" s="4715"/>
    </row>
    <row r="28" spans="1:8" ht="9" customHeight="1">
      <c r="A28" s="777"/>
    </row>
    <row r="29" spans="1:8">
      <c r="A29" s="792" t="s">
        <v>2982</v>
      </c>
      <c r="B29" s="819" t="str">
        <f>IF('Part V-Revenues &amp; Expenses'!$K$62=0,"",'Part V-Revenues &amp; Expenses'!$K$62)</f>
        <v/>
      </c>
      <c r="C29" s="792" t="s">
        <v>4081</v>
      </c>
      <c r="D29" s="820" t="s">
        <v>4082</v>
      </c>
    </row>
    <row r="30" spans="1:8" ht="2"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4086</v>
      </c>
      <c r="E33" s="4709" t="s">
        <v>3124</v>
      </c>
      <c r="F33" s="4709"/>
      <c r="G33" s="4709"/>
      <c r="H33" s="4709"/>
    </row>
    <row r="34" spans="1:11" ht="12.75" customHeight="1">
      <c r="C34" s="1850"/>
      <c r="D34" s="1848" t="s">
        <v>2986</v>
      </c>
      <c r="E34" s="4711" t="s">
        <v>3125</v>
      </c>
      <c r="F34" s="4711"/>
      <c r="G34" s="4711"/>
      <c r="H34" s="4711"/>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4086</v>
      </c>
      <c r="E38" s="4709" t="s">
        <v>3124</v>
      </c>
      <c r="F38" s="4709"/>
      <c r="G38" s="4709"/>
      <c r="H38" s="4709"/>
    </row>
    <row r="39" spans="1:11" ht="12.75" customHeight="1">
      <c r="C39" s="1850"/>
      <c r="D39" s="1848" t="s">
        <v>2986</v>
      </c>
      <c r="E39" s="4711" t="s">
        <v>3125</v>
      </c>
      <c r="F39" s="4711"/>
      <c r="G39" s="4711"/>
      <c r="H39" s="4711"/>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4086</v>
      </c>
      <c r="E43" s="4709" t="s">
        <v>3124</v>
      </c>
      <c r="F43" s="4709"/>
      <c r="G43" s="4709"/>
      <c r="H43" s="4709"/>
    </row>
    <row r="44" spans="1:11" ht="12.75" customHeight="1">
      <c r="C44" s="1850"/>
      <c r="D44" s="1848" t="s">
        <v>2986</v>
      </c>
      <c r="E44" s="4711" t="s">
        <v>3125</v>
      </c>
      <c r="F44" s="4711"/>
      <c r="G44" s="4711"/>
      <c r="H44" s="4711"/>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2"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4086</v>
      </c>
      <c r="E50" s="4709" t="s">
        <v>3124</v>
      </c>
      <c r="F50" s="4709"/>
      <c r="G50" s="4709"/>
      <c r="H50" s="4709"/>
    </row>
    <row r="51" spans="1:11" ht="12.75" customHeight="1">
      <c r="C51" s="1850"/>
      <c r="D51" s="1847" t="s">
        <v>2986</v>
      </c>
      <c r="E51" s="4710" t="s">
        <v>3125</v>
      </c>
      <c r="F51" s="4710"/>
      <c r="G51" s="4710"/>
      <c r="H51" s="4710"/>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4086</v>
      </c>
      <c r="E55" s="4709" t="s">
        <v>3124</v>
      </c>
      <c r="F55" s="4709"/>
      <c r="G55" s="4709"/>
      <c r="H55" s="4709"/>
    </row>
    <row r="56" spans="1:11" ht="12.75" customHeight="1">
      <c r="C56" s="1850"/>
      <c r="D56" s="1848" t="s">
        <v>2986</v>
      </c>
      <c r="E56" s="4711" t="s">
        <v>3125</v>
      </c>
      <c r="F56" s="4711"/>
      <c r="G56" s="4711"/>
      <c r="H56" s="4711"/>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4086</v>
      </c>
      <c r="E60" s="4709" t="s">
        <v>3124</v>
      </c>
      <c r="F60" s="4709"/>
      <c r="G60" s="4709"/>
      <c r="H60" s="4709"/>
    </row>
    <row r="61" spans="1:11" ht="12.75" customHeight="1">
      <c r="C61" s="1850"/>
      <c r="D61" s="1848" t="s">
        <v>2986</v>
      </c>
      <c r="E61" s="4711" t="s">
        <v>3125</v>
      </c>
      <c r="F61" s="4711"/>
      <c r="G61" s="4711"/>
      <c r="H61" s="4711"/>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2"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4086</v>
      </c>
      <c r="E67" s="4709" t="s">
        <v>3124</v>
      </c>
      <c r="F67" s="4709"/>
      <c r="G67" s="4709"/>
      <c r="H67" s="4709"/>
    </row>
    <row r="68" spans="1:8" ht="12.75" customHeight="1">
      <c r="C68" s="1850"/>
      <c r="D68" s="1847" t="s">
        <v>2986</v>
      </c>
      <c r="E68" s="4710" t="s">
        <v>3125</v>
      </c>
      <c r="F68" s="4710"/>
      <c r="G68" s="4710"/>
      <c r="H68" s="4710"/>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4086</v>
      </c>
      <c r="E72" s="4709" t="s">
        <v>3124</v>
      </c>
      <c r="F72" s="4709"/>
      <c r="G72" s="4709"/>
      <c r="H72" s="4709"/>
    </row>
    <row r="73" spans="1:8" ht="12.75" customHeight="1">
      <c r="C73" s="1850"/>
      <c r="D73" s="1848" t="s">
        <v>2986</v>
      </c>
      <c r="E73" s="4711" t="s">
        <v>3125</v>
      </c>
      <c r="F73" s="4711"/>
      <c r="G73" s="4711"/>
      <c r="H73" s="4711"/>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4086</v>
      </c>
      <c r="E77" s="4709" t="s">
        <v>3124</v>
      </c>
      <c r="F77" s="4709"/>
      <c r="G77" s="4709"/>
      <c r="H77" s="4709"/>
    </row>
    <row r="78" spans="1:8" ht="12.75" customHeight="1">
      <c r="C78" s="1850"/>
      <c r="D78" s="1848" t="s">
        <v>2986</v>
      </c>
      <c r="E78" s="4711" t="s">
        <v>3125</v>
      </c>
      <c r="F78" s="4711"/>
      <c r="G78" s="4711"/>
      <c r="H78" s="4711"/>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2"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4086</v>
      </c>
      <c r="E84" s="4709" t="s">
        <v>3124</v>
      </c>
      <c r="F84" s="4709"/>
      <c r="G84" s="4709"/>
      <c r="H84" s="4709"/>
    </row>
    <row r="85" spans="3:8" ht="12.75" customHeight="1">
      <c r="C85" s="1850"/>
      <c r="D85" s="1847" t="s">
        <v>2986</v>
      </c>
      <c r="E85" s="4710" t="s">
        <v>3125</v>
      </c>
      <c r="F85" s="4710"/>
      <c r="G85" s="4710"/>
      <c r="H85" s="4710"/>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4086</v>
      </c>
      <c r="E89" s="4709" t="s">
        <v>3124</v>
      </c>
      <c r="F89" s="4709"/>
      <c r="G89" s="4709"/>
      <c r="H89" s="4709"/>
    </row>
    <row r="90" spans="3:8" ht="12.75" customHeight="1">
      <c r="C90" s="1850"/>
      <c r="D90" s="1848" t="s">
        <v>2986</v>
      </c>
      <c r="E90" s="4711" t="s">
        <v>3125</v>
      </c>
      <c r="F90" s="4711"/>
      <c r="G90" s="4711"/>
      <c r="H90" s="4711"/>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4086</v>
      </c>
      <c r="E94" s="4709" t="s">
        <v>3124</v>
      </c>
      <c r="F94" s="4709"/>
      <c r="G94" s="4709"/>
      <c r="H94" s="4709"/>
    </row>
    <row r="95" spans="3:8" ht="12.75" customHeight="1">
      <c r="C95" s="1850"/>
      <c r="D95" s="1848" t="s">
        <v>2986</v>
      </c>
      <c r="E95" s="4711" t="s">
        <v>3125</v>
      </c>
      <c r="F95" s="4711"/>
      <c r="G95" s="4711"/>
      <c r="H95" s="4711"/>
    </row>
    <row r="96" spans="3:8" ht="6" customHeight="1">
      <c r="D96" s="821"/>
      <c r="E96" s="1846"/>
      <c r="F96" s="1846"/>
      <c r="G96" s="1846"/>
      <c r="H96" s="1846"/>
    </row>
    <row r="97" spans="1:11">
      <c r="A97" s="792" t="s">
        <v>2982</v>
      </c>
      <c r="B97" s="819" t="str">
        <f>IF('Part V-Revenues &amp; Expenses'!$O$62=0,"",'Part V-Revenues &amp; Expenses'!$O$62)</f>
        <v/>
      </c>
      <c r="C97" s="792" t="s">
        <v>4084</v>
      </c>
      <c r="D97" s="820" t="s">
        <v>4085</v>
      </c>
    </row>
    <row r="98" spans="1:11" ht="2"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3124</v>
      </c>
      <c r="F101" s="4709"/>
      <c r="G101" s="4709"/>
      <c r="H101" s="4709"/>
    </row>
    <row r="102" spans="1:11" ht="12.75" customHeight="1">
      <c r="D102" s="824" t="s">
        <v>2986</v>
      </c>
      <c r="E102" s="4709" t="s">
        <v>3125</v>
      </c>
      <c r="F102" s="4709"/>
      <c r="G102" s="4709"/>
      <c r="H102" s="4709"/>
    </row>
    <row r="103" spans="1:11" ht="9" customHeight="1" thickBot="1"/>
    <row r="104" spans="1:11" ht="16.25" customHeight="1" thickBot="1">
      <c r="A104" s="4717">
        <v>30</v>
      </c>
      <c r="B104" s="4718"/>
      <c r="C104" s="1851" t="s">
        <v>976</v>
      </c>
    </row>
    <row r="105" spans="1:11" ht="9" customHeight="1">
      <c r="A105" s="777"/>
    </row>
    <row r="106" spans="1:11" ht="28.25" customHeight="1">
      <c r="A106" s="4715" t="s">
        <v>4089</v>
      </c>
      <c r="B106" s="4715"/>
      <c r="C106" s="4715"/>
      <c r="D106" s="4715"/>
      <c r="E106" s="4715"/>
      <c r="F106" s="4715"/>
      <c r="G106" s="4715"/>
      <c r="H106" s="4715"/>
    </row>
    <row r="107" spans="1:11" ht="9" customHeight="1">
      <c r="A107" s="777"/>
    </row>
    <row r="108" spans="1:11">
      <c r="A108" s="792" t="s">
        <v>2982</v>
      </c>
      <c r="B108" s="819" t="str">
        <f>IF('Part V-Revenues &amp; Expenses'!$K$61=0,"",'Part V-Revenues &amp; Expenses'!$K$61)</f>
        <v/>
      </c>
      <c r="C108" s="792" t="s">
        <v>4081</v>
      </c>
      <c r="D108" s="820" t="s">
        <v>4082</v>
      </c>
    </row>
    <row r="109" spans="1:11" ht="2"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4086</v>
      </c>
      <c r="E112" s="4709" t="s">
        <v>3124</v>
      </c>
      <c r="F112" s="4709"/>
      <c r="G112" s="4709"/>
      <c r="H112" s="4709"/>
    </row>
    <row r="113" spans="1:8" ht="12.75" customHeight="1">
      <c r="C113" s="1850"/>
      <c r="D113" s="1848" t="s">
        <v>2986</v>
      </c>
      <c r="E113" s="4711" t="s">
        <v>3125</v>
      </c>
      <c r="F113" s="4711"/>
      <c r="G113" s="4711"/>
      <c r="H113" s="4711"/>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4086</v>
      </c>
      <c r="E117" s="4709" t="s">
        <v>3124</v>
      </c>
      <c r="F117" s="4709"/>
      <c r="G117" s="4709"/>
      <c r="H117" s="4709"/>
    </row>
    <row r="118" spans="1:8" ht="12.75" customHeight="1">
      <c r="C118" s="1850"/>
      <c r="D118" s="1848" t="s">
        <v>2986</v>
      </c>
      <c r="E118" s="4711" t="s">
        <v>3125</v>
      </c>
      <c r="F118" s="4711"/>
      <c r="G118" s="4711"/>
      <c r="H118" s="4711"/>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4086</v>
      </c>
      <c r="E122" s="4709" t="s">
        <v>3124</v>
      </c>
      <c r="F122" s="4709"/>
      <c r="G122" s="4709"/>
      <c r="H122" s="4709"/>
    </row>
    <row r="123" spans="1:8" ht="12.75" customHeight="1">
      <c r="C123" s="1850"/>
      <c r="D123" s="1848" t="s">
        <v>2986</v>
      </c>
      <c r="E123" s="4711" t="s">
        <v>3125</v>
      </c>
      <c r="F123" s="4711"/>
      <c r="G123" s="4711"/>
      <c r="H123" s="4711"/>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2"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4086</v>
      </c>
      <c r="E129" s="4709" t="s">
        <v>3124</v>
      </c>
      <c r="F129" s="4709"/>
      <c r="G129" s="4709"/>
      <c r="H129" s="4709"/>
    </row>
    <row r="130" spans="1:8" ht="12.75" customHeight="1">
      <c r="C130" s="1850"/>
      <c r="D130" s="1847" t="s">
        <v>2986</v>
      </c>
      <c r="E130" s="4710" t="s">
        <v>3125</v>
      </c>
      <c r="F130" s="4710"/>
      <c r="G130" s="4710"/>
      <c r="H130" s="4710"/>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4086</v>
      </c>
      <c r="E134" s="4709" t="s">
        <v>3124</v>
      </c>
      <c r="F134" s="4709"/>
      <c r="G134" s="4709"/>
      <c r="H134" s="4709"/>
    </row>
    <row r="135" spans="1:8" ht="12.75" customHeight="1">
      <c r="C135" s="1850"/>
      <c r="D135" s="1848" t="s">
        <v>2986</v>
      </c>
      <c r="E135" s="4711" t="s">
        <v>3125</v>
      </c>
      <c r="F135" s="4711"/>
      <c r="G135" s="4711"/>
      <c r="H135" s="4711"/>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4086</v>
      </c>
      <c r="E139" s="4709" t="s">
        <v>3124</v>
      </c>
      <c r="F139" s="4709"/>
      <c r="G139" s="4709"/>
      <c r="H139" s="4709"/>
    </row>
    <row r="140" spans="1:8" ht="12.75" customHeight="1">
      <c r="C140" s="1850"/>
      <c r="D140" s="1848" t="s">
        <v>2986</v>
      </c>
      <c r="E140" s="4711" t="s">
        <v>3125</v>
      </c>
      <c r="F140" s="4711"/>
      <c r="G140" s="4711"/>
      <c r="H140" s="4711"/>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2"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4086</v>
      </c>
      <c r="E146" s="4709" t="s">
        <v>3124</v>
      </c>
      <c r="F146" s="4709"/>
      <c r="G146" s="4709"/>
      <c r="H146" s="4709"/>
    </row>
    <row r="147" spans="1:8" ht="12.75" customHeight="1">
      <c r="C147" s="1850"/>
      <c r="D147" s="1847" t="s">
        <v>2986</v>
      </c>
      <c r="E147" s="4710" t="s">
        <v>3125</v>
      </c>
      <c r="F147" s="4710"/>
      <c r="G147" s="4710"/>
      <c r="H147" s="4710"/>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4086</v>
      </c>
      <c r="E151" s="4709" t="s">
        <v>3124</v>
      </c>
      <c r="F151" s="4709"/>
      <c r="G151" s="4709"/>
      <c r="H151" s="4709"/>
    </row>
    <row r="152" spans="1:8" ht="12.75" customHeight="1">
      <c r="C152" s="1850"/>
      <c r="D152" s="1848" t="s">
        <v>2986</v>
      </c>
      <c r="E152" s="4711" t="s">
        <v>3125</v>
      </c>
      <c r="F152" s="4711"/>
      <c r="G152" s="4711"/>
      <c r="H152" s="4711"/>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4086</v>
      </c>
      <c r="E156" s="4709" t="s">
        <v>3124</v>
      </c>
      <c r="F156" s="4709"/>
      <c r="G156" s="4709"/>
      <c r="H156" s="4709"/>
    </row>
    <row r="157" spans="1:8" ht="12.75" customHeight="1">
      <c r="C157" s="1850"/>
      <c r="D157" s="1848" t="s">
        <v>2986</v>
      </c>
      <c r="E157" s="4711" t="s">
        <v>3125</v>
      </c>
      <c r="F157" s="4711"/>
      <c r="G157" s="4711"/>
      <c r="H157" s="4711"/>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2"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4086</v>
      </c>
      <c r="E163" s="4709" t="s">
        <v>3124</v>
      </c>
      <c r="F163" s="4709"/>
      <c r="G163" s="4709"/>
      <c r="H163" s="4709"/>
    </row>
    <row r="164" spans="1:8" ht="12.75" customHeight="1">
      <c r="C164" s="1850"/>
      <c r="D164" s="1847" t="s">
        <v>2986</v>
      </c>
      <c r="E164" s="4710" t="s">
        <v>3125</v>
      </c>
      <c r="F164" s="4710"/>
      <c r="G164" s="4710"/>
      <c r="H164" s="4710"/>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4086</v>
      </c>
      <c r="E168" s="4709" t="s">
        <v>3124</v>
      </c>
      <c r="F168" s="4709"/>
      <c r="G168" s="4709"/>
      <c r="H168" s="4709"/>
    </row>
    <row r="169" spans="1:8" ht="12.75" customHeight="1">
      <c r="C169" s="1850"/>
      <c r="D169" s="1848" t="s">
        <v>2986</v>
      </c>
      <c r="E169" s="4711" t="s">
        <v>3125</v>
      </c>
      <c r="F169" s="4711"/>
      <c r="G169" s="4711"/>
      <c r="H169" s="4711"/>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4086</v>
      </c>
      <c r="E173" s="4709" t="s">
        <v>3124</v>
      </c>
      <c r="F173" s="4709"/>
      <c r="G173" s="4709"/>
      <c r="H173" s="4709"/>
    </row>
    <row r="174" spans="1:8" ht="12.75" customHeight="1">
      <c r="C174" s="1850"/>
      <c r="D174" s="1848" t="s">
        <v>2986</v>
      </c>
      <c r="E174" s="4711" t="s">
        <v>3125</v>
      </c>
      <c r="F174" s="4711"/>
      <c r="G174" s="4711"/>
      <c r="H174" s="4711"/>
    </row>
    <row r="175" spans="1:8" ht="6" customHeight="1">
      <c r="D175" s="821"/>
      <c r="E175" s="1846"/>
      <c r="F175" s="1846"/>
      <c r="G175" s="1846"/>
      <c r="H175" s="1846"/>
    </row>
    <row r="176" spans="1:8">
      <c r="A176" s="792" t="s">
        <v>2982</v>
      </c>
      <c r="B176" s="819" t="str">
        <f>IF('Part V-Revenues &amp; Expenses'!$O61=0,"",'Part V-Revenues &amp; Expenses'!$O$61)</f>
        <v/>
      </c>
      <c r="C176" s="792" t="s">
        <v>4084</v>
      </c>
      <c r="D176" s="820" t="s">
        <v>4085</v>
      </c>
    </row>
    <row r="177" spans="1:11" ht="2"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3124</v>
      </c>
      <c r="F180" s="4709"/>
      <c r="G180" s="4709"/>
      <c r="H180" s="4709"/>
    </row>
    <row r="181" spans="1:11" ht="12.75" customHeight="1">
      <c r="D181" s="824" t="s">
        <v>2986</v>
      </c>
      <c r="E181" s="4709" t="s">
        <v>3125</v>
      </c>
      <c r="F181" s="4709"/>
      <c r="G181" s="4709"/>
      <c r="H181" s="4709"/>
    </row>
    <row r="182" spans="1:11" ht="9" customHeight="1" thickBot="1"/>
    <row r="183" spans="1:11" ht="16.25" customHeight="1" thickBot="1">
      <c r="A183" s="4717">
        <v>40</v>
      </c>
      <c r="B183" s="4718"/>
      <c r="C183" s="1851" t="s">
        <v>976</v>
      </c>
    </row>
    <row r="184" spans="1:11" ht="9" customHeight="1">
      <c r="A184" s="777"/>
    </row>
    <row r="185" spans="1:11" ht="28.25" customHeight="1">
      <c r="A185" s="4715" t="s">
        <v>4090</v>
      </c>
      <c r="B185" s="4715"/>
      <c r="C185" s="4715"/>
      <c r="D185" s="4715"/>
      <c r="E185" s="4715"/>
      <c r="F185" s="4715"/>
      <c r="G185" s="4715"/>
      <c r="H185" s="4715"/>
    </row>
    <row r="186" spans="1:11" ht="9" customHeight="1">
      <c r="A186" s="777"/>
    </row>
    <row r="187" spans="1:11">
      <c r="A187" s="792" t="s">
        <v>2982</v>
      </c>
      <c r="B187" s="819" t="str">
        <f>IF('Part V-Revenues &amp; Expenses'!$K$60=0,"",'Part V-Revenues &amp; Expenses'!$K$60)</f>
        <v/>
      </c>
      <c r="C187" s="792" t="s">
        <v>4081</v>
      </c>
      <c r="D187" s="820" t="s">
        <v>4082</v>
      </c>
    </row>
    <row r="188" spans="1:11" ht="2"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4086</v>
      </c>
      <c r="E191" s="4709" t="s">
        <v>3124</v>
      </c>
      <c r="F191" s="4709"/>
      <c r="G191" s="4709"/>
      <c r="H191" s="4709"/>
    </row>
    <row r="192" spans="1:11" ht="12.75" customHeight="1">
      <c r="C192" s="1850"/>
      <c r="D192" s="1848" t="s">
        <v>2986</v>
      </c>
      <c r="E192" s="4711" t="s">
        <v>3125</v>
      </c>
      <c r="F192" s="4711"/>
      <c r="G192" s="4711"/>
      <c r="H192" s="4711"/>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4086</v>
      </c>
      <c r="E196" s="4709" t="s">
        <v>3124</v>
      </c>
      <c r="F196" s="4709"/>
      <c r="G196" s="4709"/>
      <c r="H196" s="4709"/>
    </row>
    <row r="197" spans="1:8" ht="12.75" customHeight="1">
      <c r="C197" s="1850"/>
      <c r="D197" s="1848" t="s">
        <v>2986</v>
      </c>
      <c r="E197" s="4711" t="s">
        <v>3125</v>
      </c>
      <c r="F197" s="4711"/>
      <c r="G197" s="4711"/>
      <c r="H197" s="4711"/>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4086</v>
      </c>
      <c r="E201" s="4709" t="s">
        <v>3124</v>
      </c>
      <c r="F201" s="4709"/>
      <c r="G201" s="4709"/>
      <c r="H201" s="4709"/>
    </row>
    <row r="202" spans="1:8" ht="12.75" customHeight="1">
      <c r="C202" s="1850"/>
      <c r="D202" s="1848" t="s">
        <v>2986</v>
      </c>
      <c r="E202" s="4711" t="s">
        <v>3125</v>
      </c>
      <c r="F202" s="4711"/>
      <c r="G202" s="4711"/>
      <c r="H202" s="4711"/>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3126</v>
      </c>
    </row>
    <row r="205" spans="1:8" ht="2"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4086</v>
      </c>
      <c r="E208" s="4709" t="s">
        <v>3124</v>
      </c>
      <c r="F208" s="4709"/>
      <c r="G208" s="4709"/>
      <c r="H208" s="4709"/>
    </row>
    <row r="209" spans="1:8" ht="12.75" customHeight="1">
      <c r="C209" s="1850"/>
      <c r="D209" s="1847" t="s">
        <v>2986</v>
      </c>
      <c r="E209" s="4710" t="s">
        <v>3125</v>
      </c>
      <c r="F209" s="4710"/>
      <c r="G209" s="4710"/>
      <c r="H209" s="4710"/>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4086</v>
      </c>
      <c r="E213" s="4709" t="s">
        <v>3124</v>
      </c>
      <c r="F213" s="4709"/>
      <c r="G213" s="4709"/>
      <c r="H213" s="4709"/>
    </row>
    <row r="214" spans="1:8" ht="12.75" customHeight="1">
      <c r="C214" s="1850"/>
      <c r="D214" s="1848" t="s">
        <v>2986</v>
      </c>
      <c r="E214" s="4711" t="s">
        <v>3125</v>
      </c>
      <c r="F214" s="4711"/>
      <c r="G214" s="4711"/>
      <c r="H214" s="4711"/>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4086</v>
      </c>
      <c r="E218" s="4709" t="s">
        <v>3124</v>
      </c>
      <c r="F218" s="4709"/>
      <c r="G218" s="4709"/>
      <c r="H218" s="4709"/>
    </row>
    <row r="219" spans="1:8" ht="12.75" customHeight="1">
      <c r="C219" s="1850"/>
      <c r="D219" s="1848" t="s">
        <v>2986</v>
      </c>
      <c r="E219" s="4711" t="s">
        <v>3125</v>
      </c>
      <c r="F219" s="4711"/>
      <c r="G219" s="4711"/>
      <c r="H219" s="4711"/>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3127</v>
      </c>
    </row>
    <row r="222" spans="1:8" ht="2"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4086</v>
      </c>
      <c r="E225" s="4709" t="s">
        <v>3124</v>
      </c>
      <c r="F225" s="4709"/>
      <c r="G225" s="4709"/>
      <c r="H225" s="4709"/>
    </row>
    <row r="226" spans="1:8" ht="12.75" customHeight="1">
      <c r="C226" s="1850"/>
      <c r="D226" s="1847" t="s">
        <v>2986</v>
      </c>
      <c r="E226" s="4710" t="s">
        <v>3125</v>
      </c>
      <c r="F226" s="4710"/>
      <c r="G226" s="4710"/>
      <c r="H226" s="4710"/>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4086</v>
      </c>
      <c r="E230" s="4709" t="s">
        <v>3124</v>
      </c>
      <c r="F230" s="4709"/>
      <c r="G230" s="4709"/>
      <c r="H230" s="4709"/>
    </row>
    <row r="231" spans="1:8" ht="12.75" customHeight="1">
      <c r="C231" s="1850"/>
      <c r="D231" s="1848" t="s">
        <v>2986</v>
      </c>
      <c r="E231" s="4711" t="s">
        <v>3125</v>
      </c>
      <c r="F231" s="4711"/>
      <c r="G231" s="4711"/>
      <c r="H231" s="4711"/>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4086</v>
      </c>
      <c r="E235" s="4709" t="s">
        <v>3124</v>
      </c>
      <c r="F235" s="4709"/>
      <c r="G235" s="4709"/>
      <c r="H235" s="4709"/>
    </row>
    <row r="236" spans="1:8" ht="12.75" customHeight="1">
      <c r="C236" s="1850"/>
      <c r="D236" s="1848" t="s">
        <v>2986</v>
      </c>
      <c r="E236" s="4711" t="s">
        <v>3125</v>
      </c>
      <c r="F236" s="4711"/>
      <c r="G236" s="4711"/>
      <c r="H236" s="4711"/>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2"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4086</v>
      </c>
      <c r="E242" s="4709" t="s">
        <v>3124</v>
      </c>
      <c r="F242" s="4709"/>
      <c r="G242" s="4709"/>
      <c r="H242" s="4709"/>
    </row>
    <row r="243" spans="1:8" ht="12.75" customHeight="1">
      <c r="C243" s="1850"/>
      <c r="D243" s="1847" t="s">
        <v>2986</v>
      </c>
      <c r="E243" s="4710" t="s">
        <v>3125</v>
      </c>
      <c r="F243" s="4710"/>
      <c r="G243" s="4710"/>
      <c r="H243" s="4710"/>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4086</v>
      </c>
      <c r="E247" s="4709" t="s">
        <v>3124</v>
      </c>
      <c r="F247" s="4709"/>
      <c r="G247" s="4709"/>
      <c r="H247" s="4709"/>
    </row>
    <row r="248" spans="1:8" ht="12.75" customHeight="1">
      <c r="C248" s="1850"/>
      <c r="D248" s="1848" t="s">
        <v>2986</v>
      </c>
      <c r="E248" s="4711" t="s">
        <v>3125</v>
      </c>
      <c r="F248" s="4711"/>
      <c r="G248" s="4711"/>
      <c r="H248" s="4711"/>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4086</v>
      </c>
      <c r="E252" s="4709" t="s">
        <v>3124</v>
      </c>
      <c r="F252" s="4709"/>
      <c r="G252" s="4709"/>
      <c r="H252" s="4709"/>
    </row>
    <row r="253" spans="1:8" ht="12.75" customHeight="1">
      <c r="C253" s="1850"/>
      <c r="D253" s="1848" t="s">
        <v>2986</v>
      </c>
      <c r="E253" s="4711" t="s">
        <v>3125</v>
      </c>
      <c r="F253" s="4711"/>
      <c r="G253" s="4711"/>
      <c r="H253" s="4711"/>
    </row>
    <row r="254" spans="1:8" ht="6" customHeight="1">
      <c r="D254" s="821"/>
      <c r="E254" s="1846"/>
      <c r="F254" s="1846"/>
      <c r="G254" s="1846"/>
      <c r="H254" s="1846"/>
    </row>
    <row r="255" spans="1:8">
      <c r="A255" s="792" t="s">
        <v>2982</v>
      </c>
      <c r="B255" s="819" t="str">
        <f>IF('Part V-Revenues &amp; Expenses'!$O$60=0,"",'Part V-Revenues &amp; Expenses'!$O$60)</f>
        <v/>
      </c>
      <c r="C255" s="792" t="s">
        <v>4084</v>
      </c>
      <c r="D255" s="820" t="s">
        <v>4085</v>
      </c>
    </row>
    <row r="256" spans="1:8" ht="2"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3124</v>
      </c>
      <c r="F259" s="4709"/>
      <c r="G259" s="4709"/>
      <c r="H259" s="4709"/>
    </row>
    <row r="260" spans="1:11" ht="12.75" customHeight="1">
      <c r="D260" s="824" t="s">
        <v>2986</v>
      </c>
      <c r="E260" s="4709" t="s">
        <v>3125</v>
      </c>
      <c r="F260" s="4709"/>
      <c r="G260" s="4709"/>
      <c r="H260" s="4709"/>
    </row>
    <row r="261" spans="1:11" ht="9" customHeight="1" thickBot="1"/>
    <row r="262" spans="1:11" ht="16.25" customHeight="1" thickBot="1">
      <c r="A262" s="4717">
        <v>50</v>
      </c>
      <c r="B262" s="4718"/>
      <c r="C262" s="1851" t="s">
        <v>976</v>
      </c>
    </row>
    <row r="263" spans="1:11" ht="9" customHeight="1">
      <c r="A263" s="777"/>
    </row>
    <row r="264" spans="1:11" ht="28.25" customHeight="1">
      <c r="A264" s="4715" t="s">
        <v>4087</v>
      </c>
      <c r="B264" s="4715"/>
      <c r="C264" s="4715"/>
      <c r="D264" s="4715"/>
      <c r="E264" s="4715"/>
      <c r="F264" s="4715"/>
      <c r="G264" s="4715"/>
      <c r="H264" s="4715"/>
    </row>
    <row r="265" spans="1:11" ht="9" customHeight="1">
      <c r="A265" s="777"/>
    </row>
    <row r="266" spans="1:11">
      <c r="A266" s="792" t="s">
        <v>2982</v>
      </c>
      <c r="B266" s="819" t="str">
        <f>IF('Part V-Revenues &amp; Expenses'!$K$59=0,"",'Part V-Revenues &amp; Expenses'!$K$59)</f>
        <v/>
      </c>
      <c r="C266" s="792" t="s">
        <v>4081</v>
      </c>
      <c r="D266" s="820" t="s">
        <v>4082</v>
      </c>
    </row>
    <row r="267" spans="1:11" ht="2"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4086</v>
      </c>
      <c r="E270" s="4709" t="s">
        <v>3124</v>
      </c>
      <c r="F270" s="4709"/>
      <c r="G270" s="4709"/>
      <c r="H270" s="4709"/>
    </row>
    <row r="271" spans="1:11" ht="12.75" customHeight="1">
      <c r="C271" s="1850"/>
      <c r="D271" s="1848" t="s">
        <v>2986</v>
      </c>
      <c r="E271" s="4711" t="s">
        <v>3125</v>
      </c>
      <c r="F271" s="4711"/>
      <c r="G271" s="4711"/>
      <c r="H271" s="4711"/>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4086</v>
      </c>
      <c r="E275" s="4709" t="s">
        <v>3124</v>
      </c>
      <c r="F275" s="4709"/>
      <c r="G275" s="4709"/>
      <c r="H275" s="4709"/>
    </row>
    <row r="276" spans="1:8" ht="12.75" customHeight="1">
      <c r="C276" s="1850"/>
      <c r="D276" s="1848" t="s">
        <v>2986</v>
      </c>
      <c r="E276" s="4711" t="s">
        <v>3125</v>
      </c>
      <c r="F276" s="4711"/>
      <c r="G276" s="4711"/>
      <c r="H276" s="4711"/>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4086</v>
      </c>
      <c r="E280" s="4709" t="s">
        <v>3124</v>
      </c>
      <c r="F280" s="4709"/>
      <c r="G280" s="4709"/>
      <c r="H280" s="4709"/>
    </row>
    <row r="281" spans="1:8" ht="12.75" customHeight="1">
      <c r="C281" s="1850"/>
      <c r="D281" s="1848" t="s">
        <v>2986</v>
      </c>
      <c r="E281" s="4711" t="s">
        <v>3125</v>
      </c>
      <c r="F281" s="4711"/>
      <c r="G281" s="4711"/>
      <c r="H281" s="4711"/>
    </row>
    <row r="282" spans="1:8" ht="6" customHeight="1">
      <c r="D282" s="821"/>
      <c r="E282" s="1846"/>
      <c r="F282" s="1846"/>
      <c r="G282" s="1846"/>
      <c r="H282" s="1846"/>
    </row>
    <row r="283" spans="1:8">
      <c r="A283" s="792" t="s">
        <v>2982</v>
      </c>
      <c r="B283" s="819">
        <f>IF('Part V-Revenues &amp; Expenses'!$L$59=0,"",'Part V-Revenues &amp; Expenses'!$L$59)</f>
        <v>8</v>
      </c>
      <c r="C283" s="792" t="s">
        <v>2983</v>
      </c>
      <c r="D283" s="820" t="s">
        <v>3126</v>
      </c>
    </row>
    <row r="284" spans="1:8" ht="2"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4086</v>
      </c>
      <c r="E287" s="4709" t="s">
        <v>3124</v>
      </c>
      <c r="F287" s="4709"/>
      <c r="G287" s="4709"/>
      <c r="H287" s="4709"/>
    </row>
    <row r="288" spans="1:8" ht="12.75" customHeight="1">
      <c r="C288" s="1850"/>
      <c r="D288" s="1847" t="s">
        <v>2986</v>
      </c>
      <c r="E288" s="4710" t="s">
        <v>3125</v>
      </c>
      <c r="F288" s="4710"/>
      <c r="G288" s="4710"/>
      <c r="H288" s="4710"/>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4086</v>
      </c>
      <c r="E292" s="4709" t="s">
        <v>3124</v>
      </c>
      <c r="F292" s="4709"/>
      <c r="G292" s="4709"/>
      <c r="H292" s="4709"/>
    </row>
    <row r="293" spans="1:8" ht="12.75" customHeight="1">
      <c r="C293" s="1850"/>
      <c r="D293" s="1848" t="s">
        <v>2986</v>
      </c>
      <c r="E293" s="4711" t="s">
        <v>3125</v>
      </c>
      <c r="F293" s="4711"/>
      <c r="G293" s="4711"/>
      <c r="H293" s="4711"/>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4086</v>
      </c>
      <c r="E297" s="4709" t="s">
        <v>3124</v>
      </c>
      <c r="F297" s="4709"/>
      <c r="G297" s="4709"/>
      <c r="H297" s="4709"/>
    </row>
    <row r="298" spans="1:8" ht="12.75" customHeight="1">
      <c r="C298" s="1850"/>
      <c r="D298" s="1848" t="s">
        <v>2986</v>
      </c>
      <c r="E298" s="4711" t="s">
        <v>3125</v>
      </c>
      <c r="F298" s="4711"/>
      <c r="G298" s="4711"/>
      <c r="H298" s="4711"/>
    </row>
    <row r="299" spans="1:8" ht="6" customHeight="1">
      <c r="D299" s="821"/>
      <c r="E299" s="1846"/>
      <c r="F299" s="1846"/>
      <c r="G299" s="1846"/>
      <c r="H299" s="1846"/>
    </row>
    <row r="300" spans="1:8">
      <c r="A300" s="792" t="s">
        <v>2982</v>
      </c>
      <c r="B300" s="819">
        <f>IF('Part V-Revenues &amp; Expenses'!$M$59=0,"",'Part V-Revenues &amp; Expenses'!$M$59)</f>
        <v>8</v>
      </c>
      <c r="C300" s="792" t="s">
        <v>2984</v>
      </c>
      <c r="D300" s="820" t="s">
        <v>3127</v>
      </c>
    </row>
    <row r="301" spans="1:8" ht="2"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4086</v>
      </c>
      <c r="E304" s="4709" t="s">
        <v>3124</v>
      </c>
      <c r="F304" s="4709"/>
      <c r="G304" s="4709"/>
      <c r="H304" s="4709"/>
    </row>
    <row r="305" spans="1:8" ht="12.75" customHeight="1">
      <c r="C305" s="1850"/>
      <c r="D305" s="1847" t="s">
        <v>2986</v>
      </c>
      <c r="E305" s="4710" t="s">
        <v>3125</v>
      </c>
      <c r="F305" s="4710"/>
      <c r="G305" s="4710"/>
      <c r="H305" s="4710"/>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4086</v>
      </c>
      <c r="E309" s="4709" t="s">
        <v>3124</v>
      </c>
      <c r="F309" s="4709"/>
      <c r="G309" s="4709"/>
      <c r="H309" s="4709"/>
    </row>
    <row r="310" spans="1:8" ht="12.75" customHeight="1">
      <c r="C310" s="1850"/>
      <c r="D310" s="1848" t="s">
        <v>2986</v>
      </c>
      <c r="E310" s="4711" t="s">
        <v>3125</v>
      </c>
      <c r="F310" s="4711"/>
      <c r="G310" s="4711"/>
      <c r="H310" s="4711"/>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4086</v>
      </c>
      <c r="E314" s="4709" t="s">
        <v>3124</v>
      </c>
      <c r="F314" s="4709"/>
      <c r="G314" s="4709"/>
      <c r="H314" s="4709"/>
    </row>
    <row r="315" spans="1:8" ht="12.75" customHeight="1">
      <c r="C315" s="1850"/>
      <c r="D315" s="1848" t="s">
        <v>2986</v>
      </c>
      <c r="E315" s="4711" t="s">
        <v>3125</v>
      </c>
      <c r="F315" s="4711"/>
      <c r="G315" s="4711"/>
      <c r="H315" s="4711"/>
    </row>
    <row r="316" spans="1:8" ht="6" customHeight="1">
      <c r="D316" s="821"/>
      <c r="E316" s="1846"/>
      <c r="F316" s="1846"/>
      <c r="G316" s="1846"/>
      <c r="H316" s="1846"/>
    </row>
    <row r="317" spans="1:8">
      <c r="A317" s="792" t="s">
        <v>2982</v>
      </c>
      <c r="B317" s="819">
        <f>IF('Part V-Revenues &amp; Expenses'!$N$59=0,"",'Part V-Revenues &amp; Expenses'!$N$59)</f>
        <v>4</v>
      </c>
      <c r="C317" s="792" t="s">
        <v>2985</v>
      </c>
      <c r="D317" s="820" t="s">
        <v>3128</v>
      </c>
    </row>
    <row r="318" spans="1:8" ht="2"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4086</v>
      </c>
      <c r="E321" s="4709" t="s">
        <v>3124</v>
      </c>
      <c r="F321" s="4709"/>
      <c r="G321" s="4709"/>
      <c r="H321" s="4709"/>
    </row>
    <row r="322" spans="1:11" ht="12.75" customHeight="1">
      <c r="C322" s="1850"/>
      <c r="D322" s="1847" t="s">
        <v>2986</v>
      </c>
      <c r="E322" s="4710" t="s">
        <v>3125</v>
      </c>
      <c r="F322" s="4710"/>
      <c r="G322" s="4710"/>
      <c r="H322" s="4710"/>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4086</v>
      </c>
      <c r="E326" s="4709" t="s">
        <v>3124</v>
      </c>
      <c r="F326" s="4709"/>
      <c r="G326" s="4709"/>
      <c r="H326" s="4709"/>
    </row>
    <row r="327" spans="1:11" ht="12.75" customHeight="1">
      <c r="C327" s="1850"/>
      <c r="D327" s="1848" t="s">
        <v>2986</v>
      </c>
      <c r="E327" s="4711" t="s">
        <v>3125</v>
      </c>
      <c r="F327" s="4711"/>
      <c r="G327" s="4711"/>
      <c r="H327" s="4711"/>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4086</v>
      </c>
      <c r="E331" s="4709" t="s">
        <v>3124</v>
      </c>
      <c r="F331" s="4709"/>
      <c r="G331" s="4709"/>
      <c r="H331" s="4709"/>
    </row>
    <row r="332" spans="1:11" ht="12.75" customHeight="1">
      <c r="C332" s="1850"/>
      <c r="D332" s="1848" t="s">
        <v>2986</v>
      </c>
      <c r="E332" s="4711" t="s">
        <v>3125</v>
      </c>
      <c r="F332" s="4711"/>
      <c r="G332" s="4711"/>
      <c r="H332" s="4711"/>
    </row>
    <row r="333" spans="1:11" ht="6" customHeight="1">
      <c r="D333" s="821"/>
      <c r="E333" s="1846"/>
      <c r="F333" s="1846"/>
      <c r="G333" s="1846"/>
      <c r="H333" s="1846"/>
    </row>
    <row r="334" spans="1:11">
      <c r="A334" s="792" t="s">
        <v>2982</v>
      </c>
      <c r="B334" s="819" t="str">
        <f>IF('Part V-Revenues &amp; Expenses'!$O$59=0,"",'Part V-Revenues &amp; Expenses'!$O$59)</f>
        <v/>
      </c>
      <c r="C334" s="792" t="s">
        <v>4084</v>
      </c>
      <c r="D334" s="820" t="s">
        <v>4085</v>
      </c>
    </row>
    <row r="335" spans="1:11" ht="2"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3124</v>
      </c>
      <c r="F338" s="4709"/>
      <c r="G338" s="4709"/>
      <c r="H338" s="4709"/>
    </row>
    <row r="339" spans="1:8" ht="12.75" customHeight="1">
      <c r="D339" s="824" t="s">
        <v>2986</v>
      </c>
      <c r="E339" s="4709" t="s">
        <v>3125</v>
      </c>
      <c r="F339" s="4709"/>
      <c r="G339" s="4709"/>
      <c r="H339" s="4709"/>
    </row>
    <row r="340" spans="1:8" ht="9" customHeight="1"/>
    <row r="341" spans="1:8" ht="7.5" customHeight="1" thickBot="1">
      <c r="E341" s="4709"/>
      <c r="F341" s="4709"/>
      <c r="G341" s="4709"/>
      <c r="H341" s="4709"/>
    </row>
    <row r="342" spans="1:8" ht="16.25" customHeight="1" thickBot="1">
      <c r="A342" s="4717">
        <v>60</v>
      </c>
      <c r="B342" s="4718"/>
      <c r="C342" s="1851" t="s">
        <v>976</v>
      </c>
    </row>
    <row r="343" spans="1:8" ht="9" customHeight="1">
      <c r="A343" s="777"/>
    </row>
    <row r="344" spans="1:8" ht="28.25" customHeight="1">
      <c r="A344" s="4715" t="s">
        <v>4091</v>
      </c>
      <c r="B344" s="4715"/>
      <c r="C344" s="4715"/>
      <c r="D344" s="4715"/>
      <c r="E344" s="4715"/>
      <c r="F344" s="4715"/>
      <c r="G344" s="4715"/>
      <c r="H344" s="4715"/>
    </row>
    <row r="345" spans="1:8" ht="9" customHeight="1">
      <c r="A345" s="777"/>
    </row>
    <row r="346" spans="1:8">
      <c r="A346" s="792" t="s">
        <v>2982</v>
      </c>
      <c r="B346" s="819" t="str">
        <f>IF('Part V-Revenues &amp; Expenses'!$K$58=0,"",'Part V-Revenues &amp; Expenses'!$K$58)</f>
        <v/>
      </c>
      <c r="C346" s="792" t="s">
        <v>4081</v>
      </c>
      <c r="D346" s="820" t="s">
        <v>4082</v>
      </c>
    </row>
    <row r="347" spans="1:8" ht="2"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4086</v>
      </c>
      <c r="E350" s="4709" t="s">
        <v>3124</v>
      </c>
      <c r="F350" s="4709"/>
      <c r="G350" s="4709"/>
      <c r="H350" s="4709"/>
    </row>
    <row r="351" spans="1:8" ht="12.75" customHeight="1">
      <c r="C351" s="1850"/>
      <c r="D351" s="1848" t="s">
        <v>2986</v>
      </c>
      <c r="E351" s="4711" t="s">
        <v>3125</v>
      </c>
      <c r="F351" s="4711"/>
      <c r="G351" s="4711"/>
      <c r="H351" s="4711"/>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4086</v>
      </c>
      <c r="E355" s="4709" t="s">
        <v>3124</v>
      </c>
      <c r="F355" s="4709"/>
      <c r="G355" s="4709"/>
      <c r="H355" s="4709"/>
    </row>
    <row r="356" spans="1:8" ht="12.75" customHeight="1">
      <c r="C356" s="1850"/>
      <c r="D356" s="1848" t="s">
        <v>2986</v>
      </c>
      <c r="E356" s="4711" t="s">
        <v>3125</v>
      </c>
      <c r="F356" s="4711"/>
      <c r="G356" s="4711"/>
      <c r="H356" s="4711"/>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4086</v>
      </c>
      <c r="E360" s="4709" t="s">
        <v>3124</v>
      </c>
      <c r="F360" s="4709"/>
      <c r="G360" s="4709"/>
      <c r="H360" s="4709"/>
    </row>
    <row r="361" spans="1:8" ht="12.75" customHeight="1">
      <c r="C361" s="1850"/>
      <c r="D361" s="1848" t="s">
        <v>2986</v>
      </c>
      <c r="E361" s="4711" t="s">
        <v>3125</v>
      </c>
      <c r="F361" s="4711"/>
      <c r="G361" s="4711"/>
      <c r="H361" s="4711"/>
    </row>
    <row r="362" spans="1:8" ht="6" customHeight="1">
      <c r="D362" s="821"/>
      <c r="E362" s="1846"/>
      <c r="F362" s="1846"/>
      <c r="G362" s="1846"/>
      <c r="H362" s="1846"/>
    </row>
    <row r="363" spans="1:8">
      <c r="A363" s="792" t="s">
        <v>2982</v>
      </c>
      <c r="B363" s="819">
        <f>IF('Part V-Revenues &amp; Expenses'!$L$58=0,"",'Part V-Revenues &amp; Expenses'!$L$58)</f>
        <v>7</v>
      </c>
      <c r="C363" s="792" t="s">
        <v>2983</v>
      </c>
      <c r="D363" s="820" t="s">
        <v>3126</v>
      </c>
    </row>
    <row r="364" spans="1:8" ht="2"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4086</v>
      </c>
      <c r="E367" s="4709" t="s">
        <v>3124</v>
      </c>
      <c r="F367" s="4709"/>
      <c r="G367" s="4709"/>
      <c r="H367" s="4709"/>
    </row>
    <row r="368" spans="1:8" ht="12.75" customHeight="1">
      <c r="C368" s="1850"/>
      <c r="D368" s="1847" t="s">
        <v>2986</v>
      </c>
      <c r="E368" s="4710" t="s">
        <v>3125</v>
      </c>
      <c r="F368" s="4710"/>
      <c r="G368" s="4710"/>
      <c r="H368" s="4710"/>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4086</v>
      </c>
      <c r="E372" s="4709" t="s">
        <v>3124</v>
      </c>
      <c r="F372" s="4709"/>
      <c r="G372" s="4709"/>
      <c r="H372" s="4709"/>
    </row>
    <row r="373" spans="1:8" ht="12.75" customHeight="1">
      <c r="C373" s="1850"/>
      <c r="D373" s="1848" t="s">
        <v>2986</v>
      </c>
      <c r="E373" s="4711" t="s">
        <v>3125</v>
      </c>
      <c r="F373" s="4711"/>
      <c r="G373" s="4711"/>
      <c r="H373" s="4711"/>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4086</v>
      </c>
      <c r="E377" s="4709" t="s">
        <v>3124</v>
      </c>
      <c r="F377" s="4709"/>
      <c r="G377" s="4709"/>
      <c r="H377" s="4709"/>
    </row>
    <row r="378" spans="1:8" ht="12.75" customHeight="1">
      <c r="C378" s="1850"/>
      <c r="D378" s="1848" t="s">
        <v>2986</v>
      </c>
      <c r="E378" s="4711" t="s">
        <v>3125</v>
      </c>
      <c r="F378" s="4711"/>
      <c r="G378" s="4711"/>
      <c r="H378" s="4711"/>
    </row>
    <row r="379" spans="1:8" ht="6" customHeight="1">
      <c r="D379" s="821"/>
      <c r="E379" s="1846"/>
      <c r="F379" s="1846"/>
      <c r="G379" s="1846"/>
      <c r="H379" s="1846"/>
    </row>
    <row r="380" spans="1:8">
      <c r="A380" s="792" t="s">
        <v>2982</v>
      </c>
      <c r="B380" s="819">
        <f>IF('Part V-Revenues &amp; Expenses'!$M$58=0,"",'Part V-Revenues &amp; Expenses'!$M$58)</f>
        <v>20</v>
      </c>
      <c r="C380" s="792" t="s">
        <v>2984</v>
      </c>
      <c r="D380" s="820" t="s">
        <v>3127</v>
      </c>
    </row>
    <row r="381" spans="1:8" ht="2"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4086</v>
      </c>
      <c r="E384" s="4709" t="s">
        <v>3124</v>
      </c>
      <c r="F384" s="4709"/>
      <c r="G384" s="4709"/>
      <c r="H384" s="4709"/>
    </row>
    <row r="385" spans="1:8" ht="12.75" customHeight="1">
      <c r="C385" s="1850"/>
      <c r="D385" s="1847" t="s">
        <v>2986</v>
      </c>
      <c r="E385" s="4710" t="s">
        <v>3125</v>
      </c>
      <c r="F385" s="4710"/>
      <c r="G385" s="4710"/>
      <c r="H385" s="4710"/>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4086</v>
      </c>
      <c r="E389" s="4709" t="s">
        <v>3124</v>
      </c>
      <c r="F389" s="4709"/>
      <c r="G389" s="4709"/>
      <c r="H389" s="4709"/>
    </row>
    <row r="390" spans="1:8" ht="12.75" customHeight="1">
      <c r="C390" s="1850"/>
      <c r="D390" s="1848" t="s">
        <v>2986</v>
      </c>
      <c r="E390" s="4711" t="s">
        <v>3125</v>
      </c>
      <c r="F390" s="4711"/>
      <c r="G390" s="4711"/>
      <c r="H390" s="4711"/>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4086</v>
      </c>
      <c r="E394" s="4709" t="s">
        <v>3124</v>
      </c>
      <c r="F394" s="4709"/>
      <c r="G394" s="4709"/>
      <c r="H394" s="4709"/>
    </row>
    <row r="395" spans="1:8" ht="12.75" customHeight="1">
      <c r="C395" s="1850"/>
      <c r="D395" s="1848" t="s">
        <v>2986</v>
      </c>
      <c r="E395" s="4711" t="s">
        <v>3125</v>
      </c>
      <c r="F395" s="4711"/>
      <c r="G395" s="4711"/>
      <c r="H395" s="4711"/>
    </row>
    <row r="396" spans="1:8" ht="6" customHeight="1">
      <c r="D396" s="821"/>
      <c r="E396" s="1846"/>
      <c r="F396" s="1846"/>
      <c r="G396" s="1846"/>
      <c r="H396" s="1846"/>
    </row>
    <row r="397" spans="1:8">
      <c r="A397" s="792" t="s">
        <v>2982</v>
      </c>
      <c r="B397" s="819">
        <f>IF('Part V-Revenues &amp; Expenses'!$N$58=0,"",'Part V-Revenues &amp; Expenses'!$N$58)</f>
        <v>5</v>
      </c>
      <c r="C397" s="792" t="s">
        <v>2985</v>
      </c>
      <c r="D397" s="820" t="s">
        <v>3128</v>
      </c>
    </row>
    <row r="398" spans="1:8" ht="2"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4086</v>
      </c>
      <c r="E401" s="4709" t="s">
        <v>3124</v>
      </c>
      <c r="F401" s="4709"/>
      <c r="G401" s="4709"/>
      <c r="H401" s="4709"/>
    </row>
    <row r="402" spans="1:11" ht="12.75" customHeight="1">
      <c r="C402" s="1850"/>
      <c r="D402" s="1847" t="s">
        <v>2986</v>
      </c>
      <c r="E402" s="4710" t="s">
        <v>3125</v>
      </c>
      <c r="F402" s="4710"/>
      <c r="G402" s="4710"/>
      <c r="H402" s="4710"/>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4086</v>
      </c>
      <c r="E406" s="4709" t="s">
        <v>3124</v>
      </c>
      <c r="F406" s="4709"/>
      <c r="G406" s="4709"/>
      <c r="H406" s="4709"/>
    </row>
    <row r="407" spans="1:11" ht="12.75" customHeight="1">
      <c r="C407" s="1850"/>
      <c r="D407" s="1848" t="s">
        <v>2986</v>
      </c>
      <c r="E407" s="4711" t="s">
        <v>3125</v>
      </c>
      <c r="F407" s="4711"/>
      <c r="G407" s="4711"/>
      <c r="H407" s="4711"/>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4086</v>
      </c>
      <c r="E411" s="4709" t="s">
        <v>3124</v>
      </c>
      <c r="F411" s="4709"/>
      <c r="G411" s="4709"/>
      <c r="H411" s="4709"/>
    </row>
    <row r="412" spans="1:11" ht="12.75" customHeight="1">
      <c r="C412" s="1850"/>
      <c r="D412" s="1848" t="s">
        <v>2986</v>
      </c>
      <c r="E412" s="4711" t="s">
        <v>3125</v>
      </c>
      <c r="F412" s="4711"/>
      <c r="G412" s="4711"/>
      <c r="H412" s="4711"/>
    </row>
    <row r="413" spans="1:11" ht="6" customHeight="1">
      <c r="D413" s="821"/>
      <c r="E413" s="1846"/>
      <c r="F413" s="1846"/>
      <c r="G413" s="1846"/>
      <c r="H413" s="1846"/>
    </row>
    <row r="414" spans="1:11">
      <c r="A414" s="792" t="s">
        <v>2982</v>
      </c>
      <c r="B414" s="819" t="str">
        <f>IF('Part V-Revenues &amp; Expenses'!$O$58=0,"",'Part V-Revenues &amp; Expenses'!$O$58)</f>
        <v/>
      </c>
      <c r="C414" s="792" t="s">
        <v>4084</v>
      </c>
      <c r="D414" s="820" t="s">
        <v>4085</v>
      </c>
    </row>
    <row r="415" spans="1:11" ht="2"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3124</v>
      </c>
      <c r="F418" s="4709"/>
      <c r="G418" s="4709"/>
      <c r="H418" s="4709"/>
    </row>
    <row r="419" spans="1:8" ht="12.75" customHeight="1">
      <c r="D419" s="824" t="s">
        <v>2986</v>
      </c>
      <c r="E419" s="4709" t="s">
        <v>3125</v>
      </c>
      <c r="F419" s="4709"/>
      <c r="G419" s="4709"/>
      <c r="H419" s="4709"/>
    </row>
    <row r="420" spans="1:8" ht="9" customHeight="1" thickBot="1"/>
    <row r="421" spans="1:8" ht="16.25" customHeight="1" thickBot="1">
      <c r="A421" s="4717">
        <v>70</v>
      </c>
      <c r="B421" s="4718"/>
      <c r="C421" s="1851" t="s">
        <v>976</v>
      </c>
    </row>
    <row r="422" spans="1:8" ht="9" customHeight="1">
      <c r="A422" s="777"/>
    </row>
    <row r="423" spans="1:8" ht="28.25" customHeight="1">
      <c r="A423" s="4715" t="s">
        <v>4092</v>
      </c>
      <c r="B423" s="4715"/>
      <c r="C423" s="4715"/>
      <c r="D423" s="4715"/>
      <c r="E423" s="4715"/>
      <c r="F423" s="4715"/>
      <c r="G423" s="4715"/>
      <c r="H423" s="4715"/>
    </row>
    <row r="424" spans="1:8" ht="9" customHeight="1">
      <c r="A424" s="777"/>
    </row>
    <row r="425" spans="1:8">
      <c r="A425" s="792" t="s">
        <v>2982</v>
      </c>
      <c r="B425" s="819" t="str">
        <f>IF('Part V-Revenues &amp; Expenses'!$K$57=0,"",'Part V-Revenues &amp; Expenses'!$K$57)</f>
        <v/>
      </c>
      <c r="C425" s="792" t="s">
        <v>4081</v>
      </c>
      <c r="D425" s="820" t="s">
        <v>4082</v>
      </c>
    </row>
    <row r="426" spans="1:8" ht="2"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4086</v>
      </c>
      <c r="E429" s="4709" t="s">
        <v>3124</v>
      </c>
      <c r="F429" s="4709"/>
      <c r="G429" s="4709"/>
      <c r="H429" s="4709"/>
    </row>
    <row r="430" spans="1:8" ht="12.75" customHeight="1">
      <c r="C430" s="1850"/>
      <c r="D430" s="1848" t="s">
        <v>2986</v>
      </c>
      <c r="E430" s="4711" t="s">
        <v>3125</v>
      </c>
      <c r="F430" s="4711"/>
      <c r="G430" s="4711"/>
      <c r="H430" s="4711"/>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4086</v>
      </c>
      <c r="E434" s="4709" t="s">
        <v>3124</v>
      </c>
      <c r="F434" s="4709"/>
      <c r="G434" s="4709"/>
      <c r="H434" s="4709"/>
    </row>
    <row r="435" spans="1:8" ht="12.75" customHeight="1">
      <c r="C435" s="1850"/>
      <c r="D435" s="1848" t="s">
        <v>2986</v>
      </c>
      <c r="E435" s="4711" t="s">
        <v>3125</v>
      </c>
      <c r="F435" s="4711"/>
      <c r="G435" s="4711"/>
      <c r="H435" s="4711"/>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4086</v>
      </c>
      <c r="E439" s="4709" t="s">
        <v>3124</v>
      </c>
      <c r="F439" s="4709"/>
      <c r="G439" s="4709"/>
      <c r="H439" s="4709"/>
    </row>
    <row r="440" spans="1:8" ht="12.75" customHeight="1">
      <c r="C440" s="1850"/>
      <c r="D440" s="1848" t="s">
        <v>2986</v>
      </c>
      <c r="E440" s="4711" t="s">
        <v>3125</v>
      </c>
      <c r="F440" s="4711"/>
      <c r="G440" s="4711"/>
      <c r="H440" s="4711"/>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3126</v>
      </c>
    </row>
    <row r="443" spans="1:8" ht="2"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4086</v>
      </c>
      <c r="E446" s="4709" t="s">
        <v>3124</v>
      </c>
      <c r="F446" s="4709"/>
      <c r="G446" s="4709"/>
      <c r="H446" s="4709"/>
    </row>
    <row r="447" spans="1:8" ht="12.75" customHeight="1">
      <c r="C447" s="1850"/>
      <c r="D447" s="1847" t="s">
        <v>2986</v>
      </c>
      <c r="E447" s="4710" t="s">
        <v>3125</v>
      </c>
      <c r="F447" s="4710"/>
      <c r="G447" s="4710"/>
      <c r="H447" s="4710"/>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4086</v>
      </c>
      <c r="E451" s="4709" t="s">
        <v>3124</v>
      </c>
      <c r="F451" s="4709"/>
      <c r="G451" s="4709"/>
      <c r="H451" s="4709"/>
    </row>
    <row r="452" spans="1:8" ht="12.75" customHeight="1">
      <c r="C452" s="1850"/>
      <c r="D452" s="1848" t="s">
        <v>2986</v>
      </c>
      <c r="E452" s="4711" t="s">
        <v>3125</v>
      </c>
      <c r="F452" s="4711"/>
      <c r="G452" s="4711"/>
      <c r="H452" s="4711"/>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4086</v>
      </c>
      <c r="E456" s="4709" t="s">
        <v>3124</v>
      </c>
      <c r="F456" s="4709"/>
      <c r="G456" s="4709"/>
      <c r="H456" s="4709"/>
    </row>
    <row r="457" spans="1:8" ht="12.75" customHeight="1">
      <c r="C457" s="1850"/>
      <c r="D457" s="1848" t="s">
        <v>2986</v>
      </c>
      <c r="E457" s="4711" t="s">
        <v>3125</v>
      </c>
      <c r="F457" s="4711"/>
      <c r="G457" s="4711"/>
      <c r="H457" s="4711"/>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3127</v>
      </c>
    </row>
    <row r="460" spans="1:8" ht="2"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4086</v>
      </c>
      <c r="E463" s="4709" t="s">
        <v>3124</v>
      </c>
      <c r="F463" s="4709"/>
      <c r="G463" s="4709"/>
      <c r="H463" s="4709"/>
    </row>
    <row r="464" spans="1:8" ht="12.75" customHeight="1">
      <c r="C464" s="1850"/>
      <c r="D464" s="1847" t="s">
        <v>2986</v>
      </c>
      <c r="E464" s="4710" t="s">
        <v>3125</v>
      </c>
      <c r="F464" s="4710"/>
      <c r="G464" s="4710"/>
      <c r="H464" s="4710"/>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4086</v>
      </c>
      <c r="E468" s="4709" t="s">
        <v>3124</v>
      </c>
      <c r="F468" s="4709"/>
      <c r="G468" s="4709"/>
      <c r="H468" s="4709"/>
    </row>
    <row r="469" spans="1:8" ht="12.75" customHeight="1">
      <c r="C469" s="1850"/>
      <c r="D469" s="1848" t="s">
        <v>2986</v>
      </c>
      <c r="E469" s="4711" t="s">
        <v>3125</v>
      </c>
      <c r="F469" s="4711"/>
      <c r="G469" s="4711"/>
      <c r="H469" s="4711"/>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4086</v>
      </c>
      <c r="E473" s="4709" t="s">
        <v>3124</v>
      </c>
      <c r="F473" s="4709"/>
      <c r="G473" s="4709"/>
      <c r="H473" s="4709"/>
    </row>
    <row r="474" spans="1:8" ht="12.75" customHeight="1">
      <c r="C474" s="1850"/>
      <c r="D474" s="1848" t="s">
        <v>2986</v>
      </c>
      <c r="E474" s="4711" t="s">
        <v>3125</v>
      </c>
      <c r="F474" s="4711"/>
      <c r="G474" s="4711"/>
      <c r="H474" s="4711"/>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2"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4086</v>
      </c>
      <c r="E480" s="4709" t="s">
        <v>3124</v>
      </c>
      <c r="F480" s="4709"/>
      <c r="G480" s="4709"/>
      <c r="H480" s="4709"/>
    </row>
    <row r="481" spans="1:11" ht="12.75" customHeight="1">
      <c r="C481" s="1850"/>
      <c r="D481" s="1847" t="s">
        <v>2986</v>
      </c>
      <c r="E481" s="4710" t="s">
        <v>3125</v>
      </c>
      <c r="F481" s="4710"/>
      <c r="G481" s="4710"/>
      <c r="H481" s="4710"/>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4086</v>
      </c>
      <c r="E485" s="4709" t="s">
        <v>3124</v>
      </c>
      <c r="F485" s="4709"/>
      <c r="G485" s="4709"/>
      <c r="H485" s="4709"/>
    </row>
    <row r="486" spans="1:11" ht="12.75" customHeight="1">
      <c r="C486" s="1850"/>
      <c r="D486" s="1848" t="s">
        <v>2986</v>
      </c>
      <c r="E486" s="4711" t="s">
        <v>3125</v>
      </c>
      <c r="F486" s="4711"/>
      <c r="G486" s="4711"/>
      <c r="H486" s="4711"/>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4086</v>
      </c>
      <c r="E490" s="4709" t="s">
        <v>3124</v>
      </c>
      <c r="F490" s="4709"/>
      <c r="G490" s="4709"/>
      <c r="H490" s="4709"/>
    </row>
    <row r="491" spans="1:11" ht="12.75" customHeight="1">
      <c r="C491" s="1850"/>
      <c r="D491" s="1848" t="s">
        <v>2986</v>
      </c>
      <c r="E491" s="4711" t="s">
        <v>3125</v>
      </c>
      <c r="F491" s="4711"/>
      <c r="G491" s="4711"/>
      <c r="H491" s="4711"/>
    </row>
    <row r="492" spans="1:11" ht="6" customHeight="1">
      <c r="D492" s="821"/>
      <c r="E492" s="1846"/>
      <c r="F492" s="1846"/>
      <c r="G492" s="1846"/>
      <c r="H492" s="1846"/>
    </row>
    <row r="493" spans="1:11">
      <c r="A493" s="792" t="s">
        <v>2982</v>
      </c>
      <c r="B493" s="819" t="str">
        <f>IF('Part V-Revenues &amp; Expenses'!$O$57=0,"",'Part V-Revenues &amp; Expenses'!$O$57)</f>
        <v/>
      </c>
      <c r="C493" s="792" t="s">
        <v>4084</v>
      </c>
      <c r="D493" s="820" t="s">
        <v>4085</v>
      </c>
    </row>
    <row r="494" spans="1:11" ht="2"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3124</v>
      </c>
      <c r="F497" s="4709"/>
      <c r="G497" s="4709"/>
      <c r="H497" s="4709"/>
    </row>
    <row r="498" spans="1:8" ht="12.75" customHeight="1">
      <c r="D498" s="824" t="s">
        <v>2986</v>
      </c>
      <c r="E498" s="4709" t="s">
        <v>3125</v>
      </c>
      <c r="F498" s="4709"/>
      <c r="G498" s="4709"/>
      <c r="H498" s="4709"/>
    </row>
    <row r="499" spans="1:8" ht="9" customHeight="1" thickBot="1"/>
    <row r="500" spans="1:8" ht="16.25" customHeight="1" thickBot="1">
      <c r="A500" s="4717">
        <v>80</v>
      </c>
      <c r="B500" s="4718"/>
      <c r="C500" s="1851" t="s">
        <v>976</v>
      </c>
    </row>
    <row r="501" spans="1:8" ht="9" customHeight="1">
      <c r="A501" s="777"/>
    </row>
    <row r="502" spans="1:8" ht="28.25" customHeight="1">
      <c r="A502" s="4715" t="s">
        <v>4093</v>
      </c>
      <c r="B502" s="4715"/>
      <c r="C502" s="4715"/>
      <c r="D502" s="4715"/>
      <c r="E502" s="4715"/>
      <c r="F502" s="4715"/>
      <c r="G502" s="4715"/>
      <c r="H502" s="4715"/>
    </row>
    <row r="503" spans="1:8" ht="9" customHeight="1">
      <c r="A503" s="777"/>
    </row>
    <row r="504" spans="1:8">
      <c r="A504" s="792" t="s">
        <v>2982</v>
      </c>
      <c r="B504" s="819" t="str">
        <f>IF('Part V-Revenues &amp; Expenses'!$K$56=0,"",'Part V-Revenues &amp; Expenses'!$K$56)</f>
        <v/>
      </c>
      <c r="C504" s="792" t="s">
        <v>4081</v>
      </c>
      <c r="D504" s="820" t="s">
        <v>4082</v>
      </c>
    </row>
    <row r="505" spans="1:8" ht="2"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4086</v>
      </c>
      <c r="E508" s="4709" t="s">
        <v>3124</v>
      </c>
      <c r="F508" s="4709"/>
      <c r="G508" s="4709"/>
      <c r="H508" s="4709"/>
    </row>
    <row r="509" spans="1:8" ht="12.75" customHeight="1">
      <c r="C509" s="1850"/>
      <c r="D509" s="1848" t="s">
        <v>2986</v>
      </c>
      <c r="E509" s="4711" t="s">
        <v>3125</v>
      </c>
      <c r="F509" s="4711"/>
      <c r="G509" s="4711"/>
      <c r="H509" s="4711"/>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4086</v>
      </c>
      <c r="E513" s="4709" t="s">
        <v>3124</v>
      </c>
      <c r="F513" s="4709"/>
      <c r="G513" s="4709"/>
      <c r="H513" s="4709"/>
    </row>
    <row r="514" spans="1:8" ht="12.75" customHeight="1">
      <c r="C514" s="1850"/>
      <c r="D514" s="1848" t="s">
        <v>2986</v>
      </c>
      <c r="E514" s="4711" t="s">
        <v>3125</v>
      </c>
      <c r="F514" s="4711"/>
      <c r="G514" s="4711"/>
      <c r="H514" s="4711"/>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4086</v>
      </c>
      <c r="E518" s="4709" t="s">
        <v>3124</v>
      </c>
      <c r="F518" s="4709"/>
      <c r="G518" s="4709"/>
      <c r="H518" s="4709"/>
    </row>
    <row r="519" spans="1:8" ht="12.75" customHeight="1">
      <c r="C519" s="1850"/>
      <c r="D519" s="1848" t="s">
        <v>2986</v>
      </c>
      <c r="E519" s="4711" t="s">
        <v>3125</v>
      </c>
      <c r="F519" s="4711"/>
      <c r="G519" s="4711"/>
      <c r="H519" s="4711"/>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3126</v>
      </c>
    </row>
    <row r="522" spans="1:8" ht="2"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4086</v>
      </c>
      <c r="E525" s="4709" t="s">
        <v>3124</v>
      </c>
      <c r="F525" s="4709"/>
      <c r="G525" s="4709"/>
      <c r="H525" s="4709"/>
    </row>
    <row r="526" spans="1:8" ht="12.75" customHeight="1">
      <c r="C526" s="1850"/>
      <c r="D526" s="1847" t="s">
        <v>2986</v>
      </c>
      <c r="E526" s="4710" t="s">
        <v>3125</v>
      </c>
      <c r="F526" s="4710"/>
      <c r="G526" s="4710"/>
      <c r="H526" s="4710"/>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4086</v>
      </c>
      <c r="E530" s="4709" t="s">
        <v>3124</v>
      </c>
      <c r="F530" s="4709"/>
      <c r="G530" s="4709"/>
      <c r="H530" s="4709"/>
    </row>
    <row r="531" spans="1:8" ht="12.75" customHeight="1">
      <c r="C531" s="1850"/>
      <c r="D531" s="1848" t="s">
        <v>2986</v>
      </c>
      <c r="E531" s="4711" t="s">
        <v>3125</v>
      </c>
      <c r="F531" s="4711"/>
      <c r="G531" s="4711"/>
      <c r="H531" s="4711"/>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4086</v>
      </c>
      <c r="E535" s="4709" t="s">
        <v>3124</v>
      </c>
      <c r="F535" s="4709"/>
      <c r="G535" s="4709"/>
      <c r="H535" s="4709"/>
    </row>
    <row r="536" spans="1:8" ht="12.75" customHeight="1">
      <c r="C536" s="1850"/>
      <c r="D536" s="1848" t="s">
        <v>2986</v>
      </c>
      <c r="E536" s="4711" t="s">
        <v>3125</v>
      </c>
      <c r="F536" s="4711"/>
      <c r="G536" s="4711"/>
      <c r="H536" s="4711"/>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3127</v>
      </c>
    </row>
    <row r="539" spans="1:8" ht="2"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4086</v>
      </c>
      <c r="E542" s="4709" t="s">
        <v>3124</v>
      </c>
      <c r="F542" s="4709"/>
      <c r="G542" s="4709"/>
      <c r="H542" s="4709"/>
    </row>
    <row r="543" spans="1:8" ht="12.75" customHeight="1">
      <c r="C543" s="1850"/>
      <c r="D543" s="1847" t="s">
        <v>2986</v>
      </c>
      <c r="E543" s="4710" t="s">
        <v>3125</v>
      </c>
      <c r="F543" s="4710"/>
      <c r="G543" s="4710"/>
      <c r="H543" s="4710"/>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4086</v>
      </c>
      <c r="E547" s="4709" t="s">
        <v>3124</v>
      </c>
      <c r="F547" s="4709"/>
      <c r="G547" s="4709"/>
      <c r="H547" s="4709"/>
    </row>
    <row r="548" spans="1:8" ht="12.75" customHeight="1">
      <c r="C548" s="1850"/>
      <c r="D548" s="1848" t="s">
        <v>2986</v>
      </c>
      <c r="E548" s="4711" t="s">
        <v>3125</v>
      </c>
      <c r="F548" s="4711"/>
      <c r="G548" s="4711"/>
      <c r="H548" s="4711"/>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4086</v>
      </c>
      <c r="E552" s="4709" t="s">
        <v>3124</v>
      </c>
      <c r="F552" s="4709"/>
      <c r="G552" s="4709"/>
      <c r="H552" s="4709"/>
    </row>
    <row r="553" spans="1:8" ht="12.75" customHeight="1">
      <c r="C553" s="1850"/>
      <c r="D553" s="1848" t="s">
        <v>2986</v>
      </c>
      <c r="E553" s="4711" t="s">
        <v>3125</v>
      </c>
      <c r="F553" s="4711"/>
      <c r="G553" s="4711"/>
      <c r="H553" s="4711"/>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2"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4086</v>
      </c>
      <c r="E559" s="4709" t="s">
        <v>3124</v>
      </c>
      <c r="F559" s="4709"/>
      <c r="G559" s="4709"/>
      <c r="H559" s="4709"/>
    </row>
    <row r="560" spans="1:8" ht="12.75" customHeight="1">
      <c r="C560" s="1850"/>
      <c r="D560" s="1847" t="s">
        <v>2986</v>
      </c>
      <c r="E560" s="4710" t="s">
        <v>3125</v>
      </c>
      <c r="F560" s="4710"/>
      <c r="G560" s="4710"/>
      <c r="H560" s="4710"/>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4086</v>
      </c>
      <c r="E564" s="4709" t="s">
        <v>3124</v>
      </c>
      <c r="F564" s="4709"/>
      <c r="G564" s="4709"/>
      <c r="H564" s="4709"/>
    </row>
    <row r="565" spans="1:11" ht="12.75" customHeight="1">
      <c r="C565" s="1850"/>
      <c r="D565" s="1848" t="s">
        <v>2986</v>
      </c>
      <c r="E565" s="4711" t="s">
        <v>3125</v>
      </c>
      <c r="F565" s="4711"/>
      <c r="G565" s="4711"/>
      <c r="H565" s="4711"/>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4086</v>
      </c>
      <c r="E569" s="4709" t="s">
        <v>3124</v>
      </c>
      <c r="F569" s="4709"/>
      <c r="G569" s="4709"/>
      <c r="H569" s="4709"/>
    </row>
    <row r="570" spans="1:11" ht="12.75" customHeight="1">
      <c r="C570" s="1850"/>
      <c r="D570" s="1848" t="s">
        <v>2986</v>
      </c>
      <c r="E570" s="4711" t="s">
        <v>3125</v>
      </c>
      <c r="F570" s="4711"/>
      <c r="G570" s="4711"/>
      <c r="H570" s="4711"/>
    </row>
    <row r="571" spans="1:11" ht="6" customHeight="1">
      <c r="D571" s="821"/>
      <c r="E571" s="1846"/>
      <c r="F571" s="1846"/>
      <c r="G571" s="1846"/>
      <c r="H571" s="1846"/>
    </row>
    <row r="572" spans="1:11">
      <c r="A572" s="792" t="s">
        <v>2982</v>
      </c>
      <c r="B572" s="819" t="str">
        <f>IF('Part V-Revenues &amp; Expenses'!$O$56=0,"",'Part V-Revenues &amp; Expenses'!$O$56)</f>
        <v/>
      </c>
      <c r="C572" s="792" t="s">
        <v>4084</v>
      </c>
      <c r="D572" s="820" t="s">
        <v>4085</v>
      </c>
    </row>
    <row r="573" spans="1:11" ht="2"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3124</v>
      </c>
      <c r="F576" s="4709"/>
      <c r="G576" s="4709"/>
      <c r="H576" s="4709"/>
    </row>
    <row r="577" spans="4:8" ht="12.75" customHeight="1">
      <c r="D577" s="824" t="s">
        <v>2986</v>
      </c>
      <c r="E577" s="4709" t="s">
        <v>3125</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baseColWidth="10" defaultColWidth="9.1640625" defaultRowHeight="16"/>
  <cols>
    <col min="1" max="1" width="4.5" style="774" customWidth="1"/>
    <col min="2" max="2" width="6" style="774" customWidth="1"/>
    <col min="3" max="3" width="8.33203125" style="774" customWidth="1"/>
    <col min="4" max="4" width="7.5" style="774" customWidth="1"/>
    <col min="5" max="5" width="7.83203125" style="774" customWidth="1"/>
    <col min="6" max="7" width="6.83203125" style="774" customWidth="1"/>
    <col min="8" max="8" width="5" style="774" customWidth="1"/>
    <col min="9" max="10" width="6.6640625" style="774" customWidth="1"/>
    <col min="11" max="11" width="3.33203125" style="1902" customWidth="1"/>
    <col min="12" max="13" width="6.83203125" style="774" customWidth="1"/>
    <col min="14" max="14" width="8.1640625" style="774" customWidth="1"/>
    <col min="15" max="15" width="9.1640625" style="774"/>
    <col min="16" max="17" width="5.5" style="774" customWidth="1"/>
    <col min="18" max="18" width="8.1640625" style="774" customWidth="1"/>
    <col min="19" max="19" width="5.6640625" style="775" customWidth="1"/>
    <col min="20" max="20" width="5.6640625" style="774" customWidth="1"/>
    <col min="21" max="21" width="3.6640625" style="774" customWidth="1"/>
    <col min="22" max="23" width="5.5" style="774" customWidth="1"/>
    <col min="24" max="16384" width="9.1640625" style="774"/>
  </cols>
  <sheetData>
    <row r="1" spans="1:14">
      <c r="A1" s="657" t="s">
        <v>2883</v>
      </c>
      <c r="H1" s="783" t="str">
        <f>'Sensitivity Analysis'!C8</f>
        <v>Cave Spring Townhomes</v>
      </c>
    </row>
    <row r="2" spans="1:14">
      <c r="A2" s="711" t="s">
        <v>2884</v>
      </c>
      <c r="H2" s="774" t="str">
        <f>'Sensitivity Analysis'!E8</f>
        <v>2022-0</v>
      </c>
    </row>
    <row r="3" spans="1:14" ht="3" customHeight="1"/>
    <row r="4" spans="1:14" ht="69.5" customHeight="1">
      <c r="A4" s="4712" t="s">
        <v>2980</v>
      </c>
      <c r="B4" s="4712"/>
      <c r="C4" s="4712"/>
      <c r="D4" s="4712"/>
      <c r="E4" s="4712"/>
      <c r="F4" s="4712"/>
      <c r="G4" s="4712"/>
      <c r="H4" s="4712"/>
      <c r="I4" s="4712"/>
      <c r="J4" s="4712"/>
      <c r="K4" s="4712"/>
      <c r="L4" s="4719">
        <f>SUM('Part VI-Pro Forma'!B15:B17)/12</f>
        <v>35686.332000000002</v>
      </c>
      <c r="M4" s="4719"/>
      <c r="N4" s="1903" t="s">
        <v>3664</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2" t="s">
        <v>2886</v>
      </c>
      <c r="D7" s="4712"/>
      <c r="E7" s="4712"/>
      <c r="F7" s="4712"/>
      <c r="G7" s="4712"/>
      <c r="H7" s="4712"/>
      <c r="I7" s="4712"/>
      <c r="J7" s="4712"/>
      <c r="K7" s="4712"/>
      <c r="L7" s="4712"/>
      <c r="M7" s="4712"/>
    </row>
    <row r="8" spans="1:14" ht="3" customHeight="1"/>
    <row r="9" spans="1:14">
      <c r="A9" s="774" t="s">
        <v>2887</v>
      </c>
    </row>
    <row r="10" spans="1:14" ht="1.5" customHeight="1"/>
    <row r="11" spans="1:14" ht="26.25" customHeight="1">
      <c r="A11" s="818" t="s">
        <v>1842</v>
      </c>
      <c r="B11" s="4712" t="s">
        <v>2977</v>
      </c>
      <c r="C11" s="4712"/>
      <c r="D11" s="4712"/>
      <c r="E11" s="4712"/>
      <c r="F11" s="4712"/>
      <c r="G11" s="4712"/>
      <c r="H11" s="4712"/>
      <c r="I11" s="4712"/>
      <c r="J11" s="4712"/>
      <c r="K11" s="4712"/>
      <c r="L11" s="4713">
        <f>'Part II-Sources of Funds'!I51+'Part II-Sources of Funds'!I52</f>
        <v>15111000</v>
      </c>
      <c r="M11" s="4713"/>
    </row>
    <row r="12" spans="1:14" ht="1.5" customHeight="1">
      <c r="G12" s="787"/>
      <c r="H12" s="787"/>
    </row>
    <row r="13" spans="1:14" ht="26" customHeight="1">
      <c r="A13" s="818" t="s">
        <v>1844</v>
      </c>
      <c r="B13" s="4712" t="s">
        <v>2978</v>
      </c>
      <c r="C13" s="4712"/>
      <c r="D13" s="4712"/>
      <c r="E13" s="4712"/>
      <c r="F13" s="4712"/>
      <c r="G13" s="4712"/>
      <c r="H13" s="4712"/>
      <c r="I13" s="4712"/>
      <c r="J13" s="4712"/>
      <c r="K13" s="4712"/>
      <c r="L13" s="4714" t="s">
        <v>2815</v>
      </c>
      <c r="M13" s="4714"/>
    </row>
    <row r="14" spans="1:14">
      <c r="A14" s="818"/>
      <c r="B14" s="4605"/>
      <c r="C14" s="4605"/>
      <c r="D14" s="4605"/>
      <c r="E14" s="4605"/>
      <c r="F14" s="4605"/>
      <c r="G14" s="4605"/>
      <c r="H14" s="4605"/>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605" t="s">
        <v>2516</v>
      </c>
      <c r="M18" s="4605"/>
    </row>
    <row r="19" spans="1:19" ht="12" hidden="1" customHeight="1">
      <c r="B19" s="4605"/>
      <c r="C19" s="4605"/>
      <c r="D19" s="4605"/>
      <c r="E19" s="4605"/>
      <c r="F19" s="4605"/>
      <c r="G19" s="4605"/>
      <c r="H19" s="4605"/>
    </row>
    <row r="20" spans="1:19" ht="13.5" customHeight="1"/>
    <row r="21" spans="1:19" s="562" customFormat="1" ht="12" customHeight="1">
      <c r="A21" s="2015" t="s">
        <v>2888</v>
      </c>
      <c r="K21" s="2016"/>
      <c r="S21" s="2017"/>
    </row>
    <row r="22" spans="1:19" s="562" customFormat="1" ht="3" customHeight="1">
      <c r="K22" s="2016"/>
      <c r="S22" s="2017"/>
    </row>
    <row r="23" spans="1:19" s="562" customFormat="1" ht="42.5" customHeight="1">
      <c r="A23" s="4726" t="s">
        <v>4083</v>
      </c>
      <c r="B23" s="4726"/>
      <c r="C23" s="4726"/>
      <c r="D23" s="4726"/>
      <c r="E23" s="4726"/>
      <c r="F23" s="4726"/>
      <c r="G23" s="4726"/>
      <c r="H23" s="4726"/>
      <c r="I23" s="4726"/>
      <c r="J23" s="4726"/>
      <c r="K23" s="4726"/>
      <c r="L23" s="4726"/>
      <c r="M23" s="4726"/>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3677</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3678</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7</v>
      </c>
      <c r="G27" s="2036">
        <f>'Part V-Revenues &amp; Expenses'!M58</f>
        <v>20</v>
      </c>
      <c r="H27" s="2036">
        <f>'Part V-Revenues &amp; Expenses'!N58</f>
        <v>5</v>
      </c>
      <c r="I27" s="2036">
        <f>'Part V-Revenues &amp; Expenses'!O58</f>
        <v>0</v>
      </c>
      <c r="J27" s="2037">
        <f>'Part V-Revenues &amp; Expenses'!P58</f>
        <v>32</v>
      </c>
    </row>
    <row r="28" spans="1:19" s="562" customFormat="1" ht="15" customHeight="1">
      <c r="C28" s="2031" t="s">
        <v>112</v>
      </c>
      <c r="D28" s="2023"/>
      <c r="E28" s="2035">
        <f>'Part V-Revenues &amp; Expenses'!K59</f>
        <v>0</v>
      </c>
      <c r="F28" s="2036">
        <f>'Part V-Revenues &amp; Expenses'!L59</f>
        <v>8</v>
      </c>
      <c r="G28" s="2036">
        <f>'Part V-Revenues &amp; Expenses'!M59</f>
        <v>8</v>
      </c>
      <c r="H28" s="2036">
        <f>'Part V-Revenues &amp; Expenses'!N59</f>
        <v>4</v>
      </c>
      <c r="I28" s="2036">
        <f>'Part V-Revenues &amp; Expenses'!O59</f>
        <v>0</v>
      </c>
      <c r="J28" s="2037">
        <f>'Part V-Revenues &amp; Expenses'!P59</f>
        <v>20</v>
      </c>
    </row>
    <row r="29" spans="1:19" s="562" customFormat="1" ht="13.25" customHeight="1">
      <c r="C29" s="2031" t="s">
        <v>3679</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25" customHeight="1">
      <c r="C30" s="2031" t="s">
        <v>3680</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25" customHeight="1">
      <c r="C31" s="2031" t="s">
        <v>3681</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25" customHeight="1">
      <c r="C32" s="2023" t="s">
        <v>504</v>
      </c>
      <c r="D32" s="2023"/>
      <c r="E32" s="2038">
        <f>'Part V-Revenues &amp; Expenses'!K63</f>
        <v>0</v>
      </c>
      <c r="F32" s="2029">
        <f>'Part V-Revenues &amp; Expenses'!L63</f>
        <v>15</v>
      </c>
      <c r="G32" s="2029">
        <f>'Part V-Revenues &amp; Expenses'!M63</f>
        <v>28</v>
      </c>
      <c r="H32" s="2029">
        <f>'Part V-Revenues &amp; Expenses'!N63</f>
        <v>9</v>
      </c>
      <c r="I32" s="2029">
        <f>'Part V-Revenues &amp; Expenses'!O63</f>
        <v>0</v>
      </c>
      <c r="J32" s="2039">
        <f>'Part V-Revenues &amp; Expenses'!P63</f>
        <v>52</v>
      </c>
    </row>
    <row r="33" spans="1:12" s="562" customFormat="1" ht="13.25" customHeight="1" thickBot="1">
      <c r="K33" s="2016"/>
    </row>
    <row r="34" spans="1:12" s="562" customFormat="1" ht="14.25" customHeight="1" thickBot="1">
      <c r="A34" s="2016"/>
      <c r="B34" s="4727" t="s">
        <v>6176</v>
      </c>
      <c r="E34" s="4728" t="s">
        <v>6069</v>
      </c>
      <c r="F34" s="4729"/>
      <c r="G34" s="4729"/>
      <c r="H34" s="4729"/>
      <c r="I34" s="4729"/>
      <c r="J34" s="4729"/>
      <c r="K34" s="4729"/>
      <c r="L34" s="4730"/>
    </row>
    <row r="35" spans="1:12" s="562" customFormat="1" ht="14.25" customHeight="1">
      <c r="A35" s="2016"/>
      <c r="B35" s="4727"/>
      <c r="C35" s="4731" t="s">
        <v>6177</v>
      </c>
      <c r="D35" s="4727" t="s">
        <v>6178</v>
      </c>
      <c r="E35" s="4732" t="s">
        <v>6072</v>
      </c>
      <c r="F35" s="4733"/>
      <c r="G35" s="4736" t="s">
        <v>1276</v>
      </c>
      <c r="H35" s="4738" t="s">
        <v>6068</v>
      </c>
      <c r="I35" s="4739"/>
      <c r="J35" s="4739"/>
      <c r="K35" s="4739"/>
      <c r="L35" s="4740"/>
    </row>
    <row r="36" spans="1:12" s="562" customFormat="1" ht="23.25" customHeight="1">
      <c r="A36" s="4731" t="s">
        <v>976</v>
      </c>
      <c r="B36" s="4727"/>
      <c r="C36" s="4731"/>
      <c r="D36" s="4727"/>
      <c r="E36" s="4734"/>
      <c r="F36" s="4735"/>
      <c r="G36" s="4737"/>
      <c r="H36" s="4741" t="s">
        <v>6070</v>
      </c>
      <c r="I36" s="4742"/>
      <c r="J36" s="4745" t="s">
        <v>1276</v>
      </c>
      <c r="K36" s="4742" t="s">
        <v>6071</v>
      </c>
      <c r="L36" s="4747"/>
    </row>
    <row r="37" spans="1:12" s="562" customFormat="1" ht="23.25" customHeight="1">
      <c r="A37" s="4731"/>
      <c r="B37" s="4727"/>
      <c r="C37" s="4731"/>
      <c r="D37" s="4727"/>
      <c r="E37" s="4734"/>
      <c r="F37" s="4735"/>
      <c r="G37" s="4737"/>
      <c r="H37" s="4741"/>
      <c r="I37" s="4742"/>
      <c r="J37" s="4746"/>
      <c r="K37" s="4742"/>
      <c r="L37" s="4747"/>
    </row>
    <row r="38" spans="1:12" s="562" customFormat="1" ht="23.25" customHeight="1">
      <c r="A38" s="4727"/>
      <c r="B38" s="4727"/>
      <c r="C38" s="4727"/>
      <c r="D38" s="4727"/>
      <c r="E38" s="4734"/>
      <c r="F38" s="4735"/>
      <c r="G38" s="4737"/>
      <c r="H38" s="4743"/>
      <c r="I38" s="4744"/>
      <c r="J38" s="4746"/>
      <c r="K38" s="4744"/>
      <c r="L38" s="4748"/>
    </row>
    <row r="39" spans="1:12" s="562" customFormat="1" ht="13.25" customHeight="1">
      <c r="A39" s="2020">
        <f>'Part V-Revenues &amp; Expenses'!B18</f>
        <v>0</v>
      </c>
      <c r="B39" s="2021">
        <f>'Part V-Revenues &amp; Expenses'!E18</f>
        <v>0</v>
      </c>
      <c r="C39" s="2022" t="str">
        <f>_xlfn.CONCAT('Part V-Revenues &amp; Expenses'!C18," / ",'Part V-Revenues &amp; Expenses'!D18)</f>
        <v xml:space="preserve"> / </v>
      </c>
      <c r="D39" s="2021">
        <f>'Part V-Revenues &amp; Expenses'!F18</f>
        <v>0</v>
      </c>
      <c r="E39" s="4724">
        <f>'Part V-Revenues &amp; Expenses'!H18</f>
        <v>0</v>
      </c>
      <c r="F39" s="4725"/>
      <c r="G39" s="2023"/>
      <c r="H39" s="4752"/>
      <c r="I39" s="4753"/>
      <c r="J39" s="4753"/>
      <c r="K39" s="4753"/>
      <c r="L39" s="4754"/>
    </row>
    <row r="40" spans="1:12" s="562" customFormat="1" ht="13.25" customHeight="1">
      <c r="A40" s="2024">
        <f>'Part V-Revenues &amp; Expenses'!B19</f>
        <v>50</v>
      </c>
      <c r="B40" s="2025">
        <f>'Part V-Revenues &amp; Expenses'!E19</f>
        <v>3</v>
      </c>
      <c r="C40" s="2026" t="str">
        <f>_xlfn.CONCAT('Part V-Revenues &amp; Expenses'!C19," / ",'Part V-Revenues &amp; Expenses'!D19)</f>
        <v>1 / 1</v>
      </c>
      <c r="D40" s="2025">
        <f>'Part V-Revenues &amp; Expenses'!F19</f>
        <v>776</v>
      </c>
      <c r="E40" s="4722">
        <f>'Part V-Revenues &amp; Expenses'!H19</f>
        <v>667</v>
      </c>
      <c r="F40" s="4723"/>
      <c r="G40" s="2023"/>
      <c r="H40" s="4749"/>
      <c r="I40" s="4750"/>
      <c r="J40" s="4750"/>
      <c r="K40" s="4750"/>
      <c r="L40" s="4751"/>
    </row>
    <row r="41" spans="1:12" s="562" customFormat="1" ht="13.25" customHeight="1">
      <c r="A41" s="2024">
        <f>'Part V-Revenues &amp; Expenses'!B20</f>
        <v>50</v>
      </c>
      <c r="B41" s="2025">
        <f>'Part V-Revenues &amp; Expenses'!E20</f>
        <v>5</v>
      </c>
      <c r="C41" s="2026" t="str">
        <f>_xlfn.CONCAT('Part V-Revenues &amp; Expenses'!C20," / ",'Part V-Revenues &amp; Expenses'!D20)</f>
        <v>1 / 1</v>
      </c>
      <c r="D41" s="2025">
        <f>'Part V-Revenues &amp; Expenses'!F20</f>
        <v>776</v>
      </c>
      <c r="E41" s="4722">
        <f>'Part V-Revenues &amp; Expenses'!H20</f>
        <v>667</v>
      </c>
      <c r="F41" s="4723"/>
      <c r="G41" s="2023"/>
      <c r="H41" s="4749"/>
      <c r="I41" s="4750"/>
      <c r="J41" s="4750"/>
      <c r="K41" s="4750"/>
      <c r="L41" s="4751"/>
    </row>
    <row r="42" spans="1:12" s="562" customFormat="1" ht="13.25" customHeight="1">
      <c r="A42" s="2024">
        <f>'Part V-Revenues &amp; Expenses'!B21</f>
        <v>60</v>
      </c>
      <c r="B42" s="2025">
        <f>'Part V-Revenues &amp; Expenses'!E21</f>
        <v>7</v>
      </c>
      <c r="C42" s="2026" t="str">
        <f>_xlfn.CONCAT('Part V-Revenues &amp; Expenses'!C21," / ",'Part V-Revenues &amp; Expenses'!D21)</f>
        <v>1 / 1</v>
      </c>
      <c r="D42" s="2025">
        <f>'Part V-Revenues &amp; Expenses'!F21</f>
        <v>776</v>
      </c>
      <c r="E42" s="4722">
        <f>'Part V-Revenues &amp; Expenses'!H21</f>
        <v>667</v>
      </c>
      <c r="F42" s="4723"/>
      <c r="G42" s="2023"/>
      <c r="H42" s="4749"/>
      <c r="I42" s="4750"/>
      <c r="J42" s="4750"/>
      <c r="K42" s="4750"/>
      <c r="L42" s="4751"/>
    </row>
    <row r="43" spans="1:12" s="562" customFormat="1" ht="13.25" customHeight="1">
      <c r="A43" s="2024">
        <f>'Part V-Revenues &amp; Expenses'!B22</f>
        <v>0</v>
      </c>
      <c r="B43" s="2025">
        <f>'Part V-Revenues &amp; Expenses'!E22</f>
        <v>0</v>
      </c>
      <c r="C43" s="2026" t="str">
        <f>_xlfn.CONCAT('Part V-Revenues &amp; Expenses'!C22," / ",'Part V-Revenues &amp; Expenses'!D22)</f>
        <v xml:space="preserve"> / </v>
      </c>
      <c r="D43" s="2025">
        <f>'Part V-Revenues &amp; Expenses'!F22</f>
        <v>0</v>
      </c>
      <c r="E43" s="4722">
        <f>'Part V-Revenues &amp; Expenses'!H22</f>
        <v>0</v>
      </c>
      <c r="F43" s="4723"/>
      <c r="G43" s="2023"/>
      <c r="H43" s="4749"/>
      <c r="I43" s="4750"/>
      <c r="J43" s="4750"/>
      <c r="K43" s="4750"/>
      <c r="L43" s="4751"/>
    </row>
    <row r="44" spans="1:12" s="562" customFormat="1" ht="13.25" customHeight="1">
      <c r="A44" s="2024">
        <f>'Part V-Revenues &amp; Expenses'!B23</f>
        <v>50</v>
      </c>
      <c r="B44" s="2025">
        <f>'Part V-Revenues &amp; Expenses'!E23</f>
        <v>8</v>
      </c>
      <c r="C44" s="2026" t="str">
        <f>_xlfn.CONCAT('Part V-Revenues &amp; Expenses'!C23," / ",'Part V-Revenues &amp; Expenses'!D23)</f>
        <v>2 / 2</v>
      </c>
      <c r="D44" s="2025">
        <f>'Part V-Revenues &amp; Expenses'!F23</f>
        <v>1093</v>
      </c>
      <c r="E44" s="4722">
        <f>'Part V-Revenues &amp; Expenses'!H23</f>
        <v>829</v>
      </c>
      <c r="F44" s="4723"/>
      <c r="G44" s="2023"/>
      <c r="H44" s="4749"/>
      <c r="I44" s="4750"/>
      <c r="J44" s="4750"/>
      <c r="K44" s="4750"/>
      <c r="L44" s="4751"/>
    </row>
    <row r="45" spans="1:12" s="562" customFormat="1" ht="13.25" customHeight="1">
      <c r="A45" s="2024">
        <f>'Part V-Revenues &amp; Expenses'!B24</f>
        <v>60</v>
      </c>
      <c r="B45" s="2025">
        <f>'Part V-Revenues &amp; Expenses'!E24</f>
        <v>20</v>
      </c>
      <c r="C45" s="2026" t="str">
        <f>_xlfn.CONCAT('Part V-Revenues &amp; Expenses'!C24," / ",'Part V-Revenues &amp; Expenses'!D24)</f>
        <v>2 / 2</v>
      </c>
      <c r="D45" s="2025">
        <f>'Part V-Revenues &amp; Expenses'!F24</f>
        <v>1093</v>
      </c>
      <c r="E45" s="4722">
        <f>'Part V-Revenues &amp; Expenses'!H24</f>
        <v>829</v>
      </c>
      <c r="F45" s="4723"/>
      <c r="G45" s="2023"/>
      <c r="H45" s="4749"/>
      <c r="I45" s="4750"/>
      <c r="J45" s="4750"/>
      <c r="K45" s="4750"/>
      <c r="L45" s="4751"/>
    </row>
    <row r="46" spans="1:12" s="562" customFormat="1" ht="13.2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2">
        <f>'Part V-Revenues &amp; Expenses'!H25</f>
        <v>0</v>
      </c>
      <c r="F46" s="4723"/>
      <c r="G46" s="2023"/>
      <c r="H46" s="4749"/>
      <c r="I46" s="4750"/>
      <c r="J46" s="4750"/>
      <c r="K46" s="4750"/>
      <c r="L46" s="4751"/>
    </row>
    <row r="47" spans="1:12" s="562" customFormat="1" ht="13.25" customHeight="1">
      <c r="A47" s="2024">
        <f>'Part V-Revenues &amp; Expenses'!B26</f>
        <v>50</v>
      </c>
      <c r="B47" s="2025">
        <f>'Part V-Revenues &amp; Expenses'!E26</f>
        <v>4</v>
      </c>
      <c r="C47" s="2026" t="str">
        <f>_xlfn.CONCAT('Part V-Revenues &amp; Expenses'!C26," / ",'Part V-Revenues &amp; Expenses'!D26)</f>
        <v>3 / 2</v>
      </c>
      <c r="D47" s="2025">
        <f>'Part V-Revenues &amp; Expenses'!F26</f>
        <v>1349</v>
      </c>
      <c r="E47" s="4722">
        <f>'Part V-Revenues &amp; Expenses'!H26</f>
        <v>1096</v>
      </c>
      <c r="F47" s="4723"/>
      <c r="G47" s="2023"/>
      <c r="H47" s="4749"/>
      <c r="I47" s="4750"/>
      <c r="J47" s="4750"/>
      <c r="K47" s="4750"/>
      <c r="L47" s="4751"/>
    </row>
    <row r="48" spans="1:12" s="562" customFormat="1" ht="13.25" customHeight="1">
      <c r="A48" s="2024">
        <f>'Part V-Revenues &amp; Expenses'!B27</f>
        <v>60</v>
      </c>
      <c r="B48" s="2025">
        <f>'Part V-Revenues &amp; Expenses'!E27</f>
        <v>5</v>
      </c>
      <c r="C48" s="2026" t="str">
        <f>_xlfn.CONCAT('Part V-Revenues &amp; Expenses'!C27," / ",'Part V-Revenues &amp; Expenses'!D27)</f>
        <v>3 / 2</v>
      </c>
      <c r="D48" s="2025">
        <f>'Part V-Revenues &amp; Expenses'!F27</f>
        <v>1349</v>
      </c>
      <c r="E48" s="4722">
        <f>'Part V-Revenues &amp; Expenses'!H27</f>
        <v>1096</v>
      </c>
      <c r="F48" s="4723"/>
      <c r="G48" s="2023"/>
      <c r="H48" s="4749"/>
      <c r="I48" s="4750"/>
      <c r="J48" s="4750"/>
      <c r="K48" s="4750"/>
      <c r="L48" s="4751"/>
    </row>
    <row r="49" spans="1:13" s="562" customFormat="1" ht="13.2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49"/>
      <c r="I49" s="4750"/>
      <c r="J49" s="4750"/>
      <c r="K49" s="4750"/>
      <c r="L49" s="4751"/>
    </row>
    <row r="50" spans="1:13" s="562" customFormat="1" ht="13.2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49"/>
      <c r="I50" s="4750"/>
      <c r="J50" s="4750"/>
      <c r="K50" s="4750"/>
      <c r="L50" s="4751"/>
    </row>
    <row r="51" spans="1:13" s="562" customFormat="1" ht="13.2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49"/>
      <c r="I51" s="4750"/>
      <c r="J51" s="4750"/>
      <c r="K51" s="4750"/>
      <c r="L51" s="4751"/>
    </row>
    <row r="52" spans="1:13" s="562" customFormat="1" ht="13.2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49"/>
      <c r="I52" s="4750"/>
      <c r="J52" s="4750"/>
      <c r="K52" s="4750"/>
      <c r="L52" s="4751"/>
    </row>
    <row r="53" spans="1:13" s="562" customFormat="1" ht="13.2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49"/>
      <c r="I53" s="4750"/>
      <c r="J53" s="4750"/>
      <c r="K53" s="4750"/>
      <c r="L53" s="4751"/>
    </row>
    <row r="54" spans="1:13" s="562" customFormat="1" ht="13.2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49"/>
      <c r="I54" s="4750"/>
      <c r="J54" s="4750"/>
      <c r="K54" s="4750"/>
      <c r="L54" s="4751"/>
    </row>
    <row r="55" spans="1:13" s="562" customFormat="1" ht="13.2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49"/>
      <c r="I55" s="4750"/>
      <c r="J55" s="4750"/>
      <c r="K55" s="4750"/>
      <c r="L55" s="4751"/>
    </row>
    <row r="56" spans="1:13" s="562" customFormat="1" ht="13.2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49"/>
      <c r="I56" s="4750"/>
      <c r="J56" s="4750"/>
      <c r="K56" s="4750"/>
      <c r="L56" s="4751"/>
    </row>
    <row r="57" spans="1:13" s="562" customFormat="1" ht="13.2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49"/>
      <c r="I57" s="4750"/>
      <c r="J57" s="4750"/>
      <c r="K57" s="4750"/>
      <c r="L57" s="4751"/>
    </row>
    <row r="58" spans="1:13" s="562" customFormat="1" ht="13.2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49"/>
      <c r="I58" s="4750"/>
      <c r="J58" s="4750"/>
      <c r="K58" s="4750"/>
      <c r="L58" s="4751"/>
    </row>
    <row r="59" spans="1:13" s="562" customFormat="1" ht="13.2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49"/>
      <c r="I59" s="4750"/>
      <c r="J59" s="4750"/>
      <c r="K59" s="4750"/>
      <c r="L59" s="4751"/>
    </row>
    <row r="60" spans="1:13" s="562" customFormat="1" ht="13.2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49"/>
      <c r="I60" s="4750"/>
      <c r="J60" s="4750"/>
      <c r="K60" s="4750"/>
      <c r="L60" s="4751"/>
      <c r="M60" s="2018"/>
    </row>
    <row r="61" spans="1:13" s="562" customFormat="1" ht="13.2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49"/>
      <c r="I61" s="4750"/>
      <c r="J61" s="4750"/>
      <c r="K61" s="4750"/>
      <c r="L61" s="4751"/>
      <c r="M61" s="2018"/>
    </row>
    <row r="62" spans="1:13" s="562" customFormat="1" ht="13.2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49"/>
      <c r="I62" s="4750"/>
      <c r="J62" s="4750"/>
      <c r="K62" s="4750"/>
      <c r="L62" s="4751"/>
      <c r="M62" s="2018"/>
    </row>
    <row r="63" spans="1:13" s="562" customFormat="1" ht="13.2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49"/>
      <c r="I63" s="4750"/>
      <c r="J63" s="4750"/>
      <c r="K63" s="4750"/>
      <c r="L63" s="4751"/>
      <c r="M63" s="2018"/>
    </row>
    <row r="64" spans="1:13" s="562" customFormat="1" ht="13.2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49"/>
      <c r="I64" s="4750"/>
      <c r="J64" s="4750"/>
      <c r="K64" s="4750"/>
      <c r="L64" s="4751"/>
      <c r="M64" s="2018"/>
    </row>
    <row r="65" spans="1:19" s="562" customFormat="1" ht="13.2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49"/>
      <c r="I65" s="4750"/>
      <c r="J65" s="4750"/>
      <c r="K65" s="4750"/>
      <c r="L65" s="4751"/>
      <c r="M65" s="2018"/>
    </row>
    <row r="66" spans="1:19" s="562" customFormat="1" ht="13.2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49"/>
      <c r="I66" s="4750"/>
      <c r="J66" s="4750"/>
      <c r="K66" s="4750"/>
      <c r="L66" s="4751"/>
      <c r="M66" s="2018"/>
    </row>
    <row r="67" spans="1:19" s="562" customFormat="1" ht="13.2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49"/>
      <c r="I67" s="4750"/>
      <c r="J67" s="4750"/>
      <c r="K67" s="4750"/>
      <c r="L67" s="4751"/>
      <c r="M67" s="2018"/>
    </row>
    <row r="68" spans="1:19" s="562" customFormat="1" ht="13.2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49"/>
      <c r="I68" s="4750"/>
      <c r="J68" s="4750"/>
      <c r="K68" s="4750"/>
      <c r="L68" s="4751"/>
      <c r="M68" s="2018"/>
    </row>
    <row r="69" spans="1:19" s="562" customFormat="1" ht="13.2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0">
        <f>'Part V-Revenues &amp; Expenses'!H48</f>
        <v>0</v>
      </c>
      <c r="F69" s="4721"/>
      <c r="G69" s="2030"/>
      <c r="H69" s="4755"/>
      <c r="I69" s="4756"/>
      <c r="J69" s="4756"/>
      <c r="K69" s="4756"/>
      <c r="L69" s="4757"/>
      <c r="M69" s="2018"/>
    </row>
    <row r="70" spans="1:19" s="562" customFormat="1" ht="13.25" customHeight="1">
      <c r="C70" s="2016"/>
      <c r="F70" s="2018"/>
      <c r="G70" s="2018"/>
      <c r="H70" s="2018"/>
      <c r="I70" s="2018"/>
      <c r="J70" s="2018"/>
      <c r="K70" s="2019"/>
      <c r="L70" s="2018"/>
      <c r="M70" s="2018"/>
    </row>
    <row r="71" spans="1:19" s="562" customFormat="1" ht="13.25" customHeight="1">
      <c r="C71" s="2016"/>
      <c r="F71" s="2018"/>
      <c r="G71" s="2018"/>
      <c r="H71" s="2018"/>
      <c r="I71" s="2018"/>
      <c r="J71" s="2018"/>
      <c r="K71" s="2019"/>
      <c r="L71" s="2018"/>
      <c r="M71" s="2018"/>
    </row>
    <row r="72" spans="1:19" s="562" customFormat="1" ht="13.25" customHeight="1">
      <c r="C72" s="2016"/>
      <c r="F72" s="2018"/>
      <c r="G72" s="2018"/>
      <c r="H72" s="2018"/>
      <c r="I72" s="2018"/>
      <c r="J72" s="2018"/>
      <c r="K72" s="2019"/>
      <c r="L72" s="2018"/>
      <c r="M72" s="2018"/>
    </row>
    <row r="73" spans="1:19" s="562" customFormat="1" ht="13.25" customHeight="1">
      <c r="C73" s="2016"/>
      <c r="F73" s="2018"/>
      <c r="G73" s="2018"/>
      <c r="H73" s="2018"/>
      <c r="I73" s="2018"/>
      <c r="J73" s="2018"/>
      <c r="K73" s="2019"/>
      <c r="L73" s="2018"/>
      <c r="M73" s="2018"/>
    </row>
    <row r="74" spans="1:19" ht="13.25" customHeight="1">
      <c r="C74" s="1902"/>
      <c r="F74" s="1866"/>
      <c r="G74" s="1866"/>
      <c r="H74" s="1866"/>
      <c r="I74" s="1866"/>
      <c r="J74" s="1866"/>
      <c r="K74" s="1901"/>
      <c r="L74" s="1866"/>
      <c r="M74" s="1866"/>
      <c r="S74" s="774"/>
    </row>
    <row r="75" spans="1:19" ht="13.25" customHeight="1">
      <c r="C75" s="1902"/>
      <c r="F75" s="1866"/>
      <c r="G75" s="1866"/>
      <c r="H75" s="1866"/>
      <c r="I75" s="1866"/>
      <c r="J75" s="1866"/>
      <c r="K75" s="1901"/>
      <c r="L75" s="1866"/>
      <c r="M75" s="1866"/>
      <c r="S75" s="774"/>
    </row>
    <row r="76" spans="1:19" ht="13.25" customHeight="1">
      <c r="C76" s="1902"/>
      <c r="F76" s="1866"/>
      <c r="G76" s="1866"/>
      <c r="H76" s="1866"/>
      <c r="I76" s="1866"/>
      <c r="J76" s="1866"/>
      <c r="K76" s="1901"/>
      <c r="L76" s="1866"/>
      <c r="M76" s="1866"/>
      <c r="S76" s="774"/>
    </row>
    <row r="77" spans="1:19" ht="13.25" customHeight="1">
      <c r="C77" s="1902"/>
      <c r="F77" s="1866"/>
      <c r="G77" s="1866"/>
      <c r="H77" s="1866"/>
      <c r="I77" s="1866"/>
      <c r="J77" s="1866"/>
      <c r="K77" s="1901"/>
      <c r="L77" s="1866"/>
      <c r="M77" s="1866"/>
      <c r="S77" s="774"/>
    </row>
    <row r="78" spans="1:19" ht="13.25" customHeight="1">
      <c r="C78" s="1902"/>
      <c r="F78" s="1866"/>
      <c r="G78" s="1866"/>
      <c r="H78" s="1866"/>
      <c r="I78" s="1866"/>
      <c r="J78" s="1866"/>
      <c r="K78" s="1901"/>
      <c r="L78" s="1866"/>
      <c r="M78" s="1866"/>
      <c r="S78" s="774"/>
    </row>
    <row r="79" spans="1:19" ht="13.25" customHeight="1">
      <c r="C79" s="1902"/>
      <c r="F79" s="1866"/>
      <c r="G79" s="1866"/>
      <c r="H79" s="1866"/>
      <c r="I79" s="1866"/>
      <c r="J79" s="1866"/>
      <c r="K79" s="1901"/>
      <c r="L79" s="1866"/>
      <c r="M79" s="1866"/>
      <c r="S79" s="774"/>
    </row>
    <row r="80" spans="1:19" ht="13.25" customHeight="1">
      <c r="C80" s="1902"/>
      <c r="F80" s="1866"/>
      <c r="G80" s="1866"/>
      <c r="H80" s="1866"/>
      <c r="I80" s="1866"/>
      <c r="J80" s="1866"/>
      <c r="K80" s="1901"/>
      <c r="L80" s="1866"/>
      <c r="M80" s="1866"/>
      <c r="S80" s="774"/>
    </row>
    <row r="81" spans="3:19" ht="13.25" customHeight="1">
      <c r="C81" s="1902"/>
      <c r="F81" s="1866"/>
      <c r="G81" s="1866"/>
      <c r="H81" s="1866"/>
      <c r="I81" s="1866"/>
      <c r="J81" s="1866"/>
      <c r="K81" s="1901"/>
      <c r="L81" s="1866"/>
      <c r="M81" s="1866"/>
      <c r="S81" s="774"/>
    </row>
    <row r="82" spans="3:19" ht="13.25" customHeight="1">
      <c r="C82" s="1902"/>
      <c r="F82" s="1866"/>
      <c r="G82" s="1866"/>
      <c r="H82" s="1866"/>
      <c r="I82" s="1866"/>
      <c r="J82" s="1866"/>
      <c r="K82" s="1901"/>
      <c r="L82" s="1866"/>
      <c r="M82" s="1866"/>
      <c r="S82" s="774"/>
    </row>
    <row r="83" spans="3:19" ht="13.25" customHeight="1">
      <c r="C83" s="1902"/>
      <c r="F83" s="1866"/>
      <c r="G83" s="1866"/>
      <c r="H83" s="1866"/>
      <c r="I83" s="1866"/>
      <c r="J83" s="1866"/>
      <c r="K83" s="1901"/>
      <c r="L83" s="1866"/>
      <c r="M83" s="1866"/>
      <c r="S83" s="774"/>
    </row>
    <row r="84" spans="3:19" ht="13.25" customHeight="1">
      <c r="C84" s="1902"/>
      <c r="F84" s="1866"/>
      <c r="G84" s="1866"/>
      <c r="H84" s="1866"/>
      <c r="I84" s="1866"/>
      <c r="J84" s="1866"/>
      <c r="K84" s="1901"/>
      <c r="L84" s="1866"/>
      <c r="M84" s="1866"/>
      <c r="S84" s="774"/>
    </row>
    <row r="85" spans="3:19" ht="13.25" customHeight="1">
      <c r="C85" s="1902"/>
      <c r="F85" s="1866"/>
      <c r="G85" s="1866"/>
      <c r="H85" s="1866"/>
      <c r="I85" s="1866"/>
      <c r="J85" s="1866"/>
      <c r="K85" s="1901"/>
      <c r="L85" s="1866"/>
      <c r="M85" s="1866"/>
      <c r="S85" s="774"/>
    </row>
    <row r="86" spans="3:19" ht="13.25" customHeight="1">
      <c r="C86" s="1902"/>
      <c r="F86" s="1866"/>
      <c r="G86" s="1866"/>
      <c r="H86" s="1866"/>
      <c r="I86" s="1866"/>
      <c r="J86" s="1866"/>
      <c r="K86" s="1901"/>
      <c r="L86" s="1866"/>
      <c r="M86" s="1866"/>
      <c r="S86" s="774"/>
    </row>
    <row r="87" spans="3:19" ht="13.25" customHeight="1">
      <c r="C87" s="1902"/>
      <c r="F87" s="1866"/>
      <c r="G87" s="1866"/>
      <c r="H87" s="1866"/>
      <c r="I87" s="1866"/>
      <c r="J87" s="1866"/>
      <c r="K87" s="1901"/>
      <c r="L87" s="1866"/>
      <c r="M87" s="1866"/>
      <c r="S87" s="774"/>
    </row>
    <row r="88" spans="3:19" ht="13.25" customHeight="1">
      <c r="C88" s="1902"/>
      <c r="F88" s="1866"/>
      <c r="G88" s="1866"/>
      <c r="H88" s="1866"/>
      <c r="I88" s="1866"/>
      <c r="J88" s="1866"/>
      <c r="K88" s="1901"/>
      <c r="L88" s="1866"/>
      <c r="M88" s="1866"/>
      <c r="S88" s="774"/>
    </row>
    <row r="89" spans="3:19" ht="13.25" customHeight="1">
      <c r="C89" s="1902"/>
      <c r="F89" s="1866"/>
      <c r="G89" s="1866"/>
      <c r="H89" s="1866"/>
      <c r="I89" s="1866"/>
      <c r="J89" s="1866"/>
      <c r="K89" s="1901"/>
      <c r="L89" s="1866"/>
      <c r="M89" s="1866"/>
      <c r="S89" s="774"/>
    </row>
    <row r="90" spans="3:19" ht="13.25" customHeight="1">
      <c r="C90" s="1902"/>
      <c r="F90" s="1866"/>
      <c r="G90" s="1866"/>
      <c r="H90" s="1866"/>
      <c r="I90" s="1866"/>
      <c r="J90" s="1866"/>
      <c r="K90" s="1901"/>
      <c r="L90" s="1866"/>
      <c r="M90" s="1866"/>
      <c r="S90" s="774"/>
    </row>
    <row r="91" spans="3:19" ht="13.25" customHeight="1">
      <c r="C91" s="1902"/>
      <c r="F91" s="1866"/>
      <c r="G91" s="1866"/>
      <c r="H91" s="1866"/>
      <c r="I91" s="1866"/>
      <c r="J91" s="1866"/>
      <c r="K91" s="1901"/>
      <c r="L91" s="1866"/>
      <c r="M91" s="1866"/>
      <c r="S91" s="774"/>
    </row>
    <row r="92" spans="3:19" ht="13.25" customHeight="1">
      <c r="C92" s="1902"/>
      <c r="F92" s="1866"/>
      <c r="G92" s="1866"/>
      <c r="H92" s="1866"/>
      <c r="I92" s="1866"/>
      <c r="J92" s="1866"/>
      <c r="K92" s="1901"/>
      <c r="L92" s="1866"/>
      <c r="M92" s="1866"/>
      <c r="S92" s="774"/>
    </row>
    <row r="93" spans="3:19" ht="13.25" customHeight="1">
      <c r="C93" s="1902"/>
      <c r="F93" s="1866"/>
      <c r="G93" s="1866"/>
      <c r="H93" s="1866"/>
      <c r="I93" s="1866"/>
      <c r="J93" s="1866"/>
      <c r="K93" s="1901"/>
      <c r="L93" s="1866"/>
      <c r="M93" s="1866"/>
      <c r="S93" s="774"/>
    </row>
    <row r="94" spans="3:19" ht="13.25" customHeight="1">
      <c r="C94" s="1902"/>
      <c r="F94" s="1866"/>
      <c r="G94" s="1866"/>
      <c r="H94" s="1866"/>
      <c r="I94" s="1866"/>
      <c r="J94" s="1866"/>
      <c r="K94" s="1901"/>
      <c r="L94" s="1866"/>
      <c r="M94" s="1866"/>
      <c r="S94" s="774"/>
    </row>
    <row r="95" spans="3:19" ht="13.25" customHeight="1">
      <c r="C95" s="1902"/>
      <c r="F95" s="1866"/>
      <c r="G95" s="1866"/>
      <c r="H95" s="1866"/>
      <c r="I95" s="1866"/>
      <c r="J95" s="1866"/>
      <c r="K95" s="1901"/>
      <c r="L95" s="1866"/>
      <c r="M95" s="1866"/>
      <c r="S95" s="774"/>
    </row>
    <row r="96" spans="3:19" ht="13.25" customHeight="1">
      <c r="C96" s="1902"/>
      <c r="F96" s="1866"/>
      <c r="G96" s="1866"/>
      <c r="H96" s="1866"/>
      <c r="I96" s="1866"/>
      <c r="J96" s="1866"/>
      <c r="K96" s="1901"/>
      <c r="L96" s="1866"/>
      <c r="M96" s="1866"/>
      <c r="S96" s="774"/>
    </row>
    <row r="97" spans="3:19" ht="13.25" customHeight="1">
      <c r="C97" s="1902"/>
      <c r="F97" s="1866"/>
      <c r="G97" s="1866"/>
      <c r="H97" s="1866"/>
      <c r="I97" s="1866"/>
      <c r="J97" s="1866"/>
      <c r="K97" s="1901"/>
      <c r="L97" s="1866"/>
      <c r="M97" s="1866"/>
      <c r="S97" s="774"/>
    </row>
    <row r="98" spans="3:19" ht="13.25" customHeight="1">
      <c r="C98" s="1902"/>
      <c r="F98" s="1866"/>
      <c r="G98" s="1866"/>
      <c r="H98" s="1866"/>
      <c r="I98" s="1866"/>
      <c r="J98" s="1866"/>
      <c r="K98" s="1901"/>
      <c r="L98" s="1866"/>
      <c r="M98" s="1866"/>
      <c r="S98" s="774"/>
    </row>
    <row r="99" spans="3:19" ht="13.25" customHeight="1">
      <c r="C99" s="1902"/>
      <c r="F99" s="1866"/>
      <c r="G99" s="1866"/>
      <c r="H99" s="1866"/>
      <c r="I99" s="1866"/>
      <c r="J99" s="1866"/>
      <c r="K99" s="1901"/>
      <c r="L99" s="1866"/>
      <c r="M99" s="1866"/>
      <c r="S99" s="774"/>
    </row>
    <row r="100" spans="3:19" ht="13.25" customHeight="1">
      <c r="C100" s="1902"/>
      <c r="F100" s="1866"/>
      <c r="G100" s="1866"/>
      <c r="H100" s="1866"/>
      <c r="I100" s="1866"/>
      <c r="J100" s="1866"/>
      <c r="K100" s="1901"/>
      <c r="L100" s="1866"/>
      <c r="M100" s="1866"/>
      <c r="S100" s="774"/>
    </row>
    <row r="101" spans="3:19" ht="13.25" customHeight="1">
      <c r="C101" s="1902"/>
      <c r="F101" s="1866"/>
      <c r="G101" s="1866"/>
      <c r="H101" s="1866"/>
      <c r="I101" s="1866"/>
      <c r="J101" s="1866"/>
      <c r="K101" s="1901"/>
      <c r="L101" s="1866"/>
      <c r="M101" s="1866"/>
      <c r="S101" s="774"/>
    </row>
    <row r="102" spans="3:19" ht="13.25" customHeight="1">
      <c r="C102" s="1902"/>
      <c r="F102" s="1866"/>
      <c r="G102" s="1866"/>
      <c r="H102" s="1866"/>
      <c r="I102" s="1866"/>
      <c r="J102" s="1866"/>
      <c r="K102" s="1901"/>
      <c r="L102" s="1866"/>
      <c r="M102" s="1866"/>
      <c r="S102" s="774"/>
    </row>
    <row r="103" spans="3:19" ht="13.25" customHeight="1">
      <c r="C103" s="1902"/>
      <c r="F103" s="1866"/>
      <c r="G103" s="1866"/>
      <c r="H103" s="1866"/>
      <c r="I103" s="1866"/>
      <c r="J103" s="1866"/>
      <c r="K103" s="1901"/>
      <c r="L103" s="1866"/>
      <c r="M103" s="1866"/>
      <c r="S103" s="774"/>
    </row>
    <row r="104" spans="3:19" ht="13.25" customHeight="1">
      <c r="C104" s="1902"/>
      <c r="F104" s="1866"/>
      <c r="G104" s="1866"/>
      <c r="H104" s="1866"/>
      <c r="I104" s="1866"/>
      <c r="J104" s="1866"/>
      <c r="K104" s="1901"/>
      <c r="L104" s="1866"/>
      <c r="M104" s="1866"/>
      <c r="S104" s="774"/>
    </row>
    <row r="105" spans="3:19" ht="13.25" customHeight="1">
      <c r="C105" s="1902"/>
      <c r="F105" s="1866"/>
      <c r="G105" s="1866"/>
      <c r="H105" s="1866"/>
      <c r="I105" s="1866"/>
      <c r="J105" s="1866"/>
      <c r="K105" s="1901"/>
      <c r="L105" s="1866"/>
      <c r="M105" s="1866"/>
      <c r="S105" s="774"/>
    </row>
    <row r="106" spans="3:19" ht="13.25" customHeight="1">
      <c r="C106" s="1902"/>
      <c r="F106" s="1866"/>
      <c r="G106" s="1866"/>
      <c r="H106" s="1866"/>
      <c r="I106" s="1866"/>
      <c r="J106" s="1866"/>
      <c r="K106" s="1901"/>
      <c r="L106" s="1866"/>
      <c r="M106" s="1866"/>
      <c r="S106" s="774"/>
    </row>
    <row r="107" spans="3:19" ht="13.25" customHeight="1">
      <c r="C107" s="1902"/>
      <c r="F107" s="1866"/>
      <c r="G107" s="1866"/>
      <c r="H107" s="1866"/>
      <c r="I107" s="1866"/>
      <c r="J107" s="1866"/>
      <c r="K107" s="1901"/>
      <c r="L107" s="1866"/>
      <c r="M107" s="1866"/>
      <c r="S107" s="774"/>
    </row>
    <row r="108" spans="3:19" ht="13.25" customHeight="1">
      <c r="C108" s="1902" t="s">
        <v>233</v>
      </c>
      <c r="F108" s="1866"/>
      <c r="G108" s="1866"/>
      <c r="H108" s="1866"/>
      <c r="I108" s="1866"/>
      <c r="J108" s="1866"/>
      <c r="K108" s="1901"/>
      <c r="L108" s="1866"/>
      <c r="M108" s="1866"/>
      <c r="S108" s="774"/>
    </row>
    <row r="109" spans="3:19" ht="13.25" customHeight="1">
      <c r="C109" s="1902"/>
      <c r="F109" s="1866"/>
      <c r="G109" s="1866"/>
      <c r="H109" s="1866"/>
      <c r="I109" s="1866"/>
      <c r="J109" s="1866"/>
      <c r="K109" s="1901"/>
      <c r="L109" s="1866"/>
      <c r="M109" s="1866"/>
      <c r="S109" s="774"/>
    </row>
    <row r="110" spans="3:19" ht="13.25" customHeight="1">
      <c r="C110" s="1902"/>
      <c r="F110" s="1866"/>
      <c r="G110" s="1866"/>
      <c r="H110" s="1866"/>
      <c r="I110" s="1866"/>
      <c r="J110" s="1866"/>
      <c r="K110" s="1901"/>
      <c r="L110" s="1866"/>
      <c r="M110" s="1866"/>
      <c r="S110" s="774"/>
    </row>
    <row r="111" spans="3:19" ht="13.25" customHeight="1">
      <c r="C111" s="1902"/>
      <c r="F111" s="1866"/>
      <c r="G111" s="1866"/>
      <c r="H111" s="1866"/>
      <c r="I111" s="1866"/>
      <c r="J111" s="1866"/>
      <c r="K111" s="1901"/>
      <c r="L111" s="1866"/>
      <c r="M111" s="1866"/>
      <c r="S111" s="774"/>
    </row>
    <row r="112" spans="3:19" ht="13.25" customHeight="1">
      <c r="C112" s="1902"/>
      <c r="F112" s="1866"/>
      <c r="G112" s="1866"/>
      <c r="H112" s="1866"/>
      <c r="I112" s="1866"/>
      <c r="J112" s="1866"/>
      <c r="K112" s="1901"/>
      <c r="L112" s="1866"/>
      <c r="M112" s="1866"/>
      <c r="S112" s="774"/>
    </row>
    <row r="113" spans="3:19" ht="13.25" customHeight="1">
      <c r="C113" s="1902"/>
      <c r="F113" s="1866"/>
      <c r="G113" s="1866"/>
      <c r="H113" s="1866"/>
      <c r="I113" s="1866"/>
      <c r="J113" s="1866"/>
      <c r="K113" s="1901"/>
      <c r="L113" s="1866"/>
      <c r="M113" s="1866"/>
      <c r="S113" s="774"/>
    </row>
    <row r="114" spans="3:19" ht="13.25" customHeight="1">
      <c r="C114" s="1902"/>
      <c r="F114" s="1866"/>
      <c r="G114" s="1866"/>
      <c r="H114" s="1866"/>
      <c r="I114" s="1866"/>
      <c r="J114" s="1866"/>
      <c r="K114" s="1901"/>
      <c r="L114" s="1866"/>
      <c r="M114" s="1866"/>
      <c r="S114" s="774"/>
    </row>
    <row r="115" spans="3:19" ht="13.25" customHeight="1">
      <c r="C115" s="1902"/>
      <c r="F115" s="1866"/>
      <c r="G115" s="1866"/>
      <c r="H115" s="1866"/>
      <c r="I115" s="1866"/>
      <c r="J115" s="1866"/>
      <c r="K115" s="1901"/>
      <c r="L115" s="1866"/>
      <c r="M115" s="1866"/>
      <c r="S115" s="774"/>
    </row>
    <row r="116" spans="3:19" ht="13.25" customHeight="1">
      <c r="C116" s="1902"/>
      <c r="F116" s="1866"/>
      <c r="G116" s="1866"/>
      <c r="H116" s="1866"/>
      <c r="I116" s="1866"/>
      <c r="J116" s="1866"/>
      <c r="K116" s="1901"/>
      <c r="L116" s="1866"/>
      <c r="M116" s="1866"/>
      <c r="S116" s="774"/>
    </row>
    <row r="117" spans="3:19" ht="13.25" customHeight="1">
      <c r="C117" s="1902"/>
      <c r="F117" s="1866"/>
      <c r="G117" s="1866"/>
      <c r="H117" s="1866"/>
      <c r="I117" s="1866"/>
      <c r="J117" s="1866"/>
      <c r="K117" s="1901"/>
      <c r="L117" s="1866"/>
      <c r="M117" s="1866"/>
      <c r="S117" s="774"/>
    </row>
    <row r="118" spans="3:19" ht="13.25" customHeight="1">
      <c r="C118" s="1902"/>
      <c r="F118" s="1866"/>
      <c r="G118" s="1866"/>
      <c r="H118" s="1866"/>
      <c r="I118" s="1866"/>
      <c r="J118" s="1866"/>
      <c r="K118" s="1901"/>
      <c r="L118" s="1866"/>
      <c r="M118" s="1866"/>
      <c r="S118" s="774"/>
    </row>
    <row r="119" spans="3:19" ht="13.25" customHeight="1">
      <c r="C119" s="1902"/>
      <c r="F119" s="1866"/>
      <c r="G119" s="1866"/>
      <c r="H119" s="1866"/>
      <c r="I119" s="1866"/>
      <c r="J119" s="1866"/>
      <c r="K119" s="1901"/>
      <c r="L119" s="1866"/>
      <c r="M119" s="1866"/>
      <c r="S119" s="774"/>
    </row>
    <row r="120" spans="3:19" ht="13.25" customHeight="1">
      <c r="C120" s="1902"/>
      <c r="F120" s="1866"/>
      <c r="G120" s="1866"/>
      <c r="H120" s="1866"/>
      <c r="I120" s="1866"/>
      <c r="J120" s="1866"/>
      <c r="K120" s="1901"/>
      <c r="L120" s="1866"/>
      <c r="M120" s="1866"/>
      <c r="S120" s="774"/>
    </row>
    <row r="121" spans="3:19" ht="13.25" customHeight="1">
      <c r="C121" s="1902"/>
      <c r="F121" s="1866"/>
      <c r="G121" s="1866"/>
      <c r="H121" s="1866"/>
      <c r="I121" s="1866"/>
      <c r="J121" s="1866"/>
      <c r="K121" s="1901"/>
      <c r="L121" s="1866"/>
      <c r="M121" s="1866"/>
      <c r="S121" s="774"/>
    </row>
    <row r="122" spans="3:19" ht="13.25" customHeight="1">
      <c r="C122" s="1902"/>
      <c r="F122" s="1866"/>
      <c r="G122" s="1866"/>
      <c r="H122" s="1866"/>
      <c r="I122" s="1866"/>
      <c r="J122" s="1866"/>
      <c r="K122" s="1901"/>
      <c r="L122" s="1866"/>
      <c r="M122" s="1866"/>
      <c r="S122" s="774"/>
    </row>
    <row r="123" spans="3:19" ht="13.25" customHeight="1">
      <c r="C123" s="1902"/>
      <c r="F123" s="1866"/>
      <c r="G123" s="1866"/>
      <c r="H123" s="1866"/>
      <c r="I123" s="1866"/>
      <c r="J123" s="1866"/>
      <c r="K123" s="1901"/>
      <c r="L123" s="1866"/>
      <c r="M123" s="1866"/>
      <c r="S123" s="774"/>
    </row>
    <row r="124" spans="3:19" ht="13.25" customHeight="1">
      <c r="C124" s="1902"/>
      <c r="F124" s="1866"/>
      <c r="G124" s="1866"/>
      <c r="H124" s="1866"/>
      <c r="I124" s="1866"/>
      <c r="J124" s="1866"/>
      <c r="K124" s="1901"/>
      <c r="L124" s="1866"/>
      <c r="M124" s="1866"/>
      <c r="S124" s="774"/>
    </row>
    <row r="125" spans="3:19" ht="13.25" customHeight="1">
      <c r="C125" s="1902"/>
      <c r="F125" s="1866"/>
      <c r="G125" s="1866"/>
      <c r="H125" s="1866"/>
      <c r="I125" s="1866"/>
      <c r="J125" s="1866"/>
      <c r="K125" s="1901"/>
      <c r="L125" s="1866"/>
      <c r="M125" s="1866"/>
      <c r="S125" s="774"/>
    </row>
    <row r="126" spans="3:19" ht="13.25" customHeight="1">
      <c r="C126" s="1902"/>
      <c r="F126" s="1866"/>
      <c r="G126" s="1866"/>
      <c r="H126" s="1866"/>
      <c r="I126" s="1866"/>
      <c r="J126" s="1866"/>
      <c r="K126" s="1901"/>
      <c r="L126" s="1866"/>
      <c r="M126" s="1866"/>
      <c r="S126" s="774"/>
    </row>
    <row r="127" spans="3:19" ht="13.25" customHeight="1">
      <c r="C127" s="1902"/>
      <c r="F127" s="1866"/>
      <c r="G127" s="1866"/>
      <c r="H127" s="1866"/>
      <c r="I127" s="1866"/>
      <c r="J127" s="1866"/>
      <c r="K127" s="1901"/>
      <c r="L127" s="1866"/>
      <c r="M127" s="1866"/>
      <c r="S127" s="774"/>
    </row>
    <row r="128" spans="3:19" ht="13.25" customHeight="1">
      <c r="C128" s="1902"/>
      <c r="F128" s="1866"/>
      <c r="G128" s="1866"/>
      <c r="H128" s="1866"/>
      <c r="I128" s="1866"/>
      <c r="J128" s="1866"/>
      <c r="K128" s="1901"/>
      <c r="L128" s="1866"/>
      <c r="M128" s="1866"/>
      <c r="S128" s="774"/>
    </row>
    <row r="129" spans="3:19" ht="13.25" customHeight="1">
      <c r="C129" s="1902"/>
      <c r="F129" s="1866"/>
      <c r="G129" s="1866"/>
      <c r="H129" s="1866"/>
      <c r="I129" s="1866"/>
      <c r="J129" s="1866"/>
      <c r="K129" s="1901"/>
      <c r="L129" s="1866"/>
      <c r="M129" s="1866"/>
      <c r="S129" s="774"/>
    </row>
    <row r="130" spans="3:19" ht="13.25" customHeight="1">
      <c r="C130" s="1902"/>
      <c r="F130" s="1866"/>
      <c r="G130" s="1866"/>
      <c r="H130" s="1866"/>
      <c r="I130" s="1866"/>
      <c r="J130" s="1866"/>
      <c r="K130" s="1901"/>
      <c r="L130" s="1866"/>
      <c r="M130" s="1866"/>
      <c r="S130" s="774"/>
    </row>
    <row r="131" spans="3:19" ht="13.25" customHeight="1">
      <c r="C131" s="1902"/>
      <c r="F131" s="1866"/>
      <c r="G131" s="1866"/>
      <c r="H131" s="1866"/>
      <c r="I131" s="1866"/>
      <c r="J131" s="1866"/>
      <c r="K131" s="1901"/>
      <c r="L131" s="1866"/>
      <c r="M131" s="1866"/>
      <c r="S131" s="774"/>
    </row>
    <row r="132" spans="3:19" ht="13.25" customHeight="1">
      <c r="C132" s="1902"/>
      <c r="F132" s="1866"/>
      <c r="G132" s="1866"/>
      <c r="H132" s="1866"/>
      <c r="I132" s="1866"/>
      <c r="J132" s="1866"/>
      <c r="K132" s="1901"/>
      <c r="L132" s="1866"/>
      <c r="M132" s="1866"/>
      <c r="S132" s="774"/>
    </row>
    <row r="133" spans="3:19" ht="13.25" customHeight="1">
      <c r="C133" s="1902"/>
      <c r="F133" s="1866"/>
      <c r="G133" s="1866"/>
      <c r="H133" s="1866"/>
      <c r="I133" s="1866"/>
      <c r="J133" s="1866"/>
      <c r="K133" s="1901"/>
      <c r="L133" s="1866"/>
      <c r="M133" s="1866"/>
      <c r="S133" s="774"/>
    </row>
    <row r="134" spans="3:19" ht="13.25" customHeight="1">
      <c r="C134" s="1902"/>
      <c r="F134" s="1866"/>
      <c r="G134" s="1866"/>
      <c r="H134" s="1866"/>
      <c r="I134" s="1866"/>
      <c r="J134" s="1866"/>
      <c r="K134" s="1901"/>
      <c r="L134" s="1866"/>
      <c r="M134" s="1866"/>
      <c r="S134" s="774"/>
    </row>
    <row r="135" spans="3:19" ht="13.25" customHeight="1">
      <c r="C135" s="1902"/>
      <c r="F135" s="1866"/>
      <c r="G135" s="1866"/>
      <c r="H135" s="1866"/>
      <c r="I135" s="1866"/>
      <c r="J135" s="1866"/>
      <c r="K135" s="1901"/>
      <c r="L135" s="1866"/>
      <c r="M135" s="1866"/>
      <c r="S135" s="774"/>
    </row>
    <row r="136" spans="3:19" ht="13.25" customHeight="1">
      <c r="C136" s="1902"/>
      <c r="F136" s="1866"/>
      <c r="G136" s="1866"/>
      <c r="H136" s="1866"/>
      <c r="I136" s="1866"/>
      <c r="J136" s="1866"/>
      <c r="K136" s="1901"/>
      <c r="L136" s="1866"/>
      <c r="M136" s="1866"/>
      <c r="S136" s="774"/>
    </row>
    <row r="137" spans="3:19" ht="13.25" customHeight="1">
      <c r="C137" s="1902"/>
      <c r="F137" s="1866"/>
      <c r="G137" s="1866"/>
      <c r="H137" s="1866"/>
      <c r="I137" s="1866"/>
      <c r="J137" s="1866"/>
      <c r="K137" s="1901"/>
      <c r="L137" s="1866"/>
      <c r="M137" s="1866"/>
      <c r="S137" s="774"/>
    </row>
    <row r="138" spans="3:19" ht="13.25" customHeight="1">
      <c r="C138" s="1902"/>
      <c r="F138" s="1866"/>
      <c r="G138" s="1866"/>
      <c r="H138" s="1866"/>
      <c r="I138" s="1866"/>
      <c r="J138" s="1866"/>
      <c r="K138" s="1901"/>
      <c r="L138" s="1866"/>
      <c r="M138" s="1866"/>
      <c r="S138" s="774"/>
    </row>
    <row r="139" spans="3:19" ht="13.25" customHeight="1">
      <c r="C139" s="1902"/>
      <c r="F139" s="1866"/>
      <c r="G139" s="1866"/>
      <c r="H139" s="1866"/>
      <c r="I139" s="1866"/>
      <c r="J139" s="1866"/>
      <c r="K139" s="1901"/>
      <c r="L139" s="1866"/>
      <c r="M139" s="1866"/>
      <c r="S139" s="774"/>
    </row>
    <row r="140" spans="3:19" ht="13.25" customHeight="1">
      <c r="C140" s="1902"/>
      <c r="F140" s="1866"/>
      <c r="G140" s="1866"/>
      <c r="H140" s="1866"/>
      <c r="I140" s="1866"/>
      <c r="J140" s="1866"/>
      <c r="K140" s="1901"/>
      <c r="L140" s="1866"/>
      <c r="M140" s="1866"/>
      <c r="S140" s="774"/>
    </row>
    <row r="141" spans="3:19" ht="13.25" customHeight="1">
      <c r="C141" s="1902"/>
      <c r="F141" s="1866"/>
      <c r="G141" s="1866"/>
      <c r="H141" s="1866"/>
      <c r="I141" s="1866"/>
      <c r="J141" s="1866"/>
      <c r="K141" s="1901"/>
      <c r="L141" s="1866"/>
      <c r="M141" s="1866"/>
      <c r="S141" s="774"/>
    </row>
    <row r="142" spans="3:19" ht="13.25" customHeight="1">
      <c r="C142" s="1902"/>
      <c r="F142" s="1866"/>
      <c r="G142" s="1866"/>
      <c r="H142" s="1866"/>
      <c r="I142" s="1866"/>
      <c r="J142" s="1866"/>
      <c r="K142" s="1901"/>
      <c r="L142" s="1866"/>
      <c r="M142" s="1866"/>
      <c r="S142" s="774"/>
    </row>
    <row r="143" spans="3:19" ht="13.25" customHeight="1">
      <c r="C143" s="1902"/>
      <c r="F143" s="1866"/>
      <c r="G143" s="1866"/>
      <c r="H143" s="1866"/>
      <c r="I143" s="1866"/>
      <c r="J143" s="1866"/>
      <c r="K143" s="1901"/>
      <c r="L143" s="1866"/>
      <c r="M143" s="1866"/>
      <c r="S143" s="774"/>
    </row>
    <row r="144" spans="3:19" ht="13.25" customHeight="1">
      <c r="C144" s="1902"/>
      <c r="F144" s="1866"/>
      <c r="G144" s="1866"/>
      <c r="H144" s="1866"/>
      <c r="I144" s="1866"/>
      <c r="J144" s="1866"/>
      <c r="K144" s="1901"/>
      <c r="L144" s="1866"/>
      <c r="M144" s="1866"/>
      <c r="S144" s="774"/>
    </row>
    <row r="145" spans="3:19" ht="13.25" customHeight="1">
      <c r="C145" s="1902"/>
      <c r="F145" s="1866"/>
      <c r="G145" s="1866"/>
      <c r="H145" s="1866"/>
      <c r="I145" s="1866"/>
      <c r="J145" s="1866"/>
      <c r="K145" s="1901"/>
      <c r="L145" s="1866"/>
      <c r="M145" s="1866"/>
      <c r="S145" s="774"/>
    </row>
    <row r="146" spans="3:19" ht="13.25" customHeight="1">
      <c r="C146" s="1902"/>
      <c r="F146" s="1866"/>
      <c r="G146" s="1866"/>
      <c r="H146" s="1866"/>
      <c r="I146" s="1866"/>
      <c r="J146" s="1866"/>
      <c r="K146" s="1901"/>
      <c r="L146" s="1866"/>
      <c r="M146" s="1866"/>
      <c r="S146" s="774"/>
    </row>
    <row r="147" spans="3:19" ht="13.25" customHeight="1">
      <c r="C147" s="1902"/>
      <c r="F147" s="1866"/>
      <c r="G147" s="1866"/>
      <c r="H147" s="1866"/>
      <c r="I147" s="1866"/>
      <c r="J147" s="1866"/>
      <c r="K147" s="1901"/>
      <c r="L147" s="1866"/>
      <c r="M147" s="1866"/>
      <c r="S147" s="774"/>
    </row>
    <row r="148" spans="3:19" ht="13.25" customHeight="1">
      <c r="C148" s="1902"/>
      <c r="F148" s="1866"/>
      <c r="G148" s="1866"/>
      <c r="H148" s="1866"/>
      <c r="I148" s="1866"/>
      <c r="J148" s="1866"/>
      <c r="K148" s="1901"/>
      <c r="L148" s="1866"/>
      <c r="M148" s="1866"/>
      <c r="S148" s="774"/>
    </row>
    <row r="149" spans="3:19" ht="13.25" customHeight="1">
      <c r="C149" s="1902"/>
      <c r="F149" s="1866"/>
      <c r="G149" s="1866"/>
      <c r="H149" s="1866"/>
      <c r="I149" s="1866"/>
      <c r="J149" s="1866"/>
      <c r="K149" s="1901"/>
      <c r="L149" s="1866"/>
      <c r="M149" s="1866"/>
      <c r="S149" s="774"/>
    </row>
    <row r="150" spans="3:19" ht="13.25" customHeight="1">
      <c r="C150" s="1902"/>
      <c r="F150" s="1866"/>
      <c r="G150" s="1866"/>
      <c r="H150" s="1866"/>
      <c r="I150" s="1866"/>
      <c r="J150" s="1866"/>
      <c r="K150" s="1901"/>
      <c r="L150" s="1866"/>
      <c r="M150" s="1866"/>
      <c r="S150" s="774"/>
    </row>
    <row r="151" spans="3:19" ht="13.25" customHeight="1">
      <c r="C151" s="1902"/>
      <c r="F151" s="1866"/>
      <c r="G151" s="1866"/>
      <c r="H151" s="1866"/>
      <c r="I151" s="1866"/>
      <c r="J151" s="1866"/>
      <c r="K151" s="1901"/>
      <c r="L151" s="1866"/>
      <c r="M151" s="1866"/>
      <c r="S151" s="774"/>
    </row>
    <row r="152" spans="3:19" ht="13.25" customHeight="1">
      <c r="C152" s="1902"/>
      <c r="F152" s="1866"/>
      <c r="G152" s="1866"/>
      <c r="H152" s="1866"/>
      <c r="I152" s="1866"/>
      <c r="J152" s="1866"/>
      <c r="K152" s="1901"/>
      <c r="L152" s="1866"/>
      <c r="M152" s="1866"/>
      <c r="S152" s="774"/>
    </row>
    <row r="153" spans="3:19" ht="13.25" customHeight="1">
      <c r="C153" s="1902"/>
      <c r="F153" s="1866"/>
      <c r="G153" s="1866"/>
      <c r="H153" s="1866"/>
      <c r="I153" s="1866"/>
      <c r="J153" s="1866"/>
      <c r="K153" s="1901"/>
      <c r="L153" s="1866"/>
      <c r="M153" s="1866"/>
      <c r="S153" s="774"/>
    </row>
    <row r="154" spans="3:19" ht="13.25" customHeight="1">
      <c r="C154" s="1902"/>
      <c r="F154" s="1866"/>
      <c r="G154" s="1866"/>
      <c r="H154" s="1866"/>
      <c r="I154" s="1866"/>
      <c r="J154" s="1866"/>
      <c r="K154" s="1901"/>
      <c r="L154" s="1866"/>
      <c r="M154" s="1866"/>
      <c r="S154" s="774"/>
    </row>
    <row r="155" spans="3:19" ht="13.25" customHeight="1">
      <c r="C155" s="1902"/>
      <c r="F155" s="1866"/>
      <c r="G155" s="1866"/>
      <c r="H155" s="1866"/>
      <c r="I155" s="1866"/>
      <c r="J155" s="1866"/>
      <c r="K155" s="1901"/>
      <c r="L155" s="1866"/>
      <c r="M155" s="1866"/>
      <c r="S155" s="774"/>
    </row>
    <row r="156" spans="3:19" ht="13.25" customHeight="1">
      <c r="C156" s="1902"/>
      <c r="F156" s="1866"/>
      <c r="G156" s="1866"/>
      <c r="H156" s="1866"/>
      <c r="I156" s="1866"/>
      <c r="J156" s="1866"/>
      <c r="K156" s="1901"/>
      <c r="L156" s="1866"/>
      <c r="M156" s="1866"/>
      <c r="S156" s="774"/>
    </row>
    <row r="157" spans="3:19" ht="13.25" customHeight="1">
      <c r="C157" s="1902"/>
      <c r="F157" s="1866"/>
      <c r="G157" s="1866"/>
      <c r="H157" s="1866"/>
      <c r="I157" s="1866"/>
      <c r="J157" s="1866"/>
      <c r="K157" s="1901"/>
      <c r="L157" s="1866"/>
      <c r="M157" s="1866"/>
      <c r="S157" s="774"/>
    </row>
    <row r="158" spans="3:19" ht="13.25" customHeight="1">
      <c r="C158" s="1902"/>
      <c r="F158" s="1866"/>
      <c r="G158" s="1866"/>
      <c r="H158" s="1866"/>
      <c r="I158" s="1866"/>
      <c r="J158" s="1866"/>
      <c r="K158" s="1901"/>
      <c r="L158" s="1866"/>
      <c r="M158" s="1866"/>
      <c r="S158" s="774"/>
    </row>
    <row r="159" spans="3:19" ht="13.25" customHeight="1">
      <c r="C159" s="1902"/>
      <c r="F159" s="1866"/>
      <c r="G159" s="1866"/>
      <c r="H159" s="1866"/>
      <c r="I159" s="1866"/>
      <c r="J159" s="1866"/>
      <c r="K159" s="1901"/>
      <c r="L159" s="1866"/>
      <c r="M159" s="1866"/>
      <c r="S159" s="774"/>
    </row>
    <row r="160" spans="3:19" ht="13.25" customHeight="1">
      <c r="C160" s="1902"/>
      <c r="F160" s="1866"/>
      <c r="G160" s="1866"/>
      <c r="H160" s="1866"/>
      <c r="I160" s="1866"/>
      <c r="J160" s="1866"/>
      <c r="K160" s="1901"/>
      <c r="L160" s="1866"/>
      <c r="M160" s="1866"/>
      <c r="S160" s="774"/>
    </row>
    <row r="161" spans="3:19" ht="13.25" customHeight="1">
      <c r="C161" s="1902"/>
      <c r="F161" s="1866"/>
      <c r="G161" s="1866"/>
      <c r="H161" s="1866"/>
      <c r="I161" s="1866"/>
      <c r="J161" s="1866"/>
      <c r="K161" s="1901"/>
      <c r="L161" s="1866"/>
      <c r="M161" s="1866"/>
      <c r="S161" s="774"/>
    </row>
    <row r="162" spans="3:19" ht="13.25" customHeight="1">
      <c r="C162" s="1902"/>
      <c r="F162" s="1866"/>
      <c r="G162" s="1866"/>
      <c r="H162" s="1866"/>
      <c r="I162" s="1866"/>
      <c r="J162" s="1866"/>
      <c r="K162" s="1901"/>
      <c r="L162" s="1866"/>
      <c r="M162" s="1866"/>
      <c r="S162" s="774"/>
    </row>
    <row r="163" spans="3:19" ht="13.25" customHeight="1">
      <c r="C163" s="1902"/>
      <c r="F163" s="1866"/>
      <c r="G163" s="1866"/>
      <c r="H163" s="1866"/>
      <c r="I163" s="1866"/>
      <c r="J163" s="1866"/>
      <c r="K163" s="1901"/>
      <c r="L163" s="1866"/>
      <c r="M163" s="1866"/>
      <c r="S163" s="774"/>
    </row>
    <row r="164" spans="3:19" ht="13.25" customHeight="1">
      <c r="C164" s="1902"/>
      <c r="F164" s="1866"/>
      <c r="G164" s="1866"/>
      <c r="H164" s="1866"/>
      <c r="I164" s="1866"/>
      <c r="J164" s="1866"/>
      <c r="K164" s="1901"/>
      <c r="L164" s="1866"/>
      <c r="M164" s="1866"/>
      <c r="S164" s="774"/>
    </row>
    <row r="165" spans="3:19" ht="13.25" customHeight="1">
      <c r="C165" s="1902"/>
      <c r="F165" s="1866"/>
      <c r="G165" s="1866"/>
      <c r="H165" s="1866"/>
      <c r="I165" s="1866"/>
      <c r="J165" s="1866"/>
      <c r="K165" s="1901"/>
      <c r="L165" s="1866"/>
      <c r="M165" s="1866"/>
      <c r="S165" s="774"/>
    </row>
    <row r="166" spans="3:19" ht="13.25" customHeight="1">
      <c r="C166" s="1902"/>
      <c r="F166" s="1866"/>
      <c r="G166" s="1866"/>
      <c r="H166" s="1866"/>
      <c r="I166" s="1866"/>
      <c r="J166" s="1866"/>
      <c r="K166" s="1901"/>
      <c r="L166" s="1866"/>
      <c r="M166" s="1866"/>
      <c r="S166" s="774"/>
    </row>
    <row r="167" spans="3:19" ht="13.25" customHeight="1">
      <c r="C167" s="1902"/>
      <c r="F167" s="1866"/>
      <c r="G167" s="1866"/>
      <c r="H167" s="1866"/>
      <c r="I167" s="1866"/>
      <c r="J167" s="1866"/>
      <c r="K167" s="1901"/>
      <c r="L167" s="1866"/>
      <c r="M167" s="1866"/>
      <c r="S167" s="774"/>
    </row>
    <row r="168" spans="3:19" ht="13.25" customHeight="1">
      <c r="C168" s="1902"/>
      <c r="F168" s="1866"/>
      <c r="G168" s="1866"/>
      <c r="H168" s="1866"/>
      <c r="I168" s="1866"/>
      <c r="J168" s="1866"/>
      <c r="K168" s="1901"/>
      <c r="L168" s="1866"/>
      <c r="M168" s="1866"/>
      <c r="S168" s="774"/>
    </row>
    <row r="169" spans="3:19" ht="13.25" customHeight="1">
      <c r="C169" s="1902"/>
      <c r="F169" s="1866"/>
      <c r="G169" s="1866"/>
      <c r="H169" s="1866"/>
      <c r="I169" s="1866"/>
      <c r="J169" s="1866"/>
      <c r="K169" s="1901"/>
      <c r="L169" s="1866"/>
      <c r="M169" s="1866"/>
      <c r="S169" s="774"/>
    </row>
    <row r="170" spans="3:19" ht="13.25" customHeight="1">
      <c r="C170" s="1902"/>
      <c r="F170" s="1866"/>
      <c r="G170" s="1866"/>
      <c r="H170" s="1866"/>
      <c r="I170" s="1866"/>
      <c r="J170" s="1866"/>
      <c r="K170" s="1901"/>
      <c r="L170" s="1866"/>
      <c r="M170" s="1866"/>
      <c r="S170" s="774"/>
    </row>
    <row r="171" spans="3:19" ht="13.25" customHeight="1">
      <c r="C171" s="1902"/>
      <c r="F171" s="1866"/>
      <c r="G171" s="1866"/>
      <c r="H171" s="1866"/>
      <c r="I171" s="1866"/>
      <c r="J171" s="1866"/>
      <c r="K171" s="1901"/>
      <c r="L171" s="1866"/>
      <c r="M171" s="1866"/>
      <c r="S171" s="774"/>
    </row>
    <row r="172" spans="3:19" ht="13.25" customHeight="1">
      <c r="C172" s="1902"/>
      <c r="F172" s="1866"/>
      <c r="G172" s="1866"/>
      <c r="H172" s="1866"/>
      <c r="I172" s="1866"/>
      <c r="J172" s="1866"/>
      <c r="K172" s="1901"/>
      <c r="L172" s="1866"/>
      <c r="M172" s="1866"/>
      <c r="S172" s="774"/>
    </row>
    <row r="173" spans="3:19" ht="13.25" customHeight="1">
      <c r="C173" s="1902"/>
      <c r="F173" s="1866"/>
      <c r="G173" s="1866"/>
      <c r="H173" s="1866"/>
      <c r="I173" s="1866"/>
      <c r="J173" s="1866"/>
      <c r="K173" s="1901"/>
      <c r="L173" s="1866"/>
      <c r="M173" s="1866"/>
      <c r="S173" s="774"/>
    </row>
    <row r="174" spans="3:19" ht="13.25" customHeight="1">
      <c r="C174" s="1902"/>
      <c r="F174" s="1866"/>
      <c r="G174" s="1866"/>
      <c r="H174" s="1866"/>
      <c r="I174" s="1866"/>
      <c r="J174" s="1866"/>
      <c r="K174" s="1901"/>
      <c r="L174" s="1866"/>
      <c r="M174" s="1866"/>
      <c r="S174" s="774"/>
    </row>
    <row r="175" spans="3:19" ht="13.25" customHeight="1">
      <c r="C175" s="1902"/>
      <c r="F175" s="1866"/>
      <c r="G175" s="1866"/>
      <c r="H175" s="1866"/>
      <c r="I175" s="1866"/>
      <c r="J175" s="1866"/>
      <c r="K175" s="1901"/>
      <c r="L175" s="1866"/>
      <c r="M175" s="1866"/>
      <c r="S175" s="774"/>
    </row>
    <row r="176" spans="3:19" ht="13.25" customHeight="1">
      <c r="C176" s="1902"/>
      <c r="F176" s="1866"/>
      <c r="G176" s="1866"/>
      <c r="H176" s="1866"/>
      <c r="I176" s="1866"/>
      <c r="J176" s="1866"/>
      <c r="K176" s="1901"/>
      <c r="L176" s="1866"/>
      <c r="M176" s="1866"/>
      <c r="S176" s="774"/>
    </row>
    <row r="177" spans="3:19" ht="13.25" customHeight="1">
      <c r="C177" s="1902"/>
      <c r="F177" s="1866"/>
      <c r="G177" s="1866"/>
      <c r="H177" s="1866"/>
      <c r="I177" s="1866"/>
      <c r="J177" s="1866"/>
      <c r="K177" s="1901"/>
      <c r="L177" s="1866"/>
      <c r="M177" s="1866"/>
      <c r="S177" s="774"/>
    </row>
    <row r="178" spans="3:19" ht="13.25" customHeight="1">
      <c r="C178" s="1902"/>
      <c r="F178" s="1866"/>
      <c r="G178" s="1866"/>
      <c r="H178" s="1866"/>
      <c r="I178" s="1866"/>
      <c r="J178" s="1866"/>
      <c r="K178" s="1901"/>
      <c r="L178" s="1866"/>
      <c r="M178" s="1866"/>
      <c r="S178" s="774"/>
    </row>
    <row r="179" spans="3:19" ht="13.25" customHeight="1">
      <c r="C179" s="1902"/>
      <c r="F179" s="1866"/>
      <c r="G179" s="1866"/>
      <c r="H179" s="1866"/>
      <c r="I179" s="1866"/>
      <c r="J179" s="1866"/>
      <c r="K179" s="1901"/>
      <c r="L179" s="1866"/>
      <c r="M179" s="1866"/>
      <c r="S179" s="774"/>
    </row>
    <row r="180" spans="3:19" ht="13.25" customHeight="1">
      <c r="C180" s="1902"/>
      <c r="F180" s="1866"/>
      <c r="G180" s="1866"/>
      <c r="H180" s="1866"/>
      <c r="I180" s="1866"/>
      <c r="J180" s="1866"/>
      <c r="K180" s="1901"/>
      <c r="L180" s="1866"/>
      <c r="M180" s="1866"/>
      <c r="S180" s="774"/>
    </row>
    <row r="181" spans="3:19" ht="13.25" customHeight="1">
      <c r="C181" s="1902"/>
      <c r="F181" s="1866"/>
      <c r="G181" s="1866"/>
      <c r="H181" s="1866"/>
      <c r="I181" s="1866"/>
      <c r="J181" s="1866"/>
      <c r="K181" s="1901"/>
      <c r="L181" s="1866"/>
      <c r="M181" s="1866"/>
      <c r="S181" s="774"/>
    </row>
    <row r="182" spans="3:19" ht="13.25" customHeight="1">
      <c r="C182" s="1902"/>
      <c r="F182" s="1866"/>
      <c r="G182" s="1866"/>
      <c r="H182" s="1866"/>
      <c r="I182" s="1866"/>
      <c r="J182" s="1866"/>
      <c r="K182" s="1901"/>
      <c r="L182" s="1866"/>
      <c r="M182" s="1866"/>
      <c r="S182" s="774"/>
    </row>
    <row r="183" spans="3:19" ht="13.25" customHeight="1">
      <c r="C183" s="1902"/>
      <c r="F183" s="1866"/>
      <c r="G183" s="1866"/>
      <c r="H183" s="1866"/>
      <c r="I183" s="1866"/>
      <c r="J183" s="1866"/>
      <c r="K183" s="1901"/>
      <c r="L183" s="1866"/>
      <c r="M183" s="1866"/>
      <c r="S183" s="774"/>
    </row>
    <row r="184" spans="3:19" ht="13.25" customHeight="1">
      <c r="C184" s="1902"/>
      <c r="F184" s="1866"/>
      <c r="G184" s="1866"/>
      <c r="H184" s="1866"/>
      <c r="I184" s="1866"/>
      <c r="J184" s="1866"/>
      <c r="K184" s="1901"/>
      <c r="L184" s="1866"/>
      <c r="M184" s="1866"/>
      <c r="S184" s="774"/>
    </row>
    <row r="185" spans="3:19" ht="13.25" customHeight="1">
      <c r="C185" s="1902"/>
      <c r="F185" s="1866"/>
      <c r="G185" s="1866"/>
      <c r="H185" s="1866"/>
      <c r="I185" s="1866"/>
      <c r="J185" s="1866"/>
      <c r="K185" s="1901"/>
      <c r="L185" s="1866"/>
      <c r="M185" s="1866"/>
      <c r="S185" s="774"/>
    </row>
    <row r="186" spans="3:19" ht="13.25" customHeight="1">
      <c r="C186" s="1902"/>
      <c r="F186" s="1866"/>
      <c r="G186" s="1866"/>
      <c r="H186" s="1866"/>
      <c r="I186" s="1866"/>
      <c r="J186" s="1866"/>
      <c r="K186" s="1901"/>
      <c r="L186" s="1866"/>
      <c r="M186" s="1866"/>
      <c r="S186" s="774"/>
    </row>
    <row r="187" spans="3:19" ht="13.25" customHeight="1">
      <c r="C187" s="1902" t="s">
        <v>233</v>
      </c>
      <c r="F187" s="1866"/>
      <c r="G187" s="1866"/>
      <c r="H187" s="1866"/>
      <c r="I187" s="1866"/>
      <c r="J187" s="1866"/>
      <c r="K187" s="1901"/>
      <c r="L187" s="1866"/>
      <c r="M187" s="1866"/>
      <c r="S187" s="774"/>
    </row>
    <row r="188" spans="3:19" ht="13.25" customHeight="1">
      <c r="C188" s="1902"/>
      <c r="F188" s="1866"/>
      <c r="G188" s="1866"/>
      <c r="H188" s="1866"/>
      <c r="I188" s="1866"/>
      <c r="J188" s="1866"/>
      <c r="K188" s="1901"/>
      <c r="L188" s="1866"/>
      <c r="M188" s="1866"/>
      <c r="S188" s="774"/>
    </row>
    <row r="189" spans="3:19" ht="13.25" customHeight="1">
      <c r="C189" s="1902"/>
      <c r="F189" s="1866"/>
      <c r="G189" s="1866"/>
      <c r="H189" s="1866"/>
      <c r="I189" s="1866"/>
      <c r="J189" s="1866"/>
      <c r="K189" s="1901"/>
      <c r="L189" s="1866"/>
      <c r="M189" s="1866"/>
      <c r="S189" s="774"/>
    </row>
    <row r="190" spans="3:19" ht="13.25" customHeight="1">
      <c r="C190" s="1902"/>
      <c r="F190" s="1866"/>
      <c r="G190" s="1866"/>
      <c r="H190" s="1866"/>
      <c r="I190" s="1866"/>
      <c r="J190" s="1866"/>
      <c r="K190" s="1901"/>
      <c r="L190" s="1866"/>
      <c r="M190" s="1866"/>
      <c r="S190" s="774"/>
    </row>
    <row r="191" spans="3:19" ht="13.25" customHeight="1">
      <c r="C191" s="1902"/>
      <c r="F191" s="1866"/>
      <c r="G191" s="1866"/>
      <c r="H191" s="1866"/>
      <c r="I191" s="1866"/>
      <c r="J191" s="1866"/>
      <c r="K191" s="1901"/>
      <c r="L191" s="1866"/>
      <c r="M191" s="1866"/>
      <c r="S191" s="774"/>
    </row>
    <row r="192" spans="3:19" ht="13.25" customHeight="1">
      <c r="C192" s="1902"/>
      <c r="F192" s="1866"/>
      <c r="G192" s="1866"/>
      <c r="H192" s="1866"/>
      <c r="I192" s="1866"/>
      <c r="J192" s="1866"/>
      <c r="K192" s="1901"/>
      <c r="L192" s="1866"/>
      <c r="M192" s="1866"/>
      <c r="S192" s="774"/>
    </row>
    <row r="193" spans="3:19" ht="13.25" customHeight="1">
      <c r="C193" s="1902"/>
      <c r="F193" s="711"/>
      <c r="G193" s="711"/>
      <c r="H193" s="711"/>
      <c r="I193" s="711"/>
      <c r="J193" s="711"/>
      <c r="K193" s="1901"/>
      <c r="L193" s="711"/>
      <c r="M193" s="711"/>
      <c r="S193" s="774"/>
    </row>
    <row r="194" spans="3:19" ht="13.25" customHeight="1">
      <c r="C194" s="1902"/>
      <c r="F194" s="711"/>
      <c r="G194" s="711"/>
      <c r="H194" s="711"/>
      <c r="I194" s="711"/>
      <c r="J194" s="711"/>
      <c r="K194" s="1901"/>
      <c r="L194" s="711"/>
      <c r="M194" s="711"/>
      <c r="S194" s="774"/>
    </row>
    <row r="195" spans="3:19" ht="13.25" customHeight="1">
      <c r="C195" s="1902"/>
      <c r="F195" s="711"/>
      <c r="G195" s="711"/>
      <c r="H195" s="711"/>
      <c r="I195" s="711"/>
      <c r="J195" s="711"/>
      <c r="K195" s="1901"/>
      <c r="L195" s="711"/>
      <c r="M195" s="711"/>
      <c r="S195" s="774"/>
    </row>
    <row r="196" spans="3:19" ht="13.25" customHeight="1">
      <c r="C196" s="1902"/>
      <c r="F196" s="711"/>
      <c r="G196" s="711"/>
      <c r="H196" s="711"/>
      <c r="I196" s="711"/>
      <c r="J196" s="711"/>
      <c r="K196" s="1901"/>
      <c r="L196" s="711"/>
      <c r="M196" s="711"/>
      <c r="S196" s="774"/>
    </row>
    <row r="197" spans="3:19" ht="13.25" customHeight="1">
      <c r="C197" s="1902"/>
      <c r="F197" s="711"/>
      <c r="G197" s="711"/>
      <c r="H197" s="711"/>
      <c r="I197" s="711"/>
      <c r="J197" s="711"/>
      <c r="K197" s="1901"/>
      <c r="L197" s="711"/>
      <c r="M197" s="711"/>
      <c r="S197" s="774"/>
    </row>
    <row r="198" spans="3:19" ht="13.25" customHeight="1">
      <c r="C198" s="1902"/>
      <c r="F198" s="711"/>
      <c r="G198" s="711"/>
      <c r="H198" s="711"/>
      <c r="I198" s="711"/>
      <c r="J198" s="711"/>
      <c r="K198" s="1901"/>
      <c r="L198" s="711"/>
      <c r="M198" s="711"/>
      <c r="S198" s="774"/>
    </row>
    <row r="199" spans="3:19" ht="13.25" customHeight="1">
      <c r="C199" s="1902"/>
      <c r="F199" s="711"/>
      <c r="G199" s="711"/>
      <c r="H199" s="711"/>
      <c r="I199" s="711"/>
      <c r="J199" s="711"/>
      <c r="K199" s="1901"/>
      <c r="L199" s="711"/>
      <c r="M199" s="711"/>
      <c r="S199" s="774"/>
    </row>
    <row r="200" spans="3:19" ht="13.25" customHeight="1">
      <c r="C200" s="1902"/>
      <c r="F200" s="711"/>
      <c r="G200" s="711"/>
      <c r="H200" s="711"/>
      <c r="I200" s="711"/>
      <c r="J200" s="711"/>
      <c r="K200" s="1901"/>
      <c r="L200" s="711"/>
      <c r="M200" s="711"/>
      <c r="S200" s="774"/>
    </row>
    <row r="201" spans="3:19" ht="13.25" customHeight="1">
      <c r="C201" s="1902"/>
      <c r="F201" s="711"/>
      <c r="G201" s="711"/>
      <c r="H201" s="711"/>
      <c r="I201" s="711"/>
      <c r="J201" s="711"/>
      <c r="K201" s="1901"/>
      <c r="L201" s="711"/>
      <c r="M201" s="711"/>
      <c r="S201" s="774"/>
    </row>
    <row r="202" spans="3:19" ht="13.25" customHeight="1">
      <c r="C202" s="1902"/>
      <c r="F202" s="711"/>
      <c r="G202" s="711"/>
      <c r="H202" s="711"/>
      <c r="I202" s="711"/>
      <c r="J202" s="711"/>
      <c r="K202" s="1901"/>
      <c r="L202" s="711"/>
      <c r="M202" s="711"/>
      <c r="S202" s="774"/>
    </row>
    <row r="203" spans="3:19" ht="13.25" customHeight="1">
      <c r="C203" s="1902"/>
      <c r="F203" s="711"/>
      <c r="G203" s="711"/>
      <c r="H203" s="711"/>
      <c r="I203" s="711"/>
      <c r="J203" s="711"/>
      <c r="K203" s="1901"/>
      <c r="L203" s="711"/>
      <c r="M203" s="711"/>
      <c r="S203" s="774"/>
    </row>
    <row r="204" spans="3:19" ht="13.25" customHeight="1">
      <c r="C204" s="1902"/>
      <c r="F204" s="711"/>
      <c r="G204" s="711"/>
      <c r="H204" s="711"/>
      <c r="I204" s="711"/>
      <c r="J204" s="711"/>
      <c r="K204" s="1901"/>
      <c r="L204" s="711"/>
      <c r="M204" s="711"/>
      <c r="S204" s="774"/>
    </row>
    <row r="205" spans="3:19" ht="13.25" customHeight="1">
      <c r="C205" s="1902"/>
      <c r="F205" s="711"/>
      <c r="G205" s="711"/>
      <c r="H205" s="711"/>
      <c r="I205" s="711"/>
      <c r="J205" s="711"/>
      <c r="K205" s="1901"/>
      <c r="L205" s="711"/>
      <c r="M205" s="711"/>
      <c r="S205" s="774"/>
    </row>
    <row r="206" spans="3:19" ht="13.25" customHeight="1">
      <c r="C206" s="1902"/>
      <c r="F206" s="711"/>
      <c r="G206" s="711"/>
      <c r="H206" s="711"/>
      <c r="I206" s="711"/>
      <c r="J206" s="711"/>
      <c r="K206" s="1901"/>
      <c r="L206" s="711"/>
      <c r="M206" s="711"/>
      <c r="S206" s="774"/>
    </row>
    <row r="207" spans="3:19" ht="13.25" customHeight="1">
      <c r="C207" s="1902"/>
      <c r="F207" s="711"/>
      <c r="G207" s="711"/>
      <c r="H207" s="711"/>
      <c r="I207" s="711"/>
      <c r="J207" s="711"/>
      <c r="K207" s="1901"/>
      <c r="L207" s="711"/>
      <c r="M207" s="711"/>
      <c r="S207" s="774"/>
    </row>
    <row r="208" spans="3:19" ht="13.25" customHeight="1">
      <c r="C208" s="1902"/>
      <c r="F208" s="711"/>
      <c r="G208" s="711"/>
      <c r="H208" s="711"/>
      <c r="I208" s="711"/>
      <c r="J208" s="711"/>
      <c r="K208" s="1901"/>
      <c r="L208" s="711"/>
      <c r="M208" s="711"/>
      <c r="S208" s="774"/>
    </row>
    <row r="209" spans="3:19" ht="13.25" customHeight="1">
      <c r="C209" s="1902"/>
      <c r="F209" s="711"/>
      <c r="G209" s="711"/>
      <c r="H209" s="711"/>
      <c r="I209" s="711"/>
      <c r="J209" s="711"/>
      <c r="K209" s="1901"/>
      <c r="L209" s="711"/>
      <c r="M209" s="711"/>
      <c r="S209" s="774"/>
    </row>
    <row r="210" spans="3:19" ht="13.25" customHeight="1">
      <c r="C210" s="1902"/>
      <c r="F210" s="711"/>
      <c r="G210" s="711"/>
      <c r="H210" s="711"/>
      <c r="I210" s="711"/>
      <c r="J210" s="711"/>
      <c r="K210" s="1901"/>
      <c r="L210" s="711"/>
      <c r="M210" s="711"/>
      <c r="S210" s="774"/>
    </row>
    <row r="211" spans="3:19" ht="13.25" customHeight="1">
      <c r="C211" s="1902"/>
      <c r="F211" s="711"/>
      <c r="G211" s="711"/>
      <c r="H211" s="711"/>
      <c r="I211" s="711"/>
      <c r="J211" s="711"/>
      <c r="K211" s="1901"/>
      <c r="L211" s="711"/>
      <c r="M211" s="711"/>
      <c r="S211" s="774"/>
    </row>
    <row r="212" spans="3:19" ht="13.25" customHeight="1">
      <c r="C212" s="1902"/>
      <c r="F212" s="711"/>
      <c r="G212" s="711"/>
      <c r="H212" s="711"/>
      <c r="I212" s="711"/>
      <c r="J212" s="711"/>
      <c r="K212" s="1901"/>
      <c r="L212" s="711"/>
      <c r="M212" s="711"/>
      <c r="S212" s="774"/>
    </row>
    <row r="213" spans="3:19" ht="13.25" customHeight="1">
      <c r="C213" s="1902"/>
      <c r="F213" s="711"/>
      <c r="G213" s="711"/>
      <c r="H213" s="711"/>
      <c r="I213" s="711"/>
      <c r="J213" s="711"/>
      <c r="K213" s="1901"/>
      <c r="L213" s="711"/>
      <c r="M213" s="711"/>
      <c r="S213" s="774"/>
    </row>
    <row r="214" spans="3:19" ht="13.25" customHeight="1">
      <c r="C214" s="1902"/>
      <c r="F214" s="711"/>
      <c r="G214" s="711"/>
      <c r="H214" s="711"/>
      <c r="I214" s="711"/>
      <c r="J214" s="711"/>
      <c r="K214" s="1901"/>
      <c r="L214" s="711"/>
      <c r="M214" s="711"/>
      <c r="S214" s="774"/>
    </row>
    <row r="215" spans="3:19" ht="13.25" customHeight="1">
      <c r="C215" s="1902"/>
      <c r="F215" s="711"/>
      <c r="G215" s="711"/>
      <c r="H215" s="711"/>
      <c r="I215" s="711"/>
      <c r="J215" s="711"/>
      <c r="K215" s="1901"/>
      <c r="L215" s="711"/>
      <c r="M215" s="711"/>
      <c r="S215" s="774"/>
    </row>
    <row r="216" spans="3:19" ht="13.25" customHeight="1">
      <c r="C216" s="1902"/>
      <c r="F216" s="711"/>
      <c r="G216" s="711"/>
      <c r="H216" s="711"/>
      <c r="I216" s="711"/>
      <c r="J216" s="711"/>
      <c r="K216" s="1901"/>
      <c r="L216" s="711"/>
      <c r="M216" s="711"/>
      <c r="S216" s="774"/>
    </row>
    <row r="217" spans="3:19" ht="13.25" customHeight="1">
      <c r="C217" s="1902"/>
      <c r="F217" s="711"/>
      <c r="G217" s="711"/>
      <c r="H217" s="711"/>
      <c r="I217" s="711"/>
      <c r="J217" s="711"/>
      <c r="K217" s="1901"/>
      <c r="L217" s="711"/>
      <c r="M217" s="711"/>
      <c r="S217" s="774"/>
    </row>
    <row r="218" spans="3:19" ht="13.25" customHeight="1">
      <c r="C218" s="1902"/>
      <c r="F218" s="711"/>
      <c r="G218" s="711"/>
      <c r="H218" s="711"/>
      <c r="I218" s="711"/>
      <c r="J218" s="711"/>
      <c r="K218" s="1901"/>
      <c r="L218" s="711"/>
      <c r="M218" s="711"/>
      <c r="S218" s="774"/>
    </row>
    <row r="219" spans="3:19" ht="13.25" customHeight="1">
      <c r="C219" s="1902"/>
      <c r="F219" s="711"/>
      <c r="G219" s="711"/>
      <c r="H219" s="711"/>
      <c r="I219" s="711"/>
      <c r="J219" s="711"/>
      <c r="K219" s="1901"/>
      <c r="L219" s="711"/>
      <c r="M219" s="711"/>
      <c r="S219" s="774"/>
    </row>
    <row r="220" spans="3:19" ht="13.25" customHeight="1">
      <c r="C220" s="1902"/>
      <c r="F220" s="711"/>
      <c r="G220" s="711"/>
      <c r="H220" s="711"/>
      <c r="I220" s="711"/>
      <c r="J220" s="711"/>
      <c r="K220" s="1901"/>
      <c r="L220" s="711"/>
      <c r="M220" s="711"/>
      <c r="S220" s="774"/>
    </row>
    <row r="221" spans="3:19" ht="13.25" customHeight="1">
      <c r="C221" s="1902"/>
      <c r="F221" s="711"/>
      <c r="G221" s="711"/>
      <c r="H221" s="711"/>
      <c r="I221" s="711"/>
      <c r="J221" s="711"/>
      <c r="K221" s="1901"/>
      <c r="L221" s="711"/>
      <c r="M221" s="711"/>
      <c r="S221" s="774"/>
    </row>
    <row r="222" spans="3:19" ht="13.25" customHeight="1">
      <c r="C222" s="1902"/>
      <c r="F222" s="711"/>
      <c r="G222" s="711"/>
      <c r="H222" s="711"/>
      <c r="I222" s="711"/>
      <c r="J222" s="711"/>
      <c r="K222" s="1901"/>
      <c r="L222" s="711"/>
      <c r="M222" s="711"/>
      <c r="S222" s="774"/>
    </row>
    <row r="223" spans="3:19" ht="13.25" customHeight="1">
      <c r="C223" s="1902"/>
      <c r="F223" s="711"/>
      <c r="G223" s="711"/>
      <c r="H223" s="711"/>
      <c r="I223" s="711"/>
      <c r="J223" s="711"/>
      <c r="K223" s="1901"/>
      <c r="L223" s="711"/>
      <c r="M223" s="711"/>
      <c r="S223" s="774"/>
    </row>
    <row r="224" spans="3:19" ht="13.25" customHeight="1">
      <c r="C224" s="1902"/>
      <c r="F224" s="711"/>
      <c r="G224" s="711"/>
      <c r="H224" s="711"/>
      <c r="I224" s="711"/>
      <c r="J224" s="711"/>
      <c r="K224" s="1901"/>
      <c r="L224" s="711"/>
      <c r="M224" s="711"/>
      <c r="S224" s="774"/>
    </row>
    <row r="225" spans="3:19" ht="13.25" customHeight="1">
      <c r="C225" s="1902"/>
      <c r="F225" s="711"/>
      <c r="G225" s="711"/>
      <c r="H225" s="711"/>
      <c r="I225" s="711"/>
      <c r="J225" s="711"/>
      <c r="K225" s="1901"/>
      <c r="L225" s="711"/>
      <c r="M225" s="711"/>
      <c r="S225" s="774"/>
    </row>
    <row r="226" spans="3:19" ht="13.25" customHeight="1">
      <c r="C226" s="1902"/>
      <c r="F226" s="711"/>
      <c r="G226" s="711"/>
      <c r="H226" s="711"/>
      <c r="I226" s="711"/>
      <c r="J226" s="711"/>
      <c r="K226" s="1901"/>
      <c r="L226" s="711"/>
      <c r="M226" s="711"/>
      <c r="S226" s="774"/>
    </row>
    <row r="227" spans="3:19" ht="13.25" customHeight="1">
      <c r="C227" s="1902"/>
      <c r="F227" s="711"/>
      <c r="G227" s="711"/>
      <c r="H227" s="711"/>
      <c r="I227" s="711"/>
      <c r="J227" s="711"/>
      <c r="K227" s="1901"/>
      <c r="L227" s="711"/>
      <c r="M227" s="711"/>
      <c r="S227" s="774"/>
    </row>
    <row r="228" spans="3:19" ht="13.25" customHeight="1">
      <c r="C228" s="1902"/>
      <c r="F228" s="711"/>
      <c r="G228" s="711"/>
      <c r="H228" s="711"/>
      <c r="I228" s="711"/>
      <c r="J228" s="711"/>
      <c r="K228" s="1901"/>
      <c r="L228" s="711"/>
      <c r="M228" s="711"/>
      <c r="S228" s="774"/>
    </row>
    <row r="229" spans="3:19" ht="13.25" customHeight="1">
      <c r="C229" s="1902"/>
      <c r="F229" s="711"/>
      <c r="G229" s="711"/>
      <c r="H229" s="711"/>
      <c r="I229" s="711"/>
      <c r="J229" s="711"/>
      <c r="K229" s="1901"/>
      <c r="L229" s="711"/>
      <c r="M229" s="711"/>
      <c r="S229" s="774"/>
    </row>
    <row r="230" spans="3:19" ht="13.25" customHeight="1">
      <c r="C230" s="1902"/>
      <c r="F230" s="711"/>
      <c r="G230" s="711"/>
      <c r="H230" s="711"/>
      <c r="I230" s="711"/>
      <c r="J230" s="711"/>
      <c r="K230" s="1901"/>
      <c r="L230" s="711"/>
      <c r="M230" s="711"/>
      <c r="S230" s="774"/>
    </row>
    <row r="231" spans="3:19" ht="13.25" customHeight="1">
      <c r="C231" s="1902"/>
      <c r="F231" s="711"/>
      <c r="G231" s="711"/>
      <c r="H231" s="711"/>
      <c r="I231" s="711"/>
      <c r="J231" s="711"/>
      <c r="K231" s="1901"/>
      <c r="L231" s="711"/>
      <c r="M231" s="711"/>
      <c r="S231" s="774"/>
    </row>
    <row r="232" spans="3:19" ht="13.25" customHeight="1">
      <c r="C232" s="1902"/>
      <c r="F232" s="711"/>
      <c r="G232" s="711"/>
      <c r="H232" s="711"/>
      <c r="I232" s="711"/>
      <c r="J232" s="711"/>
      <c r="K232" s="1901"/>
      <c r="L232" s="711"/>
      <c r="M232" s="711"/>
      <c r="S232" s="774"/>
    </row>
    <row r="233" spans="3:19" ht="13.25" customHeight="1">
      <c r="C233" s="1902"/>
      <c r="F233" s="711"/>
      <c r="G233" s="711"/>
      <c r="H233" s="711"/>
      <c r="I233" s="711"/>
      <c r="J233" s="711"/>
      <c r="K233" s="1901"/>
      <c r="L233" s="711"/>
      <c r="M233" s="711"/>
      <c r="S233" s="774"/>
    </row>
    <row r="234" spans="3:19" ht="13.25" customHeight="1">
      <c r="C234" s="1902"/>
      <c r="F234" s="711"/>
      <c r="G234" s="711"/>
      <c r="H234" s="711"/>
      <c r="I234" s="711"/>
      <c r="J234" s="711"/>
      <c r="K234" s="1901"/>
      <c r="L234" s="711"/>
      <c r="M234" s="711"/>
      <c r="S234" s="774"/>
    </row>
    <row r="235" spans="3:19" ht="13.25" customHeight="1">
      <c r="C235" s="1902"/>
      <c r="F235" s="711"/>
      <c r="G235" s="711"/>
      <c r="H235" s="711"/>
      <c r="I235" s="711"/>
      <c r="J235" s="711"/>
      <c r="K235" s="1901"/>
      <c r="L235" s="711"/>
      <c r="M235" s="711"/>
      <c r="S235" s="774"/>
    </row>
    <row r="236" spans="3:19" ht="13.25" customHeight="1">
      <c r="C236" s="1902"/>
      <c r="F236" s="711"/>
      <c r="G236" s="711"/>
      <c r="H236" s="711"/>
      <c r="I236" s="711"/>
      <c r="J236" s="711"/>
      <c r="K236" s="1901"/>
      <c r="L236" s="711"/>
      <c r="M236" s="711"/>
      <c r="S236" s="774"/>
    </row>
    <row r="237" spans="3:19" ht="13.25" customHeight="1">
      <c r="C237" s="1902"/>
      <c r="F237" s="711"/>
      <c r="G237" s="711"/>
      <c r="H237" s="711"/>
      <c r="I237" s="711"/>
      <c r="J237" s="711"/>
      <c r="K237" s="1901"/>
      <c r="L237" s="711"/>
      <c r="M237" s="711"/>
      <c r="S237" s="774"/>
    </row>
    <row r="238" spans="3:19" ht="13.25" customHeight="1">
      <c r="C238" s="1902"/>
      <c r="F238" s="711"/>
      <c r="G238" s="711"/>
      <c r="H238" s="711"/>
      <c r="I238" s="711"/>
      <c r="J238" s="711"/>
      <c r="K238" s="1901"/>
      <c r="L238" s="711"/>
      <c r="M238" s="711"/>
      <c r="S238" s="774"/>
    </row>
    <row r="239" spans="3:19" ht="13.25" customHeight="1">
      <c r="C239" s="1902"/>
      <c r="F239" s="711"/>
      <c r="G239" s="711"/>
      <c r="H239" s="711"/>
      <c r="I239" s="711"/>
      <c r="J239" s="711"/>
      <c r="K239" s="1901"/>
      <c r="L239" s="711"/>
      <c r="M239" s="711"/>
      <c r="S239" s="774"/>
    </row>
    <row r="240" spans="3:19" ht="13.25" customHeight="1">
      <c r="C240" s="1902"/>
      <c r="F240" s="711"/>
      <c r="G240" s="711"/>
      <c r="H240" s="711"/>
      <c r="I240" s="711"/>
      <c r="J240" s="711"/>
      <c r="K240" s="1901"/>
      <c r="L240" s="711"/>
      <c r="M240" s="711"/>
      <c r="S240" s="774"/>
    </row>
    <row r="241" spans="3:19" ht="13.25" customHeight="1">
      <c r="C241" s="1902"/>
      <c r="F241" s="711"/>
      <c r="G241" s="711"/>
      <c r="H241" s="711"/>
      <c r="I241" s="711"/>
      <c r="J241" s="711"/>
      <c r="K241" s="1901"/>
      <c r="L241" s="711"/>
      <c r="M241" s="711"/>
      <c r="S241" s="774"/>
    </row>
    <row r="242" spans="3:19" ht="13.25" customHeight="1">
      <c r="C242" s="1902"/>
      <c r="F242" s="711"/>
      <c r="G242" s="711"/>
      <c r="H242" s="711"/>
      <c r="I242" s="711"/>
      <c r="J242" s="711"/>
      <c r="K242" s="1901"/>
      <c r="L242" s="711"/>
      <c r="M242" s="711"/>
      <c r="S242" s="774"/>
    </row>
    <row r="243" spans="3:19" ht="13.25" customHeight="1">
      <c r="C243" s="1902"/>
      <c r="F243" s="711"/>
      <c r="G243" s="711"/>
      <c r="H243" s="711"/>
      <c r="I243" s="711"/>
      <c r="J243" s="711"/>
      <c r="K243" s="1901"/>
      <c r="L243" s="711"/>
      <c r="M243" s="711"/>
      <c r="S243" s="774"/>
    </row>
    <row r="244" spans="3:19" ht="13.25" customHeight="1">
      <c r="C244" s="1902"/>
      <c r="F244" s="711"/>
      <c r="G244" s="711"/>
      <c r="H244" s="711"/>
      <c r="I244" s="711"/>
      <c r="J244" s="711"/>
      <c r="K244" s="1901"/>
      <c r="L244" s="711"/>
      <c r="M244" s="711"/>
      <c r="S244" s="774"/>
    </row>
    <row r="245" spans="3:19" ht="13.25" customHeight="1">
      <c r="C245" s="1902"/>
      <c r="F245" s="711"/>
      <c r="G245" s="711"/>
      <c r="H245" s="711"/>
      <c r="I245" s="711"/>
      <c r="J245" s="711"/>
      <c r="K245" s="1901"/>
      <c r="L245" s="711"/>
      <c r="M245" s="711"/>
      <c r="S245" s="774"/>
    </row>
    <row r="246" spans="3:19" ht="13.25" customHeight="1">
      <c r="C246" s="1902"/>
      <c r="K246" s="775"/>
      <c r="S246" s="774"/>
    </row>
    <row r="247" spans="3:19" ht="13.25" customHeight="1">
      <c r="C247" s="1902"/>
      <c r="K247" s="775"/>
      <c r="S247" s="774"/>
    </row>
    <row r="248" spans="3:19" ht="13.25" customHeight="1">
      <c r="C248" s="1902"/>
      <c r="K248" s="775"/>
      <c r="S248" s="774"/>
    </row>
    <row r="249" spans="3:19" ht="13.25" customHeight="1">
      <c r="C249" s="1902"/>
      <c r="K249" s="775"/>
      <c r="S249" s="774"/>
    </row>
    <row r="250" spans="3:19" ht="13.25" customHeight="1">
      <c r="C250" s="1902"/>
      <c r="K250" s="775"/>
      <c r="S250" s="774"/>
    </row>
    <row r="251" spans="3:19" ht="13.25" customHeight="1">
      <c r="C251" s="1902"/>
      <c r="K251" s="775"/>
      <c r="S251" s="774"/>
    </row>
    <row r="252" spans="3:19" ht="13.25" customHeight="1">
      <c r="C252" s="1902"/>
      <c r="K252" s="775"/>
      <c r="S252" s="774"/>
    </row>
    <row r="253" spans="3:19" ht="13.25" customHeight="1">
      <c r="C253" s="1902"/>
      <c r="K253" s="775"/>
      <c r="S253" s="774"/>
    </row>
    <row r="254" spans="3:19" ht="13.25" customHeight="1">
      <c r="C254" s="1902"/>
      <c r="K254" s="775"/>
      <c r="S254" s="774"/>
    </row>
    <row r="255" spans="3:19" ht="13.25" customHeight="1">
      <c r="C255" s="1902"/>
      <c r="K255" s="775"/>
      <c r="S255" s="774"/>
    </row>
    <row r="256" spans="3:19" ht="13.25" customHeight="1">
      <c r="C256" s="1902"/>
      <c r="K256" s="775"/>
      <c r="S256" s="774"/>
    </row>
    <row r="257" spans="3:19" ht="13.25" customHeight="1">
      <c r="C257" s="1902"/>
      <c r="K257" s="775"/>
      <c r="S257" s="774"/>
    </row>
    <row r="258" spans="3:19" ht="13.25" customHeight="1">
      <c r="C258" s="1902"/>
      <c r="K258" s="775"/>
      <c r="S258" s="774"/>
    </row>
    <row r="259" spans="3:19" ht="13.25" customHeight="1">
      <c r="C259" s="1902"/>
      <c r="K259" s="775"/>
      <c r="S259" s="774"/>
    </row>
    <row r="260" spans="3:19" ht="13.25" customHeight="1">
      <c r="C260" s="1902"/>
      <c r="K260" s="775"/>
      <c r="S260" s="774"/>
    </row>
    <row r="261" spans="3:19" ht="13.25" customHeight="1">
      <c r="C261" s="1902"/>
      <c r="K261" s="775"/>
      <c r="S261" s="774"/>
    </row>
    <row r="262" spans="3:19" ht="13.25" customHeight="1">
      <c r="C262" s="1902"/>
      <c r="K262" s="775"/>
      <c r="S262" s="774"/>
    </row>
    <row r="263" spans="3:19" ht="13.25" customHeight="1">
      <c r="C263" s="1902"/>
      <c r="K263" s="775"/>
      <c r="S263" s="774"/>
    </row>
    <row r="264" spans="3:19" ht="13.25" customHeight="1">
      <c r="C264" s="1902"/>
      <c r="K264" s="775"/>
      <c r="S264" s="774"/>
    </row>
    <row r="265" spans="3:19" ht="13.25" customHeight="1">
      <c r="C265" s="1902"/>
      <c r="K265" s="775"/>
      <c r="S265" s="774"/>
    </row>
    <row r="266" spans="3:19" ht="13.25" customHeight="1">
      <c r="C266" s="1902"/>
      <c r="K266" s="775"/>
      <c r="S266" s="774"/>
    </row>
    <row r="267" spans="3:19" ht="13.25" customHeight="1">
      <c r="C267" s="1902" t="s">
        <v>233</v>
      </c>
      <c r="K267" s="775"/>
      <c r="S267" s="774"/>
    </row>
    <row r="268" spans="3:19" ht="13.25" customHeight="1">
      <c r="C268" s="1902"/>
      <c r="K268" s="775"/>
      <c r="S268" s="774"/>
    </row>
    <row r="269" spans="3:19" ht="13.25" customHeight="1">
      <c r="C269" s="1902"/>
      <c r="K269" s="775"/>
      <c r="S269" s="774"/>
    </row>
    <row r="270" spans="3:19" ht="13.25" customHeight="1">
      <c r="C270" s="1902"/>
      <c r="K270" s="775"/>
      <c r="S270" s="774"/>
    </row>
    <row r="271" spans="3:19" ht="13.25" customHeight="1">
      <c r="C271" s="1902"/>
      <c r="K271" s="775"/>
      <c r="S271" s="774"/>
    </row>
    <row r="272" spans="3:19" ht="13.25" customHeight="1">
      <c r="C272" s="1902"/>
      <c r="K272" s="775"/>
      <c r="S272" s="774"/>
    </row>
    <row r="273" spans="3:19" ht="13.25" customHeight="1">
      <c r="C273" s="1902"/>
      <c r="K273" s="775"/>
      <c r="S273" s="774"/>
    </row>
    <row r="274" spans="3:19" ht="13.25" customHeight="1">
      <c r="C274" s="1902"/>
      <c r="K274" s="775"/>
      <c r="S274" s="774"/>
    </row>
    <row r="275" spans="3:19" ht="13.25" customHeight="1">
      <c r="C275" s="1902"/>
      <c r="K275" s="775"/>
      <c r="S275" s="774"/>
    </row>
    <row r="276" spans="3:19" ht="13.25" customHeight="1">
      <c r="C276" s="1902"/>
      <c r="K276" s="775"/>
      <c r="S276" s="774"/>
    </row>
    <row r="277" spans="3:19" ht="13.25" customHeight="1">
      <c r="C277" s="1902"/>
      <c r="K277" s="775"/>
      <c r="S277" s="774"/>
    </row>
    <row r="278" spans="3:19" ht="13.25" customHeight="1">
      <c r="C278" s="1902"/>
      <c r="K278" s="775"/>
      <c r="S278" s="774"/>
    </row>
    <row r="279" spans="3:19" ht="13.25" customHeight="1">
      <c r="C279" s="1902"/>
      <c r="K279" s="775"/>
      <c r="S279" s="774"/>
    </row>
    <row r="280" spans="3:19" ht="13.25" customHeight="1">
      <c r="C280" s="1902"/>
      <c r="K280" s="775"/>
      <c r="S280" s="774"/>
    </row>
    <row r="281" spans="3:19" ht="13.25" customHeight="1">
      <c r="C281" s="1902"/>
      <c r="K281" s="775"/>
      <c r="S281" s="774"/>
    </row>
    <row r="282" spans="3:19" ht="13.25" customHeight="1">
      <c r="C282" s="1902"/>
      <c r="K282" s="775"/>
      <c r="S282" s="774"/>
    </row>
    <row r="283" spans="3:19" ht="13.25" customHeight="1">
      <c r="C283" s="1902"/>
      <c r="K283" s="775"/>
      <c r="S283" s="774"/>
    </row>
    <row r="284" spans="3:19" ht="13.25" customHeight="1">
      <c r="C284" s="1902"/>
      <c r="K284" s="775"/>
      <c r="S284" s="774"/>
    </row>
    <row r="285" spans="3:19" ht="13.25" customHeight="1">
      <c r="C285" s="1902"/>
      <c r="K285" s="775"/>
      <c r="S285" s="774"/>
    </row>
    <row r="286" spans="3:19" ht="13.25" customHeight="1">
      <c r="C286" s="1902"/>
      <c r="K286" s="775"/>
      <c r="S286" s="774"/>
    </row>
    <row r="287" spans="3:19" ht="13.25" customHeight="1">
      <c r="C287" s="1902"/>
      <c r="K287" s="775"/>
      <c r="S287" s="774"/>
    </row>
    <row r="288" spans="3:19" ht="13.25" customHeight="1">
      <c r="C288" s="1902"/>
      <c r="K288" s="775"/>
      <c r="S288" s="774"/>
    </row>
    <row r="289" spans="3:19" ht="13.25" customHeight="1">
      <c r="C289" s="1902"/>
      <c r="K289" s="775"/>
      <c r="S289" s="774"/>
    </row>
    <row r="290" spans="3:19" ht="13.25" customHeight="1">
      <c r="C290" s="1902"/>
      <c r="K290" s="775"/>
      <c r="S290" s="774"/>
    </row>
    <row r="291" spans="3:19" ht="13.25" customHeight="1">
      <c r="C291" s="1902"/>
      <c r="K291" s="775"/>
      <c r="S291" s="774"/>
    </row>
    <row r="292" spans="3:19" ht="13.25" customHeight="1">
      <c r="C292" s="1902"/>
      <c r="K292" s="775"/>
      <c r="S292" s="774"/>
    </row>
    <row r="293" spans="3:19" ht="13.25" customHeight="1">
      <c r="C293" s="1902"/>
      <c r="K293" s="775"/>
      <c r="S293" s="774"/>
    </row>
    <row r="294" spans="3:19" ht="13.25" customHeight="1">
      <c r="C294" s="1902"/>
      <c r="K294" s="775"/>
      <c r="S294" s="774"/>
    </row>
    <row r="295" spans="3:19" ht="13.25" customHeight="1">
      <c r="C295" s="1902"/>
      <c r="K295" s="775"/>
      <c r="S295" s="774"/>
    </row>
    <row r="296" spans="3:19" ht="13.25" customHeight="1">
      <c r="C296" s="1902"/>
      <c r="K296" s="775"/>
      <c r="S296" s="774"/>
    </row>
    <row r="297" spans="3:19" ht="13.25" customHeight="1">
      <c r="C297" s="1902"/>
      <c r="K297" s="775"/>
      <c r="S297" s="774"/>
    </row>
    <row r="298" spans="3:19" ht="13.25" customHeight="1">
      <c r="C298" s="1902"/>
      <c r="K298" s="775"/>
      <c r="S298" s="774"/>
    </row>
    <row r="299" spans="3:19" ht="13.25" customHeight="1">
      <c r="C299" s="1902"/>
      <c r="K299" s="775"/>
      <c r="S299" s="774"/>
    </row>
    <row r="300" spans="3:19" ht="13.25" customHeight="1">
      <c r="C300" s="1902"/>
      <c r="K300" s="775"/>
      <c r="S300" s="774"/>
    </row>
    <row r="301" spans="3:19" ht="13.25" customHeight="1">
      <c r="C301" s="1902"/>
      <c r="K301" s="775"/>
      <c r="S301" s="774"/>
    </row>
    <row r="302" spans="3:19" ht="13.25" customHeight="1">
      <c r="C302" s="1902"/>
      <c r="K302" s="775"/>
      <c r="S302" s="774"/>
    </row>
    <row r="303" spans="3:19" ht="13.25" customHeight="1">
      <c r="C303" s="1902"/>
      <c r="K303" s="775"/>
      <c r="S303" s="774"/>
    </row>
    <row r="304" spans="3:19" ht="13.25" customHeight="1">
      <c r="C304" s="1902"/>
      <c r="K304" s="775"/>
      <c r="S304" s="774"/>
    </row>
    <row r="305" spans="3:19" ht="13.25" customHeight="1">
      <c r="C305" s="1902"/>
      <c r="K305" s="775"/>
      <c r="S305" s="774"/>
    </row>
    <row r="306" spans="3:19" ht="13.25" customHeight="1">
      <c r="C306" s="1902"/>
      <c r="K306" s="775"/>
      <c r="S306" s="774"/>
    </row>
    <row r="307" spans="3:19" ht="13.25" customHeight="1">
      <c r="C307" s="1902"/>
      <c r="K307" s="775"/>
      <c r="S307" s="774"/>
    </row>
    <row r="308" spans="3:19" ht="13.25" customHeight="1">
      <c r="C308" s="1902"/>
      <c r="K308" s="775"/>
      <c r="S308" s="774"/>
    </row>
    <row r="309" spans="3:19" ht="13.25" customHeight="1">
      <c r="C309" s="1902"/>
      <c r="K309" s="775"/>
      <c r="S309" s="774"/>
    </row>
    <row r="310" spans="3:19" ht="13.25" customHeight="1">
      <c r="C310" s="1902"/>
      <c r="K310" s="775"/>
      <c r="S310" s="774"/>
    </row>
    <row r="311" spans="3:19" ht="13.25" customHeight="1">
      <c r="C311" s="1902"/>
      <c r="K311" s="775"/>
      <c r="S311" s="774"/>
    </row>
    <row r="312" spans="3:19" ht="13.25" customHeight="1">
      <c r="C312" s="1902"/>
      <c r="K312" s="775"/>
      <c r="S312" s="774"/>
    </row>
    <row r="313" spans="3:19" ht="13.25" customHeight="1">
      <c r="C313" s="1902"/>
      <c r="K313" s="775"/>
      <c r="S313" s="774"/>
    </row>
    <row r="314" spans="3:19" ht="13.25" customHeight="1">
      <c r="C314" s="1902"/>
      <c r="K314" s="775"/>
      <c r="S314" s="774"/>
    </row>
    <row r="315" spans="3:19" ht="13.25" customHeight="1">
      <c r="C315" s="1902"/>
      <c r="K315" s="775"/>
      <c r="S315" s="774"/>
    </row>
    <row r="316" spans="3:19" ht="13.25" customHeight="1">
      <c r="C316" s="1902"/>
      <c r="K316" s="775"/>
      <c r="S316" s="774"/>
    </row>
    <row r="317" spans="3:19" ht="13.25" customHeight="1">
      <c r="C317" s="1902"/>
      <c r="K317" s="775"/>
      <c r="S317" s="774"/>
    </row>
    <row r="318" spans="3:19" ht="13.25" customHeight="1">
      <c r="C318" s="1902"/>
      <c r="K318" s="775"/>
      <c r="S318" s="774"/>
    </row>
    <row r="319" spans="3:19" ht="13.25" customHeight="1">
      <c r="C319" s="1902"/>
      <c r="K319" s="775"/>
      <c r="S319" s="774"/>
    </row>
    <row r="320" spans="3:19" ht="13.25" customHeight="1">
      <c r="C320" s="1902"/>
      <c r="K320" s="775"/>
      <c r="S320" s="774"/>
    </row>
    <row r="321" spans="3:19" ht="13.25" customHeight="1">
      <c r="C321" s="1902"/>
      <c r="K321" s="775"/>
      <c r="S321" s="774"/>
    </row>
    <row r="322" spans="3:19" ht="13.25" customHeight="1">
      <c r="C322" s="1902"/>
      <c r="K322" s="775"/>
      <c r="S322" s="774"/>
    </row>
    <row r="323" spans="3:19" ht="13.25" customHeight="1">
      <c r="C323" s="1902"/>
      <c r="K323" s="775"/>
      <c r="S323" s="774"/>
    </row>
    <row r="324" spans="3:19" ht="13.25" customHeight="1">
      <c r="C324" s="1902"/>
      <c r="K324" s="775"/>
      <c r="S324" s="774"/>
    </row>
    <row r="325" spans="3:19" ht="13.25" customHeight="1">
      <c r="C325" s="1902"/>
      <c r="K325" s="775"/>
      <c r="S325" s="774"/>
    </row>
    <row r="326" spans="3:19" ht="13.25" customHeight="1">
      <c r="C326" s="1902"/>
      <c r="K326" s="775"/>
      <c r="S326" s="774"/>
    </row>
    <row r="327" spans="3:19" ht="13.25" customHeight="1">
      <c r="C327" s="1902"/>
      <c r="K327" s="775"/>
      <c r="S327" s="774"/>
    </row>
    <row r="328" spans="3:19" ht="13.25" customHeight="1">
      <c r="C328" s="1902"/>
      <c r="K328" s="775"/>
      <c r="S328" s="774"/>
    </row>
    <row r="329" spans="3:19" ht="13.25" customHeight="1">
      <c r="C329" s="1902"/>
      <c r="K329" s="775"/>
      <c r="S329" s="774"/>
    </row>
    <row r="330" spans="3:19" ht="13.25" customHeight="1">
      <c r="C330" s="1902"/>
      <c r="K330" s="775"/>
      <c r="S330" s="774"/>
    </row>
    <row r="331" spans="3:19" ht="13.25" customHeight="1">
      <c r="C331" s="1902"/>
      <c r="K331" s="775"/>
      <c r="S331" s="774"/>
    </row>
    <row r="332" spans="3:19" ht="13.25" customHeight="1">
      <c r="C332" s="1902"/>
      <c r="K332" s="775"/>
      <c r="S332" s="774"/>
    </row>
    <row r="333" spans="3:19" ht="13.25" customHeight="1">
      <c r="C333" s="1902"/>
      <c r="K333" s="775"/>
      <c r="S333" s="774"/>
    </row>
    <row r="334" spans="3:19" ht="13.25" customHeight="1">
      <c r="C334" s="1902"/>
      <c r="K334" s="775"/>
      <c r="S334" s="774"/>
    </row>
    <row r="335" spans="3:19" ht="13.25" customHeight="1">
      <c r="C335" s="1902"/>
      <c r="K335" s="775"/>
      <c r="S335" s="774"/>
    </row>
    <row r="336" spans="3:19" ht="13.25" customHeight="1">
      <c r="C336" s="1902"/>
      <c r="K336" s="775"/>
      <c r="S336" s="774"/>
    </row>
    <row r="337" spans="3:19" ht="13.25" customHeight="1">
      <c r="C337" s="1902"/>
      <c r="K337" s="775"/>
      <c r="S337" s="774"/>
    </row>
    <row r="338" spans="3:19" ht="13.25" customHeight="1">
      <c r="C338" s="1902"/>
      <c r="K338" s="775"/>
      <c r="S338" s="774"/>
    </row>
    <row r="339" spans="3:19" ht="13.25" customHeight="1">
      <c r="C339" s="1902"/>
      <c r="K339" s="775"/>
      <c r="S339" s="774"/>
    </row>
    <row r="340" spans="3:19" ht="13.25" customHeight="1">
      <c r="C340" s="1902"/>
      <c r="K340" s="775"/>
      <c r="S340" s="774"/>
    </row>
    <row r="341" spans="3:19" ht="13.25" customHeight="1">
      <c r="C341" s="1902"/>
      <c r="K341" s="775"/>
      <c r="S341" s="774"/>
    </row>
    <row r="342" spans="3:19" ht="13.25" customHeight="1">
      <c r="C342" s="1902"/>
      <c r="K342" s="775"/>
      <c r="S342" s="774"/>
    </row>
    <row r="343" spans="3:19" ht="13.25" customHeight="1">
      <c r="C343" s="1902"/>
      <c r="K343" s="775"/>
      <c r="S343" s="774"/>
    </row>
    <row r="344" spans="3:19" ht="13.25" customHeight="1">
      <c r="C344" s="1902"/>
      <c r="K344" s="775"/>
      <c r="S344" s="774"/>
    </row>
    <row r="345" spans="3:19" ht="13.25" customHeight="1">
      <c r="C345" s="1902"/>
      <c r="K345" s="775"/>
      <c r="S345" s="774"/>
    </row>
    <row r="346" spans="3:19" ht="13.25" customHeight="1">
      <c r="C346" s="1902" t="s">
        <v>233</v>
      </c>
      <c r="K346" s="775"/>
      <c r="S346" s="774"/>
    </row>
    <row r="347" spans="3:19" ht="13.25" customHeight="1">
      <c r="C347" s="1902"/>
      <c r="K347" s="775"/>
      <c r="S347" s="774"/>
    </row>
    <row r="348" spans="3:19" ht="13.25" customHeight="1">
      <c r="C348" s="1902"/>
      <c r="K348" s="775"/>
      <c r="S348" s="774"/>
    </row>
    <row r="349" spans="3:19" ht="13.25" customHeight="1">
      <c r="C349" s="1902"/>
      <c r="K349" s="775"/>
      <c r="S349" s="774"/>
    </row>
    <row r="350" spans="3:19" ht="13.25" customHeight="1">
      <c r="C350" s="1902"/>
      <c r="K350" s="775"/>
      <c r="S350" s="774"/>
    </row>
    <row r="351" spans="3:19" ht="13.25" customHeight="1">
      <c r="C351" s="1902"/>
      <c r="K351" s="775"/>
      <c r="S351" s="774"/>
    </row>
    <row r="352" spans="3:19" ht="13.25" customHeight="1">
      <c r="C352" s="1902"/>
      <c r="K352" s="775"/>
      <c r="S352" s="774"/>
    </row>
    <row r="353" spans="3:19" ht="13.25" customHeight="1">
      <c r="C353" s="1902"/>
      <c r="K353" s="775"/>
      <c r="S353" s="774"/>
    </row>
    <row r="354" spans="3:19" ht="13.25" customHeight="1">
      <c r="C354" s="1902"/>
      <c r="K354" s="775"/>
      <c r="S354" s="774"/>
    </row>
    <row r="355" spans="3:19" ht="13.25" customHeight="1">
      <c r="C355" s="1902"/>
      <c r="K355" s="775"/>
      <c r="S355" s="774"/>
    </row>
    <row r="356" spans="3:19" ht="13.25" customHeight="1">
      <c r="C356" s="1902"/>
      <c r="K356" s="775"/>
      <c r="S356" s="774"/>
    </row>
    <row r="357" spans="3:19" ht="13.25" customHeight="1">
      <c r="C357" s="1902"/>
      <c r="K357" s="775"/>
      <c r="S357" s="774"/>
    </row>
    <row r="358" spans="3:19" ht="13.25" customHeight="1">
      <c r="C358" s="1902"/>
      <c r="K358" s="775"/>
      <c r="S358" s="774"/>
    </row>
    <row r="359" spans="3:19" ht="13.25" customHeight="1">
      <c r="C359" s="1902"/>
      <c r="K359" s="775"/>
      <c r="S359" s="774"/>
    </row>
    <row r="360" spans="3:19" ht="13.25" customHeight="1">
      <c r="C360" s="1902"/>
      <c r="K360" s="775"/>
      <c r="S360" s="774"/>
    </row>
    <row r="361" spans="3:19" ht="13.25" customHeight="1">
      <c r="C361" s="1902"/>
      <c r="K361" s="775"/>
      <c r="S361" s="774"/>
    </row>
    <row r="362" spans="3:19" ht="13.25" customHeight="1">
      <c r="C362" s="1902"/>
      <c r="K362" s="775"/>
      <c r="S362" s="774"/>
    </row>
    <row r="363" spans="3:19" ht="13.25" customHeight="1">
      <c r="C363" s="1902"/>
      <c r="K363" s="775"/>
      <c r="S363" s="774"/>
    </row>
    <row r="364" spans="3:19" ht="13.25" customHeight="1">
      <c r="C364" s="1902"/>
      <c r="K364" s="775"/>
      <c r="S364" s="774"/>
    </row>
    <row r="365" spans="3:19" ht="13.25" customHeight="1">
      <c r="C365" s="1902"/>
      <c r="K365" s="775"/>
      <c r="S365" s="774"/>
    </row>
    <row r="366" spans="3:19" ht="13.25" customHeight="1">
      <c r="C366" s="1902"/>
      <c r="K366" s="775"/>
      <c r="S366" s="774"/>
    </row>
    <row r="367" spans="3:19" ht="13.25" customHeight="1">
      <c r="C367" s="1902"/>
      <c r="K367" s="775"/>
      <c r="S367" s="774"/>
    </row>
    <row r="368" spans="3:19" ht="13.25" customHeight="1">
      <c r="C368" s="1902"/>
      <c r="K368" s="775"/>
      <c r="S368" s="774"/>
    </row>
    <row r="369" spans="3:19" ht="13.25" customHeight="1">
      <c r="C369" s="1902"/>
      <c r="K369" s="775"/>
      <c r="S369" s="774"/>
    </row>
    <row r="370" spans="3:19" ht="13.25" customHeight="1">
      <c r="C370" s="1902"/>
      <c r="K370" s="775"/>
      <c r="S370" s="774"/>
    </row>
    <row r="371" spans="3:19" ht="13.25" customHeight="1">
      <c r="C371" s="1902"/>
      <c r="K371" s="775"/>
      <c r="S371" s="774"/>
    </row>
    <row r="372" spans="3:19" ht="13.25" customHeight="1">
      <c r="C372" s="1902"/>
      <c r="K372" s="775"/>
      <c r="S372" s="774"/>
    </row>
    <row r="373" spans="3:19" ht="13.25" customHeight="1">
      <c r="C373" s="1902"/>
      <c r="K373" s="775"/>
      <c r="S373" s="774"/>
    </row>
    <row r="374" spans="3:19" ht="13.25" customHeight="1">
      <c r="C374" s="1902"/>
      <c r="K374" s="775"/>
      <c r="S374" s="774"/>
    </row>
    <row r="375" spans="3:19" ht="13.25" customHeight="1">
      <c r="C375" s="1902"/>
      <c r="K375" s="775"/>
      <c r="S375" s="774"/>
    </row>
    <row r="376" spans="3:19" ht="13.25" customHeight="1">
      <c r="C376" s="1902"/>
      <c r="K376" s="775"/>
      <c r="S376" s="774"/>
    </row>
    <row r="377" spans="3:19" ht="13.25" customHeight="1">
      <c r="C377" s="1902"/>
      <c r="K377" s="775"/>
      <c r="S377" s="774"/>
    </row>
    <row r="378" spans="3:19" ht="13.25" customHeight="1">
      <c r="C378" s="1902"/>
      <c r="K378" s="775"/>
      <c r="S378" s="774"/>
    </row>
    <row r="379" spans="3:19" ht="13.25" customHeight="1">
      <c r="C379" s="1902"/>
      <c r="K379" s="775"/>
      <c r="S379" s="774"/>
    </row>
    <row r="380" spans="3:19" ht="13.25" customHeight="1">
      <c r="C380" s="1902"/>
      <c r="K380" s="775"/>
      <c r="S380" s="774"/>
    </row>
    <row r="381" spans="3:19" ht="13.25" customHeight="1">
      <c r="C381" s="1902"/>
      <c r="K381" s="775"/>
      <c r="S381" s="774"/>
    </row>
    <row r="382" spans="3:19" ht="13.25" customHeight="1">
      <c r="C382" s="1902"/>
      <c r="K382" s="775"/>
      <c r="S382" s="774"/>
    </row>
    <row r="383" spans="3:19" ht="13.25" customHeight="1">
      <c r="C383" s="1902"/>
      <c r="K383" s="775"/>
      <c r="S383" s="774"/>
    </row>
    <row r="384" spans="3:19" ht="13.25" customHeight="1">
      <c r="C384" s="1902"/>
      <c r="K384" s="775"/>
      <c r="S384" s="774"/>
    </row>
    <row r="385" spans="3:19" ht="13.25" customHeight="1">
      <c r="C385" s="1902"/>
      <c r="K385" s="775"/>
      <c r="S385" s="774"/>
    </row>
    <row r="386" spans="3:19" ht="13.25" customHeight="1">
      <c r="C386" s="1902"/>
      <c r="K386" s="775"/>
      <c r="S386" s="774"/>
    </row>
    <row r="387" spans="3:19" ht="13.25" customHeight="1">
      <c r="C387" s="1902"/>
      <c r="K387" s="775"/>
      <c r="S387" s="774"/>
    </row>
    <row r="388" spans="3:19" ht="13.25" customHeight="1">
      <c r="C388" s="1902"/>
      <c r="K388" s="775"/>
      <c r="S388" s="774"/>
    </row>
    <row r="389" spans="3:19" ht="13.25" customHeight="1">
      <c r="C389" s="1902"/>
      <c r="K389" s="775"/>
      <c r="S389" s="774"/>
    </row>
    <row r="390" spans="3:19" ht="13.25" customHeight="1">
      <c r="C390" s="1902"/>
      <c r="K390" s="775"/>
      <c r="S390" s="774"/>
    </row>
    <row r="391" spans="3:19" ht="13.25" customHeight="1">
      <c r="C391" s="1902"/>
      <c r="K391" s="775"/>
      <c r="S391" s="774"/>
    </row>
    <row r="392" spans="3:19" ht="13.25" customHeight="1">
      <c r="C392" s="1902"/>
      <c r="K392" s="775"/>
      <c r="S392" s="774"/>
    </row>
    <row r="393" spans="3:19" ht="13.25" customHeight="1">
      <c r="C393" s="1902"/>
      <c r="K393" s="775"/>
      <c r="S393" s="774"/>
    </row>
    <row r="394" spans="3:19" ht="13.25" customHeight="1">
      <c r="C394" s="1902"/>
      <c r="K394" s="775"/>
      <c r="S394" s="774"/>
    </row>
    <row r="395" spans="3:19" ht="13.25" customHeight="1">
      <c r="C395" s="1902"/>
      <c r="K395" s="775"/>
      <c r="S395" s="774"/>
    </row>
    <row r="396" spans="3:19" ht="13.25" customHeight="1">
      <c r="C396" s="1902"/>
      <c r="K396" s="775"/>
      <c r="S396" s="774"/>
    </row>
    <row r="397" spans="3:19" ht="13.25" customHeight="1">
      <c r="C397" s="1902"/>
      <c r="K397" s="775"/>
      <c r="S397" s="774"/>
    </row>
    <row r="398" spans="3:19" ht="13.25" customHeight="1">
      <c r="C398" s="1902"/>
      <c r="K398" s="775"/>
      <c r="S398" s="774"/>
    </row>
    <row r="399" spans="3:19" ht="13.25" customHeight="1">
      <c r="C399" s="1902"/>
      <c r="K399" s="775"/>
      <c r="S399" s="774"/>
    </row>
    <row r="400" spans="3:19" ht="13.25" customHeight="1">
      <c r="C400" s="1902"/>
      <c r="K400" s="775"/>
      <c r="S400" s="774"/>
    </row>
    <row r="401" spans="3:19" ht="13.25" customHeight="1">
      <c r="C401" s="1902"/>
      <c r="K401" s="775"/>
      <c r="S401" s="774"/>
    </row>
    <row r="402" spans="3:19" ht="13.25" customHeight="1">
      <c r="C402" s="1902"/>
      <c r="K402" s="775"/>
      <c r="S402" s="774"/>
    </row>
    <row r="403" spans="3:19" ht="13.25" customHeight="1">
      <c r="C403" s="1902"/>
      <c r="K403" s="775"/>
      <c r="S403" s="774"/>
    </row>
    <row r="404" spans="3:19" ht="13.25" customHeight="1">
      <c r="C404" s="1902"/>
      <c r="K404" s="775"/>
      <c r="S404" s="774"/>
    </row>
    <row r="405" spans="3:19" ht="13.25" customHeight="1">
      <c r="C405" s="1902"/>
      <c r="K405" s="775"/>
      <c r="S405" s="774"/>
    </row>
    <row r="406" spans="3:19" ht="13.25" customHeight="1">
      <c r="C406" s="1902"/>
      <c r="K406" s="775"/>
      <c r="S406" s="774"/>
    </row>
    <row r="407" spans="3:19" ht="13.25" customHeight="1">
      <c r="C407" s="1902"/>
      <c r="K407" s="775"/>
      <c r="S407" s="774"/>
    </row>
    <row r="408" spans="3:19" ht="13.25" customHeight="1">
      <c r="C408" s="1902"/>
      <c r="K408" s="775"/>
      <c r="S408" s="774"/>
    </row>
    <row r="409" spans="3:19" ht="13.25" customHeight="1">
      <c r="C409" s="1902"/>
      <c r="K409" s="775"/>
      <c r="S409" s="774"/>
    </row>
    <row r="410" spans="3:19" ht="13.25" customHeight="1">
      <c r="C410" s="1902"/>
      <c r="K410" s="775"/>
      <c r="S410" s="774"/>
    </row>
    <row r="411" spans="3:19" ht="13.25" customHeight="1">
      <c r="C411" s="1902"/>
      <c r="K411" s="775"/>
      <c r="S411" s="774"/>
    </row>
    <row r="412" spans="3:19" ht="13.25" customHeight="1">
      <c r="C412" s="1902"/>
      <c r="K412" s="775"/>
      <c r="S412" s="774"/>
    </row>
    <row r="413" spans="3:19" ht="13.25" customHeight="1">
      <c r="C413" s="1902"/>
      <c r="K413" s="775"/>
      <c r="S413" s="774"/>
    </row>
    <row r="414" spans="3:19" ht="13.25" customHeight="1">
      <c r="C414" s="1902"/>
      <c r="K414" s="775"/>
      <c r="S414" s="774"/>
    </row>
    <row r="415" spans="3:19" ht="13.25" customHeight="1">
      <c r="C415" s="1902"/>
      <c r="K415" s="775"/>
      <c r="S415" s="774"/>
    </row>
    <row r="416" spans="3:19" ht="13.25" customHeight="1">
      <c r="C416" s="1902"/>
      <c r="K416" s="775"/>
      <c r="S416" s="774"/>
    </row>
    <row r="417" spans="3:19" ht="13.25" customHeight="1">
      <c r="C417" s="1902"/>
      <c r="K417" s="775"/>
      <c r="S417" s="774"/>
    </row>
    <row r="418" spans="3:19" ht="13.25" customHeight="1">
      <c r="C418" s="1902"/>
      <c r="K418" s="775"/>
      <c r="S418" s="774"/>
    </row>
    <row r="419" spans="3:19" ht="13.25" customHeight="1">
      <c r="C419" s="1902"/>
      <c r="K419" s="775"/>
      <c r="S419" s="774"/>
    </row>
    <row r="420" spans="3:19" ht="13.25" customHeight="1">
      <c r="C420" s="1902"/>
      <c r="K420" s="775"/>
      <c r="S420" s="774"/>
    </row>
    <row r="421" spans="3:19" ht="13.25" customHeight="1">
      <c r="C421" s="1902"/>
      <c r="K421" s="775"/>
      <c r="S421" s="774"/>
    </row>
    <row r="422" spans="3:19" ht="13.25" customHeight="1">
      <c r="C422" s="1902"/>
      <c r="K422" s="775"/>
      <c r="S422" s="774"/>
    </row>
    <row r="423" spans="3:19" ht="13.25" customHeight="1">
      <c r="C423" s="1902"/>
      <c r="K423" s="775"/>
      <c r="S423" s="774"/>
    </row>
    <row r="424" spans="3:19" ht="13.25" customHeight="1">
      <c r="C424" s="1902"/>
      <c r="K424" s="775"/>
      <c r="S424" s="774"/>
    </row>
    <row r="425" spans="3:19" ht="13.25" customHeight="1">
      <c r="C425" s="1902" t="s">
        <v>233</v>
      </c>
      <c r="K425" s="775"/>
      <c r="S425" s="774"/>
    </row>
    <row r="426" spans="3:19" ht="13.25" customHeight="1">
      <c r="C426" s="1902"/>
      <c r="K426" s="775"/>
      <c r="S426" s="774"/>
    </row>
    <row r="427" spans="3:19" ht="13.25" customHeight="1">
      <c r="C427" s="1902"/>
      <c r="K427" s="775"/>
      <c r="S427" s="774"/>
    </row>
    <row r="428" spans="3:19" ht="13.2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1317" customWidth="1"/>
    <col min="2" max="2" width="12.5" style="1317" customWidth="1"/>
    <col min="3" max="3" width="12.1640625" style="1317" customWidth="1"/>
    <col min="4" max="4" width="9.83203125" style="1317" customWidth="1"/>
    <col min="5" max="5" width="10.5" style="1317" customWidth="1"/>
    <col min="6" max="6" width="9.1640625" style="1317"/>
    <col min="7" max="7" width="11" style="1317" customWidth="1"/>
    <col min="8" max="8" width="14.5" style="1317" customWidth="1"/>
    <col min="9" max="9" width="10.1640625" style="1317" customWidth="1"/>
    <col min="10" max="16384" width="9.1640625" style="1317"/>
  </cols>
  <sheetData>
    <row r="1" spans="2:13" ht="16">
      <c r="B1" s="4773" t="s">
        <v>3480</v>
      </c>
      <c r="C1" s="4773"/>
      <c r="D1" s="4773"/>
      <c r="E1" s="4773"/>
      <c r="F1" s="4773"/>
      <c r="G1" s="4773"/>
      <c r="H1" s="4773"/>
      <c r="I1" s="4773"/>
    </row>
    <row r="2" spans="2:13" ht="14">
      <c r="B2" s="1318" t="s">
        <v>3468</v>
      </c>
      <c r="C2" s="786"/>
      <c r="D2" s="786"/>
      <c r="E2" s="786"/>
      <c r="F2" s="786"/>
      <c r="G2" s="786"/>
      <c r="H2" s="786"/>
      <c r="I2" s="786"/>
    </row>
    <row r="3" spans="2:13" ht="14">
      <c r="B3" s="1319" t="s">
        <v>3475</v>
      </c>
      <c r="C3" s="786"/>
      <c r="D3" s="786"/>
      <c r="E3" s="786"/>
      <c r="F3" s="786"/>
      <c r="G3" s="786"/>
      <c r="H3" s="786"/>
      <c r="I3" s="786"/>
    </row>
    <row r="4" spans="2:13">
      <c r="B4" s="4774" t="s">
        <v>2891</v>
      </c>
      <c r="C4" s="4774"/>
      <c r="D4" s="4774"/>
      <c r="E4" s="4780" t="s">
        <v>2892</v>
      </c>
      <c r="F4" s="4782"/>
      <c r="G4" s="4780" t="s">
        <v>574</v>
      </c>
      <c r="H4" s="4781"/>
      <c r="I4" s="4782"/>
      <c r="J4" s="1312" t="s">
        <v>2740</v>
      </c>
      <c r="K4" s="1312"/>
      <c r="L4" s="1320"/>
      <c r="M4" s="1320"/>
    </row>
    <row r="5" spans="2:13">
      <c r="B5" s="4775" t="str">
        <f>'Closing term sheet'!C8</f>
        <v>(Enter name as it will appear on all legal documents)</v>
      </c>
      <c r="C5" s="4776"/>
      <c r="D5" s="4776"/>
      <c r="E5" s="4786"/>
      <c r="F5" s="4787"/>
      <c r="G5" s="4783" t="str">
        <f>'Closing term sheet'!C28</f>
        <v>Cave Spring Townhomes</v>
      </c>
      <c r="H5" s="4784"/>
      <c r="I5" s="4785"/>
      <c r="K5" s="774"/>
    </row>
    <row r="6" spans="2:13" ht="4.5" customHeight="1">
      <c r="D6" s="1321"/>
      <c r="E6" s="1321"/>
      <c r="F6" s="1321"/>
      <c r="G6" s="1321"/>
      <c r="H6" s="1321"/>
      <c r="I6" s="1321"/>
      <c r="K6" s="774"/>
    </row>
    <row r="7" spans="2:13">
      <c r="B7" s="4777" t="s">
        <v>2893</v>
      </c>
      <c r="C7" s="4777"/>
      <c r="D7" s="1322"/>
      <c r="E7" s="1322"/>
      <c r="F7" s="1322"/>
      <c r="G7" s="1322"/>
      <c r="H7" s="4778">
        <f>'Preview term'!E9</f>
        <v>0</v>
      </c>
      <c r="I7" s="4779"/>
    </row>
    <row r="8" spans="2:13" ht="4.5" customHeight="1">
      <c r="B8" s="1322"/>
      <c r="C8" s="1322"/>
      <c r="D8" s="1322"/>
      <c r="E8" s="1322"/>
      <c r="F8" s="1322"/>
      <c r="G8" s="1322"/>
      <c r="H8" s="1322"/>
      <c r="I8" s="1322"/>
      <c r="J8" s="1322"/>
    </row>
    <row r="9" spans="2:13">
      <c r="B9" s="1323" t="s">
        <v>2894</v>
      </c>
      <c r="C9" s="1323"/>
      <c r="D9" s="1322"/>
      <c r="E9" s="794" t="s">
        <v>3470</v>
      </c>
      <c r="F9" s="1322"/>
      <c r="G9" s="1322"/>
      <c r="H9" s="1322"/>
      <c r="I9" s="1324" t="str">
        <f>'Closing term sheet'!D12</f>
        <v>&lt;&lt;Select&gt;&gt;</v>
      </c>
    </row>
    <row r="10" spans="2:13" ht="7.5" customHeight="1">
      <c r="B10" s="1322"/>
      <c r="C10" s="1322"/>
      <c r="D10" s="1322"/>
      <c r="E10" s="1322"/>
      <c r="F10" s="1322"/>
      <c r="G10" s="1322"/>
      <c r="H10" s="1322"/>
      <c r="I10" s="1322"/>
    </row>
    <row r="11" spans="2:13" ht="14">
      <c r="B11" s="1325" t="s">
        <v>3467</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3471</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3472</v>
      </c>
      <c r="C19" s="1322"/>
      <c r="D19" s="1322"/>
      <c r="E19" s="1322"/>
      <c r="F19" s="1322"/>
      <c r="G19" s="1322"/>
      <c r="H19" s="1322"/>
      <c r="I19" s="1339"/>
    </row>
    <row r="20" spans="2:9" ht="7.5" customHeight="1">
      <c r="B20" s="1333"/>
      <c r="C20" s="1322"/>
      <c r="D20" s="1322"/>
      <c r="E20" s="1322"/>
      <c r="F20" s="1322"/>
      <c r="G20" s="1322"/>
      <c r="H20" s="1322"/>
      <c r="I20" s="1339"/>
    </row>
    <row r="21" spans="2:9">
      <c r="B21" s="1333" t="s">
        <v>3469</v>
      </c>
      <c r="C21" s="1322"/>
      <c r="D21" s="1322"/>
      <c r="E21" s="1322"/>
      <c r="F21" s="1322"/>
      <c r="G21" s="1322"/>
      <c r="H21" s="1322"/>
      <c r="I21" s="1334"/>
    </row>
    <row r="22" spans="2:9">
      <c r="B22" s="1338" t="s">
        <v>3473</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3474</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3476</v>
      </c>
    </row>
    <row r="34" spans="2:9" ht="3" customHeight="1">
      <c r="B34" s="1343"/>
      <c r="C34" s="1328"/>
      <c r="D34" s="1328"/>
      <c r="E34" s="1328"/>
      <c r="F34" s="1328"/>
      <c r="G34" s="1328"/>
      <c r="H34" s="1328"/>
      <c r="I34" s="1344"/>
    </row>
    <row r="35" spans="2:9">
      <c r="B35" s="1333" t="s">
        <v>3479</v>
      </c>
      <c r="C35" s="1322"/>
      <c r="D35" s="1322"/>
      <c r="F35" s="1348"/>
      <c r="H35" s="4758" t="s">
        <v>3488</v>
      </c>
      <c r="I35" s="4759"/>
    </row>
    <row r="36" spans="2:9">
      <c r="B36" s="1349" t="s">
        <v>3487</v>
      </c>
      <c r="C36" s="1347"/>
      <c r="D36" s="1347"/>
      <c r="E36" s="1322"/>
      <c r="F36" s="1591"/>
      <c r="G36" s="1350"/>
      <c r="H36" s="4758"/>
      <c r="I36" s="4759"/>
    </row>
    <row r="37" spans="2:9">
      <c r="B37" s="1349" t="s">
        <v>3485</v>
      </c>
      <c r="D37" s="1347"/>
      <c r="E37" s="1322"/>
      <c r="F37" s="1592"/>
      <c r="G37" s="1350"/>
      <c r="H37" s="4758"/>
      <c r="I37" s="4759"/>
    </row>
    <row r="38" spans="2:9">
      <c r="B38" s="1349" t="s">
        <v>3486</v>
      </c>
      <c r="D38" s="1322"/>
      <c r="E38" s="1322"/>
      <c r="F38" s="1592"/>
      <c r="G38" s="1350"/>
      <c r="H38" s="1350"/>
      <c r="I38" s="1351"/>
    </row>
    <row r="39" spans="2:9" ht="12.75" customHeight="1">
      <c r="B39" s="1349" t="s">
        <v>3484</v>
      </c>
      <c r="C39" s="1322"/>
      <c r="D39" s="1322"/>
      <c r="E39" s="1322"/>
      <c r="F39" s="1592"/>
      <c r="G39" s="1350"/>
      <c r="H39" s="1350"/>
      <c r="I39" s="1351"/>
    </row>
    <row r="40" spans="2:9">
      <c r="B40" s="1352" t="s">
        <v>3483</v>
      </c>
      <c r="C40" s="1353"/>
      <c r="D40" s="1354"/>
      <c r="E40" s="1355"/>
      <c r="F40" s="1592"/>
      <c r="G40" s="1355"/>
      <c r="H40" s="1590"/>
      <c r="I40" s="1332"/>
    </row>
    <row r="41" spans="2:9">
      <c r="B41" s="1352" t="s">
        <v>3482</v>
      </c>
      <c r="C41" s="1353"/>
      <c r="D41" s="1354"/>
      <c r="E41" s="1322"/>
      <c r="F41" s="1592"/>
      <c r="G41" s="1322"/>
      <c r="H41" s="1322"/>
      <c r="I41" s="1332"/>
    </row>
    <row r="42" spans="2:9">
      <c r="B42" s="1356" t="s">
        <v>3481</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3478</v>
      </c>
    </row>
    <row r="46" spans="2:9" ht="3" customHeight="1">
      <c r="B46" s="1343"/>
      <c r="C46" s="1328"/>
      <c r="D46" s="1328"/>
      <c r="E46" s="1328"/>
      <c r="F46" s="1328"/>
      <c r="G46" s="1328"/>
      <c r="H46" s="1328"/>
      <c r="I46" s="1344"/>
    </row>
    <row r="47" spans="2:9">
      <c r="B47" s="1333" t="s">
        <v>3477</v>
      </c>
      <c r="C47" s="1322"/>
      <c r="D47" s="1358"/>
      <c r="E47" s="1359" t="e">
        <f>'Sensitivity Analysis'!H7</f>
        <v>#REF!</v>
      </c>
      <c r="F47" s="778" t="s">
        <v>3489</v>
      </c>
      <c r="H47" s="1322"/>
      <c r="I47" s="1332"/>
    </row>
    <row r="48" spans="2:9">
      <c r="B48" s="1338" t="s">
        <v>2906</v>
      </c>
      <c r="C48" s="1347"/>
      <c r="D48" s="1347" t="s">
        <v>2907</v>
      </c>
      <c r="E48" s="1322"/>
      <c r="F48" s="4767" t="e">
        <f>'Closing term sheet'!$C$30</f>
        <v>#REF!</v>
      </c>
      <c r="G48" s="4768"/>
      <c r="H48" s="4768"/>
      <c r="I48" s="4769"/>
    </row>
    <row r="49" spans="2:9">
      <c r="B49" s="1338" t="s">
        <v>2908</v>
      </c>
      <c r="D49" s="1347" t="s">
        <v>2909</v>
      </c>
      <c r="E49" s="1322"/>
      <c r="F49" s="4770"/>
      <c r="G49" s="4771"/>
      <c r="H49" s="4771"/>
      <c r="I49" s="4772"/>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3490</v>
      </c>
      <c r="C52" s="4790" t="str">
        <f>'Part I-Project Identification'!F30</f>
        <v>Cave Spring</v>
      </c>
      <c r="D52" s="4791"/>
      <c r="E52" s="1364" t="s">
        <v>3491</v>
      </c>
      <c r="F52" s="1324" t="s">
        <v>791</v>
      </c>
      <c r="G52" s="1364" t="s">
        <v>3492</v>
      </c>
      <c r="H52" s="1365" t="e">
        <f>'Part I-Project Identification'!#REF!</f>
        <v>#REF!</v>
      </c>
      <c r="I52" s="1332"/>
    </row>
    <row r="53" spans="2:9">
      <c r="B53" s="1363" t="s">
        <v>3654</v>
      </c>
      <c r="D53" s="1366" t="e">
        <f>VLOOKUP("='Part I-Project Information'!$J$39",'DCA Underwriting Assumptions'!$G$136:$O$295,9)</f>
        <v>#N/A</v>
      </c>
      <c r="I53" s="1332"/>
    </row>
    <row r="54" spans="2:9">
      <c r="B54" s="1363" t="s">
        <v>3655</v>
      </c>
      <c r="D54" s="1322"/>
      <c r="E54" s="1322"/>
      <c r="F54" s="1322"/>
      <c r="G54" s="1322"/>
      <c r="I54" s="1332"/>
    </row>
    <row r="55" spans="2:9">
      <c r="B55" s="1356" t="s">
        <v>3656</v>
      </c>
      <c r="D55" s="1367" t="e">
        <f>'Closing term sheet'!$D$33</f>
        <v>#VALUE!</v>
      </c>
      <c r="E55" s="1368"/>
      <c r="F55" s="794" t="s">
        <v>2911</v>
      </c>
      <c r="G55" s="1322"/>
      <c r="H55" s="1322"/>
      <c r="I55" s="1332"/>
    </row>
    <row r="56" spans="2:9">
      <c r="B56" s="1356" t="s">
        <v>3658</v>
      </c>
      <c r="D56" s="1369">
        <f>'Closing term sheet'!$D$63</f>
        <v>12600000</v>
      </c>
      <c r="E56" s="1370"/>
      <c r="F56" s="794" t="s">
        <v>2912</v>
      </c>
      <c r="G56" s="1322"/>
      <c r="H56" s="1322"/>
      <c r="I56" s="1332"/>
    </row>
    <row r="57" spans="2:9">
      <c r="B57" s="1349" t="s">
        <v>3657</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5" t="s">
        <v>2914</v>
      </c>
      <c r="C61" s="4796"/>
      <c r="D61" s="4796"/>
      <c r="E61" s="4796"/>
      <c r="F61" s="4796"/>
      <c r="G61" s="4796"/>
      <c r="H61" s="4796"/>
      <c r="I61" s="4797"/>
    </row>
    <row r="62" spans="2:9" ht="7.5" customHeight="1">
      <c r="B62" s="4792"/>
      <c r="C62" s="4793"/>
      <c r="D62" s="4793"/>
      <c r="E62" s="1322"/>
      <c r="F62" s="1322"/>
      <c r="G62" s="1372"/>
      <c r="H62" s="1322"/>
      <c r="I62" s="1332"/>
    </row>
    <row r="63" spans="2:9">
      <c r="B63" s="1373" t="s">
        <v>2916</v>
      </c>
      <c r="C63" s="1322"/>
      <c r="D63" s="1367">
        <v>4</v>
      </c>
      <c r="F63" s="1322"/>
      <c r="G63" s="4777" t="s">
        <v>2915</v>
      </c>
      <c r="H63" s="4777"/>
      <c r="I63" s="4794"/>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5" t="s">
        <v>2927</v>
      </c>
      <c r="C81" s="4796"/>
      <c r="D81" s="4796"/>
      <c r="E81" s="4796"/>
      <c r="F81" s="4796"/>
      <c r="G81" s="4796"/>
      <c r="H81" s="4796"/>
      <c r="I81" s="4797"/>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3">
        <f>'Closing term sheet'!D63</f>
        <v>12600000</v>
      </c>
      <c r="G84" s="4763"/>
      <c r="H84" s="1322"/>
      <c r="I84" s="1332"/>
    </row>
    <row r="85" spans="2:9">
      <c r="B85" s="1330"/>
      <c r="C85" s="814" t="s">
        <v>2930</v>
      </c>
      <c r="D85" s="1322"/>
      <c r="E85" s="1322"/>
      <c r="F85" s="4789">
        <f>'Part II-Sources of Funds'!I47+'Part II-Sources of Funds'!L47</f>
        <v>15000.049177608906</v>
      </c>
      <c r="G85" s="4789"/>
      <c r="H85" s="1322"/>
      <c r="I85" s="1332"/>
    </row>
    <row r="86" spans="2:9">
      <c r="B86" s="1330"/>
      <c r="C86" s="814" t="s">
        <v>2931</v>
      </c>
      <c r="D86" s="1322"/>
      <c r="E86" s="1322"/>
      <c r="F86" s="4788"/>
      <c r="G86" s="4788"/>
      <c r="H86" s="1322"/>
      <c r="I86" s="1332"/>
    </row>
    <row r="87" spans="2:9">
      <c r="B87" s="1330"/>
      <c r="C87" s="1347" t="s">
        <v>2932</v>
      </c>
      <c r="D87" s="1322"/>
      <c r="E87" s="1322"/>
      <c r="F87" s="4789">
        <v>11000</v>
      </c>
      <c r="G87" s="4789"/>
      <c r="H87" s="1322"/>
      <c r="I87" s="1332"/>
    </row>
    <row r="88" spans="2:9">
      <c r="B88" s="1330"/>
      <c r="C88" s="814" t="s">
        <v>2933</v>
      </c>
      <c r="D88" s="1322"/>
      <c r="E88" s="1322"/>
      <c r="F88" s="4766"/>
      <c r="G88" s="4766"/>
      <c r="H88" s="1322"/>
      <c r="I88" s="1332"/>
    </row>
    <row r="89" spans="2:9">
      <c r="B89" s="1330"/>
      <c r="C89" s="794" t="s">
        <v>2934</v>
      </c>
      <c r="D89" s="1322"/>
      <c r="E89" s="1322"/>
      <c r="F89" s="4761">
        <f>SUM(F84:G88)</f>
        <v>12626000.049177609</v>
      </c>
      <c r="G89" s="4761"/>
      <c r="H89" s="1322"/>
      <c r="I89" s="1332"/>
    </row>
    <row r="90" spans="2:9">
      <c r="B90" s="1330"/>
      <c r="C90" s="1322"/>
      <c r="D90" s="1322"/>
      <c r="E90" s="1322"/>
      <c r="F90" s="4762"/>
      <c r="G90" s="4762"/>
      <c r="H90" s="1322"/>
      <c r="I90" s="1332"/>
    </row>
    <row r="91" spans="2:9">
      <c r="B91" s="1333" t="s">
        <v>2935</v>
      </c>
      <c r="C91" s="1322"/>
      <c r="D91" s="1322"/>
      <c r="E91" s="1322"/>
      <c r="F91" s="1322"/>
      <c r="G91" s="1322"/>
      <c r="H91" s="1322"/>
      <c r="I91" s="1332"/>
    </row>
    <row r="92" spans="2:9">
      <c r="B92" s="1330"/>
      <c r="C92" s="814" t="s">
        <v>2936</v>
      </c>
      <c r="D92" s="1322"/>
      <c r="E92" s="1322"/>
      <c r="F92" s="4763"/>
      <c r="G92" s="4763"/>
      <c r="H92" s="1322"/>
      <c r="I92" s="1332"/>
    </row>
    <row r="93" spans="2:9">
      <c r="B93" s="1330"/>
      <c r="C93" s="814" t="s">
        <v>2937</v>
      </c>
      <c r="D93" s="1322"/>
      <c r="E93" s="1322"/>
      <c r="F93" s="4764"/>
      <c r="G93" s="4764"/>
      <c r="H93" s="1322"/>
      <c r="I93" s="1332"/>
    </row>
    <row r="94" spans="2:9">
      <c r="B94" s="1330"/>
      <c r="C94" s="814" t="s">
        <v>2938</v>
      </c>
      <c r="D94" s="1322"/>
      <c r="E94" s="1322"/>
      <c r="F94" s="4765" t="s">
        <v>2815</v>
      </c>
      <c r="G94" s="4760"/>
      <c r="H94" s="1322"/>
      <c r="I94" s="1332"/>
    </row>
    <row r="95" spans="2:9">
      <c r="B95" s="1330"/>
      <c r="C95" s="794" t="s">
        <v>2939</v>
      </c>
      <c r="D95" s="1322"/>
      <c r="E95" s="1322"/>
      <c r="F95" s="4761">
        <f>+SUM(F92:G94)</f>
        <v>0</v>
      </c>
      <c r="G95" s="4761"/>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3"/>
      <c r="G98" s="4763"/>
      <c r="H98" s="1322"/>
      <c r="I98" s="1332"/>
    </row>
    <row r="99" spans="2:9">
      <c r="B99" s="1330"/>
      <c r="C99" s="814" t="s">
        <v>2942</v>
      </c>
      <c r="D99" s="1322"/>
      <c r="E99" s="1322"/>
      <c r="F99" s="4764"/>
      <c r="G99" s="4764"/>
      <c r="H99" s="1322"/>
      <c r="I99" s="1332"/>
    </row>
    <row r="100" spans="2:9">
      <c r="B100" s="1330"/>
      <c r="C100" s="814" t="s">
        <v>2943</v>
      </c>
      <c r="D100" s="1322"/>
      <c r="E100" s="1322"/>
      <c r="F100" s="4766"/>
      <c r="G100" s="4766"/>
      <c r="H100" s="1322"/>
      <c r="I100" s="1332"/>
    </row>
    <row r="101" spans="2:9">
      <c r="B101" s="1330"/>
      <c r="C101" s="794" t="s">
        <v>2944</v>
      </c>
      <c r="D101" s="1322"/>
      <c r="E101" s="1322"/>
      <c r="F101" s="4761">
        <f>+SUM(F98:G100)</f>
        <v>0</v>
      </c>
      <c r="G101" s="4761"/>
      <c r="H101" s="1322"/>
      <c r="I101" s="1332"/>
    </row>
    <row r="102" spans="2:9">
      <c r="B102" s="1330"/>
      <c r="C102" s="1322"/>
      <c r="D102" s="1322"/>
      <c r="E102" s="1322"/>
      <c r="F102" s="1322"/>
      <c r="G102" s="1322"/>
      <c r="H102" s="1322"/>
      <c r="I102" s="1332"/>
    </row>
    <row r="103" spans="2:9">
      <c r="B103" s="1373" t="s">
        <v>2945</v>
      </c>
      <c r="C103" s="814"/>
      <c r="D103" s="1322"/>
      <c r="E103" s="1322"/>
      <c r="F103" s="4760">
        <f>'Part II-Sources of Funds'!I48+'Part II-Sources of Funds'!I49</f>
        <v>0</v>
      </c>
      <c r="G103" s="4760"/>
      <c r="H103" s="1322"/>
      <c r="I103" s="1332"/>
    </row>
    <row r="104" spans="2:9">
      <c r="B104" s="1330"/>
      <c r="C104" s="1322"/>
      <c r="D104" s="1322"/>
      <c r="E104" s="1322"/>
      <c r="F104" s="1322"/>
      <c r="G104" s="1322"/>
      <c r="H104" s="1322"/>
      <c r="I104" s="1378" t="s">
        <v>2946</v>
      </c>
    </row>
    <row r="105" spans="2:9">
      <c r="B105" s="1333" t="s">
        <v>2947</v>
      </c>
      <c r="C105" s="1322"/>
      <c r="D105" s="1322"/>
      <c r="E105" s="1322"/>
      <c r="F105" s="4760">
        <f>+F103+F101+F95+F89</f>
        <v>12626000.049177609</v>
      </c>
      <c r="G105" s="4760"/>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election activeCell="M42" sqref="M42"/>
    </sheetView>
  </sheetViews>
  <sheetFormatPr baseColWidth="10" defaultColWidth="8.83203125" defaultRowHeight="16"/>
  <cols>
    <col min="1" max="1" width="2.1640625" style="1025" customWidth="1"/>
    <col min="2" max="13" width="7.83203125" style="1025" customWidth="1"/>
    <col min="14" max="15" width="5.83203125" style="1025" customWidth="1"/>
    <col min="16" max="16384" width="8.8320312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806" t="s">
        <v>2482</v>
      </c>
      <c r="B5" s="4806"/>
      <c r="C5" s="4806"/>
      <c r="D5" s="4806"/>
      <c r="E5" s="4806"/>
      <c r="F5" s="4806"/>
      <c r="G5" s="4806"/>
      <c r="H5" s="4806"/>
      <c r="I5" s="4806"/>
      <c r="J5" s="4806"/>
      <c r="K5" s="4806"/>
      <c r="L5" s="4806"/>
      <c r="M5" s="4806"/>
    </row>
    <row r="6" spans="1:26" ht="11.5"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5" customHeight="1">
      <c r="A8" s="1029"/>
      <c r="B8" s="1029"/>
      <c r="C8" s="1029"/>
      <c r="D8" s="1029"/>
      <c r="E8" s="1029"/>
      <c r="F8" s="1029"/>
      <c r="G8" s="1029"/>
      <c r="H8" s="1029"/>
      <c r="I8" s="1029"/>
      <c r="J8" s="1029"/>
      <c r="K8" s="1029"/>
      <c r="L8" s="1029"/>
      <c r="M8" s="1029"/>
    </row>
    <row r="9" spans="1:26">
      <c r="A9" s="4802" t="s">
        <v>1767</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7" t="s">
        <v>6510</v>
      </c>
      <c r="B11" s="4807"/>
      <c r="C11" s="4807"/>
      <c r="D11" s="4807"/>
      <c r="E11" s="4807"/>
      <c r="F11" s="4807"/>
      <c r="G11" s="4807"/>
      <c r="H11" s="4807"/>
      <c r="I11" s="4807"/>
      <c r="J11" s="4807"/>
      <c r="K11" s="4807"/>
      <c r="L11" s="4807"/>
      <c r="M11" s="4807"/>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3191</v>
      </c>
      <c r="C13" s="4804"/>
      <c r="D13" s="4804"/>
      <c r="E13" s="4804"/>
      <c r="F13" s="4804"/>
      <c r="G13" s="4804"/>
      <c r="H13" s="4804"/>
      <c r="I13" s="4804"/>
      <c r="J13" s="4804"/>
      <c r="K13" s="4804"/>
      <c r="L13" s="4804"/>
      <c r="M13" s="4804"/>
      <c r="U13" s="1025" t="s">
        <v>6275</v>
      </c>
    </row>
    <row r="14" spans="1:26" ht="47.25" customHeight="1">
      <c r="A14" s="1031" t="s">
        <v>1616</v>
      </c>
      <c r="B14" s="4804" t="s">
        <v>3192</v>
      </c>
      <c r="C14" s="4804"/>
      <c r="D14" s="4804"/>
      <c r="E14" s="4804"/>
      <c r="F14" s="4804"/>
      <c r="G14" s="4804"/>
      <c r="H14" s="4804"/>
      <c r="I14" s="4804"/>
      <c r="J14" s="4804"/>
      <c r="K14" s="4804"/>
      <c r="L14" s="4804"/>
      <c r="M14" s="4804"/>
    </row>
    <row r="15" spans="1:26" ht="117" customHeight="1">
      <c r="A15" s="1031" t="s">
        <v>1617</v>
      </c>
      <c r="B15" s="4804" t="s">
        <v>3193</v>
      </c>
      <c r="C15" s="4804"/>
      <c r="D15" s="4804"/>
      <c r="E15" s="4804"/>
      <c r="F15" s="4804"/>
      <c r="G15" s="4804"/>
      <c r="H15" s="4804"/>
      <c r="I15" s="4804"/>
      <c r="J15" s="4804"/>
      <c r="K15" s="4804"/>
      <c r="L15" s="4804"/>
      <c r="M15" s="4804"/>
    </row>
    <row r="16" spans="1:26" ht="147" customHeight="1">
      <c r="A16" s="1031" t="s">
        <v>2183</v>
      </c>
      <c r="B16" s="4804" t="s">
        <v>3072</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3071</v>
      </c>
      <c r="C18" s="4804"/>
      <c r="D18" s="4804"/>
      <c r="E18" s="4804"/>
      <c r="F18" s="4804"/>
      <c r="G18" s="4804"/>
      <c r="H18" s="4804"/>
      <c r="I18" s="4804"/>
      <c r="J18" s="4804"/>
      <c r="K18" s="4804"/>
      <c r="L18" s="4804"/>
      <c r="M18" s="4804"/>
    </row>
    <row r="19" spans="1:13" ht="48.75" customHeight="1">
      <c r="A19" s="1031" t="s">
        <v>93</v>
      </c>
      <c r="B19" s="4805" t="s">
        <v>3194</v>
      </c>
      <c r="C19" s="4805"/>
      <c r="D19" s="4805"/>
      <c r="E19" s="4805"/>
      <c r="F19" s="4805"/>
      <c r="G19" s="4805"/>
      <c r="H19" s="4805"/>
      <c r="I19" s="4805"/>
      <c r="J19" s="4805"/>
      <c r="K19" s="4805"/>
      <c r="L19" s="4805"/>
      <c r="M19" s="4805"/>
    </row>
    <row r="20" spans="1:13" ht="50.25" customHeight="1">
      <c r="A20" s="1031" t="s">
        <v>481</v>
      </c>
      <c r="B20" s="4804" t="s">
        <v>3073</v>
      </c>
      <c r="C20" s="4804"/>
      <c r="D20" s="4804"/>
      <c r="E20" s="4804"/>
      <c r="F20" s="4804"/>
      <c r="G20" s="4804"/>
      <c r="H20" s="4804"/>
      <c r="I20" s="4804"/>
      <c r="J20" s="4804"/>
      <c r="K20" s="4804"/>
      <c r="L20" s="4804"/>
      <c r="M20" s="4804"/>
    </row>
    <row r="21" spans="1:13" ht="31.5" customHeight="1">
      <c r="A21" s="1031" t="s">
        <v>482</v>
      </c>
      <c r="B21" s="4804" t="s">
        <v>3090</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3091</v>
      </c>
      <c r="C25" s="4804"/>
      <c r="D25" s="4804"/>
      <c r="E25" s="4804"/>
      <c r="F25" s="4804"/>
      <c r="G25" s="4804"/>
      <c r="H25" s="4804"/>
      <c r="I25" s="4804"/>
      <c r="J25" s="4804"/>
      <c r="K25" s="4804"/>
      <c r="L25" s="4804"/>
      <c r="M25" s="4804"/>
    </row>
    <row r="26" spans="1:13" ht="31.5" customHeight="1">
      <c r="A26" s="1031" t="s">
        <v>1376</v>
      </c>
      <c r="B26" s="4804" t="s">
        <v>3092</v>
      </c>
      <c r="C26" s="4804"/>
      <c r="D26" s="4804"/>
      <c r="E26" s="4804"/>
      <c r="F26" s="4804"/>
      <c r="G26" s="4804"/>
      <c r="H26" s="4804"/>
      <c r="I26" s="4804"/>
      <c r="J26" s="4804"/>
      <c r="K26" s="4804"/>
      <c r="L26" s="4804"/>
      <c r="M26" s="4804"/>
    </row>
    <row r="27" spans="1:13" ht="78.75" customHeight="1">
      <c r="A27" s="1031" t="s">
        <v>1376</v>
      </c>
      <c r="B27" s="4804" t="s">
        <v>2483</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2484</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c r="A35" s="4803"/>
      <c r="B35" s="4803"/>
      <c r="C35" s="4803"/>
      <c r="D35" s="4803"/>
      <c r="E35" s="4803"/>
      <c r="F35" s="4803"/>
      <c r="G35" s="1032"/>
      <c r="H35" s="4803"/>
      <c r="I35" s="4803"/>
      <c r="J35" s="4803"/>
      <c r="K35" s="4803"/>
      <c r="L35" s="4803"/>
      <c r="M35" s="4803"/>
    </row>
    <row r="36" spans="1:13" ht="12" customHeight="1">
      <c r="A36" s="4800" t="s">
        <v>865</v>
      </c>
      <c r="B36" s="4800"/>
      <c r="C36" s="4800"/>
      <c r="D36" s="4800"/>
      <c r="E36" s="4800"/>
      <c r="F36" s="4800"/>
      <c r="G36" s="1032"/>
      <c r="H36" s="4800" t="s">
        <v>1839</v>
      </c>
      <c r="I36" s="4800"/>
      <c r="J36" s="4800"/>
      <c r="K36" s="4800"/>
      <c r="L36" s="4800"/>
      <c r="M36" s="4800"/>
    </row>
    <row r="37" spans="1:13" ht="6" customHeight="1">
      <c r="A37" s="1032"/>
      <c r="B37" s="1032"/>
      <c r="C37" s="1032"/>
      <c r="D37" s="1032"/>
      <c r="E37" s="1032"/>
      <c r="F37" s="1032"/>
      <c r="G37" s="1032"/>
      <c r="H37" s="1032"/>
      <c r="I37" s="1032"/>
      <c r="J37" s="1032"/>
      <c r="K37" s="1032"/>
      <c r="L37" s="1032"/>
      <c r="M37" s="1032"/>
    </row>
    <row r="38" spans="1:13">
      <c r="A38" s="4798"/>
      <c r="B38" s="4798"/>
      <c r="C38" s="4798"/>
      <c r="D38" s="4798"/>
      <c r="E38" s="4798"/>
      <c r="F38" s="4798"/>
      <c r="G38" s="1032"/>
      <c r="H38" s="4799"/>
      <c r="I38" s="4799"/>
      <c r="J38" s="4799"/>
      <c r="K38" s="4799"/>
      <c r="L38" s="4799"/>
      <c r="M38" s="4799"/>
    </row>
    <row r="39" spans="1:13" ht="12" customHeight="1">
      <c r="A39" s="4800" t="s">
        <v>866</v>
      </c>
      <c r="B39" s="4800"/>
      <c r="C39" s="4800"/>
      <c r="D39" s="4800"/>
      <c r="E39" s="4800"/>
      <c r="F39" s="4800"/>
      <c r="G39" s="1032"/>
      <c r="H39" s="4800" t="s">
        <v>867</v>
      </c>
      <c r="I39" s="4800"/>
      <c r="J39" s="4800"/>
      <c r="K39" s="4800"/>
      <c r="L39" s="4800"/>
      <c r="M39" s="4800"/>
    </row>
    <row r="40" spans="1:13" ht="3" customHeight="1">
      <c r="A40" s="1033"/>
      <c r="B40" s="1033"/>
      <c r="C40" s="1033"/>
      <c r="D40" s="1033"/>
      <c r="E40" s="1033"/>
      <c r="F40" s="1033"/>
      <c r="G40" s="1032"/>
      <c r="H40" s="1033"/>
      <c r="I40" s="1033"/>
      <c r="J40" s="1033"/>
      <c r="K40" s="1033"/>
      <c r="L40" s="1033"/>
      <c r="M40" s="1033"/>
    </row>
    <row r="41" spans="1:13" ht="11.5" customHeight="1">
      <c r="A41" s="1029"/>
      <c r="B41" s="1029"/>
      <c r="C41" s="1029"/>
      <c r="D41" s="1029"/>
      <c r="E41" s="1029"/>
      <c r="F41" s="1029"/>
      <c r="G41" s="1029"/>
      <c r="H41" s="4801" t="s">
        <v>868</v>
      </c>
      <c r="I41" s="4801"/>
      <c r="J41" s="4801"/>
      <c r="K41" s="4801"/>
      <c r="L41" s="4801"/>
      <c r="M41" s="4801"/>
    </row>
    <row r="42" spans="1:13" ht="11.5" customHeight="1">
      <c r="A42" s="1029"/>
      <c r="B42" s="1029"/>
      <c r="C42" s="1029"/>
      <c r="D42" s="1029"/>
      <c r="E42" s="1029"/>
      <c r="F42" s="1029"/>
      <c r="G42" s="1029"/>
    </row>
    <row r="43" spans="1:13" ht="11.5" customHeight="1">
      <c r="A43" s="1029"/>
      <c r="B43" s="1029"/>
      <c r="C43" s="1029"/>
      <c r="D43" s="1029"/>
      <c r="E43" s="1029"/>
      <c r="F43" s="1029"/>
      <c r="G43" s="1029"/>
      <c r="H43" s="1029"/>
      <c r="I43" s="1029"/>
      <c r="J43" s="1029"/>
      <c r="K43" s="1029"/>
      <c r="L43" s="1029"/>
      <c r="M43" s="1029"/>
    </row>
    <row r="44" spans="1:13" ht="11.5" customHeight="1">
      <c r="A44" s="1029"/>
      <c r="B44" s="1029"/>
      <c r="C44" s="1029"/>
      <c r="D44" s="1029"/>
      <c r="E44" s="1029"/>
      <c r="F44" s="1029"/>
      <c r="G44" s="1029"/>
      <c r="H44" s="1029"/>
      <c r="I44" s="1029"/>
      <c r="J44" s="1029"/>
      <c r="K44" s="1029"/>
      <c r="L44" s="1029"/>
      <c r="M44" s="1029"/>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baseColWidth="10" defaultColWidth="8.83203125" defaultRowHeight="13"/>
  <cols>
    <col min="1" max="1" width="1.83203125" style="27" customWidth="1"/>
    <col min="2" max="2" width="5.1640625" style="27" customWidth="1"/>
    <col min="3" max="3" width="9.83203125" style="27" customWidth="1"/>
    <col min="4" max="6" width="7.83203125" style="27" customWidth="1"/>
    <col min="7" max="7" width="10.83203125" style="27" customWidth="1"/>
    <col min="8" max="8" width="7.83203125" style="27" customWidth="1"/>
    <col min="9" max="9" width="17.5" style="27" customWidth="1"/>
    <col min="10" max="10" width="7.83203125" style="27" customWidth="1"/>
    <col min="11" max="11" width="7.1640625" style="27" customWidth="1"/>
    <col min="12" max="12" width="7.83203125" style="27" customWidth="1"/>
    <col min="13" max="13" width="7.5" style="27" customWidth="1"/>
    <col min="14" max="16" width="7.83203125" style="27" customWidth="1"/>
    <col min="17" max="17" width="8.1640625" style="27" customWidth="1"/>
    <col min="18" max="18" width="8.5" style="27" customWidth="1"/>
    <col min="19" max="26" width="8.83203125" style="27"/>
    <col min="27" max="28" width="8.83203125" style="523"/>
    <col min="29" max="16384" width="8.8320312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25" customHeight="1">
      <c r="A2" s="4842" t="s">
        <v>674</v>
      </c>
      <c r="B2" s="4843"/>
      <c r="C2" s="4843"/>
      <c r="D2" s="4843"/>
      <c r="E2" s="4843"/>
      <c r="F2" s="4843"/>
      <c r="G2" s="4843"/>
      <c r="H2" s="4843"/>
      <c r="I2" s="4843"/>
      <c r="J2" s="4843"/>
      <c r="K2" s="4843"/>
      <c r="L2" s="4843"/>
      <c r="M2" s="4843"/>
      <c r="N2" s="4843"/>
      <c r="O2" s="4843"/>
      <c r="P2" s="4843"/>
      <c r="Q2" s="4843"/>
      <c r="R2" s="4844"/>
      <c r="S2" s="180"/>
      <c r="T2" s="180"/>
      <c r="U2" s="180"/>
      <c r="AA2" s="523"/>
      <c r="AB2" s="523"/>
    </row>
    <row r="3" spans="1:28" s="293" customFormat="1" ht="4.25"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25"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5" customHeight="1">
      <c r="A6" s="298" t="s">
        <v>1610</v>
      </c>
      <c r="B6" s="183"/>
      <c r="C6" s="183"/>
      <c r="D6" s="180"/>
      <c r="E6" s="180"/>
      <c r="F6" s="183" t="s">
        <v>478</v>
      </c>
      <c r="G6" s="183"/>
      <c r="H6" s="180"/>
      <c r="I6" s="180"/>
      <c r="J6" s="183" t="s">
        <v>6251</v>
      </c>
      <c r="K6" s="183"/>
      <c r="L6" s="183" t="s">
        <v>6153</v>
      </c>
      <c r="M6" s="183"/>
      <c r="N6" s="183"/>
      <c r="O6" s="183"/>
      <c r="P6" s="180"/>
      <c r="Q6" s="1062" t="s">
        <v>1611</v>
      </c>
      <c r="R6" s="1062">
        <v>1000000</v>
      </c>
      <c r="S6" s="180"/>
      <c r="U6" s="180"/>
      <c r="V6" s="916"/>
      <c r="W6" s="916"/>
      <c r="X6" s="184"/>
      <c r="AA6" s="523"/>
      <c r="AB6" s="523"/>
    </row>
    <row r="7" spans="1:28" s="293" customFormat="1" ht="11.5" customHeight="1">
      <c r="A7" s="298"/>
      <c r="B7" s="183"/>
      <c r="C7" s="183"/>
      <c r="D7" s="180"/>
      <c r="E7" s="180"/>
      <c r="F7" s="183"/>
      <c r="G7" s="183"/>
      <c r="H7" s="180"/>
      <c r="I7" s="180"/>
      <c r="J7" s="183"/>
      <c r="K7" s="183"/>
      <c r="L7" s="183" t="s">
        <v>6154</v>
      </c>
      <c r="M7" s="183"/>
      <c r="N7" s="183"/>
      <c r="O7" s="183"/>
      <c r="P7" s="180"/>
      <c r="Q7" s="1068" t="s">
        <v>1611</v>
      </c>
      <c r="R7" s="651">
        <v>900000</v>
      </c>
      <c r="S7" s="180"/>
      <c r="U7" s="180"/>
      <c r="V7" s="916"/>
      <c r="W7" s="916"/>
      <c r="X7" s="184"/>
      <c r="AA7" s="523"/>
      <c r="AB7" s="523"/>
    </row>
    <row r="8" spans="1:28" s="293" customFormat="1" ht="11.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45" t="s">
        <v>6623</v>
      </c>
      <c r="R11" s="4845"/>
      <c r="S11" s="313"/>
      <c r="T11" s="180"/>
      <c r="U11" s="180"/>
      <c r="V11" s="970"/>
      <c r="W11" s="970"/>
      <c r="X11" s="970"/>
      <c r="AA11" s="523"/>
      <c r="AB11" s="523"/>
    </row>
    <row r="12" spans="1:28" s="293" customFormat="1" ht="11.25" hidden="1" customHeight="1">
      <c r="A12" s="183"/>
      <c r="B12" s="183"/>
      <c r="C12" s="183"/>
      <c r="D12" s="180"/>
      <c r="E12" s="180"/>
      <c r="F12" s="183" t="s">
        <v>3919</v>
      </c>
      <c r="G12" s="183"/>
      <c r="H12" s="180"/>
      <c r="I12" s="180"/>
      <c r="J12" s="579" t="s">
        <v>3144</v>
      </c>
      <c r="K12" s="303"/>
      <c r="M12" s="303"/>
      <c r="N12" s="303"/>
      <c r="O12" s="183"/>
      <c r="Q12" s="4853">
        <v>0.1</v>
      </c>
      <c r="R12" s="4854"/>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52" t="s">
        <v>3910</v>
      </c>
      <c r="R13" s="4852"/>
      <c r="S13" s="180"/>
      <c r="T13" s="180"/>
      <c r="U13" s="180"/>
      <c r="AA13" s="523"/>
      <c r="AB13" s="523"/>
    </row>
    <row r="14" spans="1:28" s="293" customFormat="1" ht="12.75" hidden="1" customHeight="1">
      <c r="A14" s="183"/>
      <c r="B14" s="183"/>
      <c r="C14" s="183"/>
      <c r="K14" s="1632" t="s">
        <v>3911</v>
      </c>
      <c r="L14" s="1631"/>
      <c r="N14" s="303"/>
      <c r="O14" s="183"/>
      <c r="P14" s="180"/>
      <c r="Q14" s="4850">
        <v>0.2</v>
      </c>
      <c r="R14" s="4851"/>
      <c r="S14" s="180"/>
      <c r="T14" s="180"/>
      <c r="U14" s="180"/>
      <c r="AA14" s="523"/>
      <c r="AB14" s="523"/>
    </row>
    <row r="15" spans="1:28" s="293" customFormat="1" ht="12.75" hidden="1" customHeight="1">
      <c r="A15" s="183"/>
      <c r="B15" s="183"/>
      <c r="C15" s="183"/>
      <c r="K15" s="1632" t="s">
        <v>3912</v>
      </c>
      <c r="L15" s="1631"/>
      <c r="N15" s="303"/>
      <c r="O15" s="183"/>
      <c r="P15" s="180"/>
      <c r="Q15" s="4848">
        <v>0.15</v>
      </c>
      <c r="R15" s="4849"/>
      <c r="S15" s="180"/>
      <c r="T15" s="180"/>
      <c r="U15" s="180"/>
      <c r="AA15" s="523"/>
      <c r="AB15" s="523"/>
    </row>
    <row r="16" spans="1:28" s="293" customFormat="1" ht="12.75" hidden="1" customHeight="1">
      <c r="A16" s="183"/>
      <c r="B16" s="183"/>
      <c r="C16" s="183"/>
      <c r="K16" s="1632" t="s">
        <v>3913</v>
      </c>
      <c r="L16" s="1631"/>
      <c r="N16" s="303"/>
      <c r="O16" s="183"/>
      <c r="P16" s="180"/>
      <c r="Q16" s="4848">
        <v>0.15</v>
      </c>
      <c r="R16" s="4849"/>
      <c r="S16" s="180"/>
      <c r="T16" s="180"/>
      <c r="U16" s="180"/>
      <c r="AA16" s="523"/>
      <c r="AB16" s="523"/>
    </row>
    <row r="17" spans="1:28" s="293" customFormat="1" ht="12.75" hidden="1" customHeight="1">
      <c r="A17" s="183"/>
      <c r="B17" s="183"/>
      <c r="C17" s="183"/>
      <c r="K17" s="1632" t="s">
        <v>3914</v>
      </c>
      <c r="L17" s="1631"/>
      <c r="N17" s="303"/>
      <c r="O17" s="183"/>
      <c r="P17" s="180"/>
      <c r="Q17" s="4848">
        <v>0.1</v>
      </c>
      <c r="R17" s="4849"/>
      <c r="S17" s="180"/>
      <c r="T17" s="180"/>
      <c r="U17" s="180"/>
      <c r="AA17" s="523"/>
      <c r="AB17" s="523"/>
    </row>
    <row r="18" spans="1:28" s="293" customFormat="1" ht="12.75" hidden="1" customHeight="1">
      <c r="A18" s="183"/>
      <c r="B18" s="183"/>
      <c r="C18" s="183"/>
      <c r="K18" s="1632" t="s">
        <v>3915</v>
      </c>
      <c r="L18" s="1631"/>
      <c r="N18" s="303"/>
      <c r="O18" s="183"/>
      <c r="P18" s="180"/>
      <c r="Q18" s="4846">
        <v>0.1</v>
      </c>
      <c r="R18" s="4847"/>
      <c r="S18" s="180"/>
      <c r="T18" s="180"/>
      <c r="U18" s="180"/>
      <c r="AA18" s="523"/>
      <c r="AB18" s="523"/>
    </row>
    <row r="19" spans="1:28" s="293" customFormat="1" ht="11.5" customHeight="1">
      <c r="A19" s="183"/>
      <c r="B19" s="183"/>
      <c r="C19" s="183"/>
      <c r="D19" s="180"/>
      <c r="E19" s="180"/>
      <c r="O19" s="183"/>
      <c r="T19" s="299"/>
      <c r="U19" s="180"/>
      <c r="V19" s="970"/>
      <c r="W19" s="970"/>
      <c r="X19" s="970"/>
      <c r="AA19" s="523"/>
      <c r="AB19" s="523"/>
    </row>
    <row r="20" spans="1:28" s="293" customFormat="1" ht="11.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5" customHeight="1">
      <c r="A27" s="183"/>
      <c r="B27" s="183"/>
      <c r="C27" s="183"/>
      <c r="D27" s="180"/>
      <c r="E27" s="180"/>
      <c r="G27" s="183" t="s">
        <v>3316</v>
      </c>
      <c r="H27" s="180"/>
      <c r="I27" s="180"/>
      <c r="J27" s="183" t="s">
        <v>1433</v>
      </c>
      <c r="K27" s="183"/>
      <c r="L27" s="183"/>
      <c r="M27" s="183"/>
      <c r="N27" s="183"/>
      <c r="O27" s="183"/>
      <c r="P27" s="180"/>
      <c r="Q27" s="1117" t="s">
        <v>2854</v>
      </c>
      <c r="R27" s="304" t="s">
        <v>1611</v>
      </c>
      <c r="S27" s="305"/>
      <c r="T27" s="305"/>
      <c r="U27" s="305"/>
      <c r="AA27" s="523"/>
      <c r="AB27" s="523"/>
    </row>
    <row r="28" spans="1:28" s="293" customFormat="1" ht="11.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5" customHeight="1">
      <c r="A35" s="183"/>
      <c r="B35" s="183"/>
      <c r="C35" s="183"/>
      <c r="D35" s="180"/>
      <c r="E35" s="180"/>
      <c r="F35" s="183" t="s">
        <v>6106</v>
      </c>
      <c r="G35" s="183"/>
      <c r="H35" s="180"/>
      <c r="I35" s="180"/>
      <c r="J35" s="183" t="s">
        <v>6107</v>
      </c>
      <c r="K35" s="183"/>
      <c r="L35" s="183"/>
      <c r="M35" s="183"/>
      <c r="N35" s="183"/>
      <c r="O35" s="183"/>
      <c r="P35" s="180"/>
      <c r="Q35" s="1940" t="s">
        <v>907</v>
      </c>
      <c r="R35" s="1939">
        <v>1250000</v>
      </c>
      <c r="S35" s="305"/>
      <c r="T35" s="305"/>
      <c r="U35" s="305"/>
      <c r="AA35" s="523"/>
      <c r="AB35" s="523"/>
    </row>
    <row r="36" spans="1:28" s="293" customFormat="1" ht="11.5" customHeight="1">
      <c r="A36" s="183"/>
      <c r="B36" s="183" t="s">
        <v>1821</v>
      </c>
      <c r="C36" s="183"/>
      <c r="D36" s="180"/>
      <c r="E36" s="180"/>
      <c r="F36" s="183" t="s">
        <v>1125</v>
      </c>
      <c r="G36" s="183"/>
      <c r="H36" s="180"/>
      <c r="I36" s="180"/>
      <c r="J36" s="183" t="s">
        <v>3317</v>
      </c>
      <c r="K36" s="183"/>
      <c r="L36" s="183"/>
      <c r="M36" s="183"/>
      <c r="N36" s="183"/>
      <c r="O36" s="183"/>
      <c r="P36" s="180"/>
      <c r="Q36" s="1061" t="s">
        <v>907</v>
      </c>
      <c r="R36" s="1061">
        <v>0.05</v>
      </c>
      <c r="S36" s="305"/>
      <c r="T36" s="305"/>
      <c r="U36" s="305"/>
      <c r="AA36" s="523"/>
      <c r="AB36" s="523"/>
    </row>
    <row r="37" spans="1:28" s="293" customFormat="1" ht="11.5" customHeight="1">
      <c r="A37" s="183"/>
      <c r="B37" s="183"/>
      <c r="C37" s="183"/>
      <c r="D37" s="180"/>
      <c r="E37" s="180"/>
      <c r="F37" s="183" t="s">
        <v>264</v>
      </c>
      <c r="G37" s="183"/>
      <c r="H37" s="180"/>
      <c r="I37" s="180"/>
      <c r="J37" s="183" t="s">
        <v>3317</v>
      </c>
      <c r="K37" s="183"/>
      <c r="L37" s="183"/>
      <c r="M37" s="183"/>
      <c r="N37" s="183"/>
      <c r="O37" s="183"/>
      <c r="P37" s="180"/>
      <c r="Q37" s="1061" t="s">
        <v>907</v>
      </c>
      <c r="R37" s="1061">
        <v>0.1</v>
      </c>
      <c r="S37" s="305"/>
      <c r="T37" s="305"/>
      <c r="U37" s="305"/>
      <c r="AA37" s="523"/>
      <c r="AB37" s="523"/>
    </row>
    <row r="38" spans="1:28" s="293" customFormat="1" ht="11.5" customHeight="1">
      <c r="A38" s="183"/>
      <c r="B38" s="183" t="s">
        <v>1890</v>
      </c>
      <c r="C38" s="183"/>
      <c r="D38" s="180"/>
      <c r="E38" s="180"/>
      <c r="F38" s="183" t="s">
        <v>1611</v>
      </c>
      <c r="G38" s="183"/>
      <c r="H38" s="180"/>
      <c r="I38" s="180"/>
      <c r="J38" s="183" t="s">
        <v>3318</v>
      </c>
      <c r="K38" s="183"/>
      <c r="L38" s="183"/>
      <c r="M38" s="183"/>
      <c r="N38" s="183"/>
      <c r="O38" s="183"/>
      <c r="P38" s="180"/>
      <c r="Q38" s="304" t="s">
        <v>1611</v>
      </c>
      <c r="R38" s="1061">
        <v>0.06</v>
      </c>
      <c r="S38" s="305"/>
      <c r="T38" s="305"/>
      <c r="U38" s="305"/>
      <c r="AA38" s="523"/>
      <c r="AB38" s="523"/>
    </row>
    <row r="39" spans="1:28" s="293" customFormat="1" ht="11.5" customHeight="1">
      <c r="A39" s="183"/>
      <c r="B39" s="183" t="s">
        <v>1891</v>
      </c>
      <c r="C39" s="183"/>
      <c r="D39" s="180"/>
      <c r="E39" s="180"/>
      <c r="F39" s="183" t="s">
        <v>1611</v>
      </c>
      <c r="G39" s="183"/>
      <c r="H39" s="180"/>
      <c r="I39" s="180"/>
      <c r="J39" s="183" t="s">
        <v>3318</v>
      </c>
      <c r="K39" s="183"/>
      <c r="L39" s="183"/>
      <c r="M39" s="183"/>
      <c r="N39" s="183"/>
      <c r="O39" s="183"/>
      <c r="P39" s="180"/>
      <c r="Q39" s="304" t="s">
        <v>1611</v>
      </c>
      <c r="R39" s="1061">
        <v>0.02</v>
      </c>
      <c r="S39" s="305"/>
      <c r="T39" s="305"/>
      <c r="U39" s="305"/>
      <c r="AA39" s="523"/>
      <c r="AB39" s="523"/>
    </row>
    <row r="40" spans="1:28" s="293" customFormat="1" ht="11.5" customHeight="1">
      <c r="A40" s="183"/>
      <c r="B40" s="183" t="s">
        <v>2511</v>
      </c>
      <c r="C40" s="183"/>
      <c r="D40" s="180"/>
      <c r="E40" s="180"/>
      <c r="F40" s="183" t="s">
        <v>1611</v>
      </c>
      <c r="G40" s="183"/>
      <c r="H40" s="180"/>
      <c r="I40" s="180"/>
      <c r="J40" s="183" t="s">
        <v>3318</v>
      </c>
      <c r="K40" s="183"/>
      <c r="L40" s="183"/>
      <c r="M40" s="183"/>
      <c r="N40" s="183"/>
      <c r="O40" s="183"/>
      <c r="P40" s="180"/>
      <c r="Q40" s="304" t="s">
        <v>1611</v>
      </c>
      <c r="R40" s="1061">
        <v>0.06</v>
      </c>
      <c r="S40" s="305"/>
      <c r="T40" s="305"/>
      <c r="U40" s="305"/>
      <c r="AA40" s="523"/>
      <c r="AB40" s="523"/>
    </row>
    <row r="41" spans="1:28" s="293" customFormat="1" ht="11.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5" customHeight="1">
      <c r="A42" s="180"/>
      <c r="B42" s="305" t="s">
        <v>3284</v>
      </c>
      <c r="C42" s="183"/>
      <c r="D42" s="183"/>
      <c r="E42" s="180"/>
      <c r="F42" s="185" t="s">
        <v>3086</v>
      </c>
      <c r="G42" s="183"/>
      <c r="H42" s="180"/>
      <c r="I42" s="180"/>
      <c r="J42" s="183" t="s">
        <v>1127</v>
      </c>
      <c r="K42" s="183"/>
      <c r="L42" s="183"/>
      <c r="M42" s="183"/>
      <c r="N42" s="183"/>
      <c r="O42" s="183"/>
      <c r="P42" s="180"/>
      <c r="Q42" s="4821">
        <v>1000</v>
      </c>
      <c r="R42" s="4822"/>
      <c r="S42" s="305"/>
      <c r="T42" s="305"/>
      <c r="U42" s="305"/>
      <c r="AA42" s="523"/>
      <c r="AB42" s="523"/>
    </row>
    <row r="43" spans="1:28" s="293" customFormat="1" ht="11.5" customHeight="1">
      <c r="A43" s="183"/>
      <c r="B43" s="183"/>
      <c r="C43" s="183"/>
      <c r="D43" s="183"/>
      <c r="E43" s="180"/>
      <c r="G43" s="183"/>
      <c r="H43" s="180"/>
      <c r="I43" s="180"/>
      <c r="J43" s="183" t="s">
        <v>1128</v>
      </c>
      <c r="K43" s="183"/>
      <c r="L43" s="183"/>
      <c r="M43" s="183"/>
      <c r="N43" s="183"/>
      <c r="O43" s="183"/>
      <c r="P43" s="180"/>
      <c r="Q43" s="4821">
        <v>500</v>
      </c>
      <c r="R43" s="4822"/>
      <c r="S43" s="305"/>
      <c r="T43" s="305"/>
      <c r="U43" s="305"/>
      <c r="AA43" s="523"/>
      <c r="AB43" s="523"/>
    </row>
    <row r="44" spans="1:28" s="293" customFormat="1" ht="11.5" customHeight="1">
      <c r="A44" s="183"/>
      <c r="B44" s="183"/>
      <c r="C44" s="183"/>
      <c r="D44" s="183"/>
      <c r="E44" s="180"/>
      <c r="F44" s="185" t="s">
        <v>3325</v>
      </c>
      <c r="G44" s="183"/>
      <c r="H44" s="180"/>
      <c r="I44" s="180"/>
      <c r="J44" s="185" t="s">
        <v>3321</v>
      </c>
      <c r="K44" s="183"/>
      <c r="L44" s="183"/>
      <c r="M44" s="183"/>
      <c r="N44" s="183"/>
      <c r="O44" s="183"/>
      <c r="P44" s="180"/>
      <c r="Q44" s="4821">
        <v>1500</v>
      </c>
      <c r="R44" s="4822"/>
      <c r="S44" s="305"/>
      <c r="T44" s="305"/>
      <c r="U44" s="305"/>
      <c r="AA44" s="523"/>
      <c r="AB44" s="523"/>
    </row>
    <row r="45" spans="1:28" s="293" customFormat="1" ht="11.5" customHeight="1">
      <c r="A45" s="183"/>
      <c r="B45" s="183"/>
      <c r="C45" s="183"/>
      <c r="D45" s="183"/>
      <c r="E45" s="180"/>
      <c r="G45" s="183"/>
      <c r="H45" s="180"/>
      <c r="I45" s="180"/>
      <c r="J45" s="185" t="s">
        <v>3322</v>
      </c>
      <c r="K45" s="183"/>
      <c r="L45" s="183"/>
      <c r="M45" s="183"/>
      <c r="N45" s="183"/>
      <c r="O45" s="183"/>
      <c r="P45" s="180"/>
      <c r="Q45" s="4821">
        <v>1500</v>
      </c>
      <c r="R45" s="4822"/>
      <c r="S45" s="305"/>
      <c r="T45" s="305"/>
      <c r="U45" s="305"/>
      <c r="AA45" s="523"/>
      <c r="AB45" s="523"/>
    </row>
    <row r="46" spans="1:28" s="293" customFormat="1" ht="11.5" customHeight="1">
      <c r="A46" s="183"/>
      <c r="B46" s="183"/>
      <c r="C46" s="183"/>
      <c r="D46" s="183"/>
      <c r="E46" s="180"/>
      <c r="G46" s="183"/>
      <c r="H46" s="180"/>
      <c r="I46" s="180"/>
      <c r="J46" s="185" t="s">
        <v>3323</v>
      </c>
      <c r="K46" s="183"/>
      <c r="L46" s="183"/>
      <c r="M46" s="183"/>
      <c r="N46" s="183"/>
      <c r="O46" s="183"/>
      <c r="P46" s="180"/>
      <c r="Q46" s="4821">
        <v>1500</v>
      </c>
      <c r="R46" s="4822"/>
      <c r="S46" s="305"/>
      <c r="T46" s="305"/>
      <c r="U46" s="305"/>
      <c r="AA46" s="523"/>
      <c r="AB46" s="523"/>
    </row>
    <row r="47" spans="1:28" s="293" customFormat="1" ht="11.5" customHeight="1">
      <c r="A47" s="183"/>
      <c r="B47" s="183"/>
      <c r="C47" s="183"/>
      <c r="D47" s="183"/>
      <c r="E47" s="180"/>
      <c r="G47" s="183"/>
      <c r="H47" s="180"/>
      <c r="I47" s="180"/>
      <c r="J47" s="185" t="s">
        <v>3324</v>
      </c>
      <c r="K47" s="183"/>
      <c r="L47" s="183"/>
      <c r="M47" s="183"/>
      <c r="N47" s="183"/>
      <c r="O47" s="183"/>
      <c r="P47" s="180"/>
      <c r="Q47" s="4821">
        <v>1500</v>
      </c>
      <c r="R47" s="4822"/>
      <c r="S47" s="305"/>
      <c r="T47" s="305"/>
      <c r="U47" s="305"/>
      <c r="AA47" s="523"/>
      <c r="AB47" s="523"/>
    </row>
    <row r="48" spans="1:28" s="293" customFormat="1" ht="11.5" customHeight="1">
      <c r="A48" s="183"/>
      <c r="B48" s="183"/>
      <c r="C48" s="183"/>
      <c r="D48" s="183"/>
      <c r="E48" s="180"/>
      <c r="F48" s="185" t="s">
        <v>3777</v>
      </c>
      <c r="G48" s="183"/>
      <c r="H48" s="180"/>
      <c r="I48" s="180"/>
      <c r="J48" s="183" t="s">
        <v>1127</v>
      </c>
      <c r="K48" s="183"/>
      <c r="L48" s="183"/>
      <c r="M48" s="183"/>
      <c r="N48" s="183"/>
      <c r="O48" s="183"/>
      <c r="P48" s="180"/>
      <c r="Q48" s="4821">
        <v>6500</v>
      </c>
      <c r="R48" s="4822"/>
      <c r="S48" s="305"/>
      <c r="T48" s="305"/>
      <c r="U48" s="305"/>
      <c r="AA48" s="523"/>
      <c r="AB48" s="523"/>
    </row>
    <row r="49" spans="1:28" s="293" customFormat="1" ht="11.5" customHeight="1">
      <c r="A49" s="183"/>
      <c r="B49" s="183"/>
      <c r="C49" s="183"/>
      <c r="D49" s="183"/>
      <c r="E49" s="180"/>
      <c r="F49" s="185" t="s">
        <v>3777</v>
      </c>
      <c r="G49" s="183"/>
      <c r="H49" s="180"/>
      <c r="I49" s="180"/>
      <c r="J49" s="183" t="s">
        <v>1128</v>
      </c>
      <c r="K49" s="183"/>
      <c r="L49" s="183"/>
      <c r="M49" s="183"/>
      <c r="N49" s="183"/>
      <c r="O49" s="183"/>
      <c r="P49" s="180"/>
      <c r="Q49" s="4821">
        <v>5500</v>
      </c>
      <c r="R49" s="4822"/>
      <c r="S49" s="305"/>
      <c r="T49" s="305"/>
      <c r="U49" s="305"/>
      <c r="AA49" s="523"/>
      <c r="AB49" s="523"/>
    </row>
    <row r="50" spans="1:28" s="293" customFormat="1" ht="11.5" customHeight="1">
      <c r="A50" s="183"/>
      <c r="B50" s="183"/>
      <c r="C50" s="183"/>
      <c r="D50" s="183"/>
      <c r="E50" s="180"/>
      <c r="F50" s="185" t="s">
        <v>3057</v>
      </c>
      <c r="G50" s="183"/>
      <c r="H50" s="180"/>
      <c r="I50" s="180"/>
      <c r="J50" s="183"/>
      <c r="K50" s="183"/>
      <c r="L50" s="183"/>
      <c r="M50" s="183"/>
      <c r="N50" s="183"/>
      <c r="O50" s="183"/>
      <c r="P50" s="180"/>
      <c r="Q50" s="4821">
        <v>5500</v>
      </c>
      <c r="R50" s="4822"/>
      <c r="S50" s="305"/>
      <c r="T50" s="305"/>
      <c r="U50" s="305"/>
      <c r="AA50" s="523"/>
      <c r="AB50" s="523"/>
    </row>
    <row r="51" spans="1:28" s="293" customFormat="1" ht="11.5" customHeight="1">
      <c r="A51" s="183"/>
      <c r="B51" s="183"/>
      <c r="C51" s="183"/>
      <c r="D51" s="183"/>
      <c r="E51" s="180"/>
      <c r="F51" s="185"/>
      <c r="G51" s="183" t="s">
        <v>3775</v>
      </c>
      <c r="H51" s="180"/>
      <c r="I51" s="180"/>
      <c r="J51" s="183" t="s">
        <v>3776</v>
      </c>
      <c r="K51" s="183"/>
      <c r="L51" s="183"/>
      <c r="M51" s="183"/>
      <c r="N51" s="183"/>
      <c r="O51" s="183"/>
      <c r="P51" s="180"/>
      <c r="Q51" s="4821">
        <v>500</v>
      </c>
      <c r="R51" s="4822"/>
      <c r="S51" s="305"/>
      <c r="T51" s="305"/>
      <c r="U51" s="305"/>
      <c r="AA51" s="523"/>
      <c r="AB51" s="523"/>
    </row>
    <row r="52" spans="1:28" s="293" customFormat="1" ht="11.5" customHeight="1">
      <c r="A52" s="183"/>
      <c r="B52" s="183"/>
      <c r="C52" s="183"/>
      <c r="D52" s="183"/>
      <c r="E52" s="180"/>
      <c r="F52" s="185" t="s">
        <v>3319</v>
      </c>
      <c r="G52" s="183"/>
      <c r="H52" s="180"/>
      <c r="I52" s="180"/>
      <c r="J52" s="183"/>
      <c r="K52" s="183"/>
      <c r="L52" s="183"/>
      <c r="M52" s="183"/>
      <c r="N52" s="183"/>
      <c r="O52" s="183"/>
      <c r="P52" s="180"/>
      <c r="Q52" s="4821">
        <v>1500</v>
      </c>
      <c r="R52" s="4822"/>
      <c r="S52" s="305"/>
      <c r="T52" s="305"/>
      <c r="U52" s="305"/>
      <c r="AA52" s="523"/>
      <c r="AB52" s="523"/>
    </row>
    <row r="53" spans="1:28" s="293" customFormat="1" ht="11.5" customHeight="1">
      <c r="A53" s="183"/>
      <c r="C53" s="183"/>
      <c r="D53" s="180"/>
      <c r="E53" s="180"/>
      <c r="F53" s="185" t="s">
        <v>889</v>
      </c>
      <c r="H53" s="183"/>
      <c r="I53" s="180"/>
      <c r="J53" s="183" t="s">
        <v>890</v>
      </c>
      <c r="K53" s="183"/>
      <c r="L53" s="183"/>
      <c r="M53" s="183"/>
      <c r="N53" s="183"/>
      <c r="O53" s="183"/>
      <c r="P53" s="180"/>
      <c r="Q53" s="4855">
        <v>0.08</v>
      </c>
      <c r="R53" s="4855"/>
      <c r="S53" s="305"/>
      <c r="T53" s="305"/>
      <c r="U53" s="305"/>
      <c r="AA53" s="523"/>
      <c r="AB53" s="523"/>
    </row>
    <row r="54" spans="1:28" s="293" customFormat="1" ht="11.5" customHeight="1">
      <c r="A54" s="183"/>
      <c r="C54" s="183"/>
      <c r="D54" s="180"/>
      <c r="E54" s="180"/>
      <c r="F54" s="185" t="s">
        <v>6105</v>
      </c>
      <c r="H54" s="183"/>
      <c r="I54" s="180"/>
      <c r="J54" s="183" t="s">
        <v>890</v>
      </c>
      <c r="K54" s="183"/>
      <c r="L54" s="183"/>
      <c r="M54" s="183"/>
      <c r="N54" s="183"/>
      <c r="O54" s="183"/>
      <c r="P54" s="180"/>
      <c r="Q54" s="4855">
        <v>0.08</v>
      </c>
      <c r="R54" s="4855"/>
      <c r="S54" s="305"/>
      <c r="T54" s="305"/>
      <c r="U54" s="305"/>
      <c r="AA54" s="523"/>
      <c r="AB54" s="523"/>
    </row>
    <row r="55" spans="1:28" s="293" customFormat="1" ht="11.5" customHeight="1">
      <c r="A55" s="183"/>
      <c r="C55" s="183"/>
      <c r="D55" s="180"/>
      <c r="E55" s="180"/>
      <c r="F55" s="185" t="s">
        <v>3778</v>
      </c>
      <c r="H55" s="183"/>
      <c r="I55" s="180"/>
      <c r="J55" s="183"/>
      <c r="K55" s="183"/>
      <c r="L55" s="183"/>
      <c r="M55" s="183"/>
      <c r="N55" s="183"/>
      <c r="O55" s="183"/>
      <c r="P55" s="180"/>
      <c r="Q55" s="4821"/>
      <c r="R55" s="4822"/>
      <c r="S55" s="305"/>
      <c r="T55" s="305"/>
      <c r="U55" s="305"/>
      <c r="AA55" s="523"/>
      <c r="AB55" s="523"/>
    </row>
    <row r="56" spans="1:28" s="293" customFormat="1" ht="11.5" customHeight="1">
      <c r="A56" s="183"/>
      <c r="C56" s="183"/>
      <c r="D56" s="180"/>
      <c r="E56" s="180"/>
      <c r="F56" s="185" t="s">
        <v>3290</v>
      </c>
      <c r="H56" s="183"/>
      <c r="I56" s="180"/>
      <c r="J56" s="183"/>
      <c r="K56" s="183"/>
      <c r="L56" s="183"/>
      <c r="M56" s="183"/>
      <c r="N56" s="183"/>
      <c r="O56" s="183"/>
      <c r="P56" s="180"/>
      <c r="Q56" s="4821">
        <v>1500</v>
      </c>
      <c r="R56" s="4822"/>
      <c r="S56" s="305"/>
      <c r="T56" s="305"/>
      <c r="U56" s="305"/>
      <c r="AA56" s="523"/>
      <c r="AB56" s="523"/>
    </row>
    <row r="57" spans="1:28" s="293" customFormat="1" ht="11.5" customHeight="1">
      <c r="A57" s="183"/>
      <c r="C57" s="183"/>
      <c r="D57" s="180"/>
      <c r="E57" s="180"/>
      <c r="F57" s="183" t="s">
        <v>891</v>
      </c>
      <c r="H57" s="183" t="s">
        <v>1505</v>
      </c>
      <c r="I57" s="180"/>
      <c r="J57" s="183" t="s">
        <v>1433</v>
      </c>
      <c r="K57" s="183"/>
      <c r="L57" s="183"/>
      <c r="M57" s="183"/>
      <c r="N57" s="183"/>
      <c r="O57" s="183"/>
      <c r="P57" s="180"/>
      <c r="Q57" s="4821">
        <v>800</v>
      </c>
      <c r="R57" s="4822"/>
      <c r="S57" s="305"/>
      <c r="T57" s="305"/>
      <c r="U57" s="305"/>
      <c r="AA57" s="523"/>
      <c r="AB57" s="523"/>
    </row>
    <row r="58" spans="1:28" s="293" customFormat="1" ht="11.5" customHeight="1">
      <c r="A58" s="183"/>
      <c r="C58" s="183"/>
      <c r="D58" s="180"/>
      <c r="E58" s="180"/>
      <c r="F58" s="183"/>
      <c r="H58" s="183"/>
      <c r="I58" s="183" t="s">
        <v>3779</v>
      </c>
      <c r="J58" s="183" t="s">
        <v>1433</v>
      </c>
      <c r="K58" s="183"/>
      <c r="L58" s="183"/>
      <c r="M58" s="183"/>
      <c r="N58" s="183"/>
      <c r="O58" s="183"/>
      <c r="P58" s="180"/>
      <c r="Q58" s="4821">
        <v>1000</v>
      </c>
      <c r="R58" s="4822"/>
      <c r="S58" s="305"/>
      <c r="T58" s="305"/>
      <c r="U58" s="305"/>
      <c r="AA58" s="523"/>
      <c r="AB58" s="523"/>
    </row>
    <row r="59" spans="1:28" s="293" customFormat="1" ht="11.5" customHeight="1">
      <c r="A59" s="183"/>
      <c r="B59" s="183"/>
      <c r="C59" s="183"/>
      <c r="D59" s="180"/>
      <c r="E59" s="180"/>
      <c r="H59" s="185" t="s">
        <v>2448</v>
      </c>
      <c r="I59" s="315"/>
      <c r="J59" s="185" t="s">
        <v>1433</v>
      </c>
      <c r="K59" s="185" t="s">
        <v>3299</v>
      </c>
      <c r="L59" s="185"/>
      <c r="M59" s="185"/>
      <c r="N59" s="185"/>
      <c r="O59" s="185"/>
      <c r="P59" s="315"/>
      <c r="Q59" s="4821">
        <v>800</v>
      </c>
      <c r="R59" s="4822"/>
      <c r="S59" s="305"/>
      <c r="T59" s="305"/>
      <c r="U59" s="305"/>
      <c r="AA59" s="523"/>
      <c r="AB59" s="523"/>
    </row>
    <row r="60" spans="1:28" s="293" customFormat="1" ht="11.5" customHeight="1">
      <c r="A60" s="183"/>
      <c r="B60" s="183"/>
      <c r="C60" s="183"/>
      <c r="D60" s="180"/>
      <c r="E60" s="180"/>
      <c r="H60" s="183" t="s">
        <v>2514</v>
      </c>
      <c r="I60" s="180"/>
      <c r="J60" s="183" t="s">
        <v>2447</v>
      </c>
      <c r="K60" s="183"/>
      <c r="L60" s="183"/>
      <c r="M60" s="183"/>
      <c r="N60" s="183"/>
      <c r="O60" s="183"/>
      <c r="P60" s="180"/>
      <c r="Q60" s="4821">
        <v>1500</v>
      </c>
      <c r="R60" s="4822"/>
      <c r="S60" s="305"/>
      <c r="T60" s="305"/>
      <c r="U60" s="305"/>
      <c r="AA60" s="523"/>
      <c r="AB60" s="523"/>
    </row>
    <row r="61" spans="1:28" s="293" customFormat="1" ht="11.5" customHeight="1">
      <c r="A61" s="183"/>
      <c r="B61" s="183"/>
      <c r="C61" s="183"/>
      <c r="D61" s="180"/>
      <c r="E61" s="180"/>
      <c r="F61" s="183" t="s">
        <v>3414</v>
      </c>
      <c r="I61" s="180"/>
      <c r="J61" s="183" t="s">
        <v>3781</v>
      </c>
      <c r="K61" s="183"/>
      <c r="L61" s="183"/>
      <c r="M61" s="183"/>
      <c r="N61" s="183"/>
      <c r="O61" s="183"/>
      <c r="P61" s="180"/>
      <c r="Q61" s="4840">
        <v>750</v>
      </c>
      <c r="R61" s="4841"/>
      <c r="S61" s="305"/>
      <c r="T61" s="305"/>
      <c r="U61" s="305"/>
      <c r="AA61" s="523"/>
      <c r="AB61" s="523"/>
    </row>
    <row r="62" spans="1:28" s="293" customFormat="1" ht="11.5" customHeight="1">
      <c r="A62" s="183"/>
      <c r="B62" s="183"/>
      <c r="C62" s="183"/>
      <c r="D62" s="180"/>
      <c r="E62" s="180"/>
      <c r="F62" s="183" t="s">
        <v>3780</v>
      </c>
      <c r="I62" s="180"/>
      <c r="J62" s="183" t="s">
        <v>1639</v>
      </c>
      <c r="K62" s="183"/>
      <c r="L62" s="183"/>
      <c r="M62" s="183"/>
      <c r="N62" s="183"/>
      <c r="O62" s="183"/>
      <c r="P62" s="180"/>
      <c r="Q62" s="4821">
        <v>3000</v>
      </c>
      <c r="R62" s="4822"/>
      <c r="S62" s="305"/>
      <c r="T62" s="305"/>
      <c r="U62" s="305"/>
      <c r="AA62" s="523"/>
      <c r="AB62" s="523"/>
    </row>
    <row r="63" spans="1:28" s="293" customFormat="1" ht="11.5" customHeight="1">
      <c r="A63" s="183"/>
      <c r="B63" s="185"/>
      <c r="C63" s="183"/>
      <c r="D63" s="180"/>
      <c r="E63" s="180"/>
      <c r="F63" s="183" t="s">
        <v>3058</v>
      </c>
      <c r="I63" s="180"/>
      <c r="J63" s="183" t="s">
        <v>3059</v>
      </c>
      <c r="K63" s="183"/>
      <c r="L63" s="183" t="s">
        <v>2513</v>
      </c>
      <c r="M63" s="183"/>
      <c r="N63" s="183"/>
      <c r="O63" s="183"/>
      <c r="P63" s="180"/>
      <c r="Q63" s="4821">
        <v>75</v>
      </c>
      <c r="R63" s="4822"/>
      <c r="S63" s="305"/>
      <c r="T63" s="305"/>
      <c r="U63" s="305"/>
      <c r="AA63" s="523"/>
      <c r="AB63" s="523"/>
    </row>
    <row r="64" spans="1:28" customFormat="1" ht="11.25" customHeight="1">
      <c r="B64" s="183" t="s">
        <v>1726</v>
      </c>
      <c r="C64" s="27"/>
      <c r="F64" s="1634" t="s">
        <v>3916</v>
      </c>
      <c r="G64" s="1631"/>
      <c r="H64" s="1632"/>
      <c r="I64" s="27"/>
      <c r="J64" s="183" t="s">
        <v>3922</v>
      </c>
      <c r="K64" s="183" t="s">
        <v>3923</v>
      </c>
      <c r="L64" s="1641"/>
      <c r="M64" s="1641"/>
      <c r="N64" s="1641"/>
      <c r="O64" s="1640" t="s">
        <v>3917</v>
      </c>
    </row>
    <row r="65" spans="1:28" customFormat="1" ht="11.25" customHeight="1">
      <c r="B65" s="27"/>
      <c r="C65" s="27"/>
      <c r="F65" s="160"/>
      <c r="G65" s="27"/>
      <c r="H65" s="1635">
        <v>0.09</v>
      </c>
      <c r="I65" s="27"/>
      <c r="J65" s="1642">
        <v>1</v>
      </c>
      <c r="K65" s="1644">
        <v>50</v>
      </c>
      <c r="Q65" s="4824">
        <v>27500</v>
      </c>
      <c r="R65" s="4824"/>
    </row>
    <row r="66" spans="1:28" customFormat="1" ht="11.25" customHeight="1">
      <c r="B66" s="27"/>
      <c r="C66" s="27"/>
      <c r="F66" s="160"/>
      <c r="G66" s="27"/>
      <c r="H66" s="1636"/>
      <c r="I66" s="27"/>
      <c r="J66" s="1642">
        <v>51</v>
      </c>
      <c r="K66" s="1644">
        <v>70</v>
      </c>
      <c r="Q66" s="4823">
        <v>22000</v>
      </c>
      <c r="R66" s="4823"/>
    </row>
    <row r="67" spans="1:28" customFormat="1" ht="11.25" customHeight="1">
      <c r="B67" s="27"/>
      <c r="C67" s="27"/>
      <c r="F67" s="160"/>
      <c r="G67" s="27"/>
      <c r="H67" s="1943"/>
      <c r="I67" s="213"/>
      <c r="J67" s="1944">
        <v>71</v>
      </c>
      <c r="K67" s="1945"/>
      <c r="L67" s="1946"/>
      <c r="M67" s="1946"/>
      <c r="N67" s="1946"/>
      <c r="O67" s="1946"/>
      <c r="P67" s="1947"/>
      <c r="Q67" s="4825">
        <v>16500</v>
      </c>
      <c r="R67" s="4825"/>
    </row>
    <row r="68" spans="1:28" customFormat="1" ht="11.25" customHeight="1">
      <c r="B68" s="27"/>
      <c r="C68" s="27"/>
      <c r="F68" s="27"/>
      <c r="G68" s="27"/>
      <c r="H68" s="1948">
        <v>0.04</v>
      </c>
      <c r="I68" s="1949"/>
      <c r="J68" s="1950">
        <v>1</v>
      </c>
      <c r="K68" s="1950">
        <v>50</v>
      </c>
      <c r="L68" s="1951"/>
      <c r="M68" s="1951"/>
      <c r="N68" s="1951"/>
      <c r="O68" s="1951"/>
      <c r="P68" s="1952"/>
      <c r="Q68" s="4824">
        <v>27500</v>
      </c>
      <c r="R68" s="4824"/>
    </row>
    <row r="69" spans="1:28" customFormat="1" ht="11.25" customHeight="1">
      <c r="B69" s="27"/>
      <c r="C69" s="27"/>
      <c r="F69" s="27"/>
      <c r="G69" s="27"/>
      <c r="H69" s="1637"/>
      <c r="I69" s="27"/>
      <c r="J69" s="1642">
        <v>51</v>
      </c>
      <c r="K69" s="1644">
        <v>70</v>
      </c>
      <c r="Q69" s="4823">
        <v>22000</v>
      </c>
      <c r="R69" s="4823"/>
    </row>
    <row r="70" spans="1:28" customFormat="1" ht="11.25" customHeight="1">
      <c r="B70" s="27"/>
      <c r="C70" s="27"/>
      <c r="F70" s="27"/>
      <c r="G70" s="27"/>
      <c r="H70" s="1637"/>
      <c r="I70" s="27"/>
      <c r="J70" s="1642">
        <v>71</v>
      </c>
      <c r="K70" s="1643"/>
      <c r="Q70" s="4825">
        <v>16500</v>
      </c>
      <c r="R70" s="4825"/>
    </row>
    <row r="71" spans="1:28" customFormat="1" ht="11.25" customHeight="1">
      <c r="B71" s="27"/>
      <c r="C71" s="27"/>
      <c r="F71" s="1632" t="s">
        <v>3918</v>
      </c>
      <c r="G71" s="27"/>
      <c r="H71" s="1638"/>
      <c r="I71" s="1633"/>
    </row>
    <row r="72" spans="1:28" customFormat="1" ht="11.25" customHeight="1">
      <c r="B72" s="27"/>
      <c r="C72" s="27"/>
      <c r="F72" s="27"/>
      <c r="G72" s="27"/>
      <c r="H72" s="1639">
        <v>0.09</v>
      </c>
      <c r="I72" s="1632"/>
      <c r="J72" s="27"/>
      <c r="Q72" s="4839">
        <v>2000000</v>
      </c>
      <c r="R72" s="4839"/>
    </row>
    <row r="73" spans="1:28" customFormat="1" ht="11.25" customHeight="1">
      <c r="B73" s="27"/>
      <c r="C73" s="27"/>
      <c r="F73" s="27"/>
      <c r="G73" s="27"/>
      <c r="H73" s="1639">
        <v>0.04</v>
      </c>
      <c r="I73" s="1632"/>
      <c r="J73" s="27"/>
      <c r="Q73" s="4839">
        <v>3500000</v>
      </c>
      <c r="R73" s="4839"/>
    </row>
    <row r="74" spans="1:28" customFormat="1"/>
    <row r="75" spans="1:28" s="293" customFormat="1">
      <c r="A75" s="183"/>
      <c r="B75" s="183"/>
      <c r="C75" s="183"/>
      <c r="D75" s="180"/>
      <c r="E75" s="180"/>
      <c r="F75" s="183"/>
      <c r="G75" s="183"/>
      <c r="H75" s="183"/>
      <c r="I75" s="180"/>
      <c r="J75" s="183" t="s">
        <v>3041</v>
      </c>
      <c r="K75" s="183"/>
      <c r="L75" s="183"/>
      <c r="M75" s="183"/>
      <c r="N75" s="183"/>
      <c r="O75" s="183"/>
      <c r="P75" s="180"/>
      <c r="Q75" s="4837">
        <v>3500000</v>
      </c>
      <c r="R75" s="4838"/>
      <c r="S75" s="305"/>
      <c r="T75" s="305"/>
      <c r="U75" s="305"/>
      <c r="AA75" s="523"/>
      <c r="AB75" s="523"/>
    </row>
    <row r="76" spans="1:28" s="293" customFormat="1"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idden="1">
      <c r="A77" s="183"/>
      <c r="B77" s="409"/>
      <c r="C77" s="183"/>
      <c r="D77" s="180"/>
      <c r="E77" s="180"/>
      <c r="F77" s="183"/>
      <c r="G77" s="183"/>
      <c r="H77" s="183" t="s">
        <v>3165</v>
      </c>
      <c r="I77" s="183" t="s">
        <v>909</v>
      </c>
      <c r="J77" s="183" t="s">
        <v>911</v>
      </c>
      <c r="K77" s="183"/>
      <c r="L77" s="183"/>
      <c r="M77" s="183"/>
      <c r="N77" s="183"/>
      <c r="O77" s="183"/>
      <c r="P77" s="180"/>
      <c r="Q77" s="4826">
        <v>0.15</v>
      </c>
      <c r="R77" s="4827"/>
      <c r="S77" s="305"/>
      <c r="T77" s="305"/>
      <c r="U77" s="305"/>
      <c r="AA77" s="523"/>
      <c r="AB77" s="523"/>
    </row>
    <row r="78" spans="1:28" s="293" customFormat="1"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5" customHeight="1">
      <c r="A88" s="183"/>
      <c r="B88" s="185" t="s">
        <v>3087</v>
      </c>
      <c r="C88" s="183"/>
      <c r="D88" s="180"/>
      <c r="E88" s="183"/>
      <c r="F88" s="183"/>
      <c r="G88" s="183"/>
      <c r="H88" s="180"/>
      <c r="I88" s="180"/>
      <c r="J88" s="183" t="s">
        <v>1639</v>
      </c>
      <c r="K88" s="183"/>
      <c r="L88" s="183"/>
      <c r="M88" s="183"/>
      <c r="N88" s="183"/>
      <c r="O88" s="183"/>
      <c r="P88" s="180"/>
      <c r="Q88" s="4821">
        <v>3000</v>
      </c>
      <c r="R88" s="4822"/>
      <c r="S88" s="305"/>
      <c r="T88" s="305"/>
      <c r="U88" s="305"/>
      <c r="AA88" s="523"/>
      <c r="AB88" s="523"/>
    </row>
    <row r="89" spans="1:28" s="293" customFormat="1" ht="11.5" customHeight="1">
      <c r="A89" s="183"/>
      <c r="B89" s="183"/>
      <c r="C89" s="183"/>
      <c r="D89" s="180"/>
      <c r="E89" s="180"/>
      <c r="O89" s="183"/>
      <c r="T89" s="299"/>
      <c r="U89" s="180"/>
      <c r="V89" s="970"/>
      <c r="W89" s="970"/>
      <c r="X89" s="970"/>
      <c r="AA89" s="523"/>
      <c r="AB89" s="523"/>
    </row>
    <row r="90" spans="1:28" s="293" customFormat="1" ht="11.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5" customHeight="1">
      <c r="B94" s="307" t="s">
        <v>2221</v>
      </c>
      <c r="C94" s="151"/>
      <c r="D94" s="151"/>
      <c r="E94" s="151"/>
      <c r="F94" s="151"/>
      <c r="G94" s="151"/>
      <c r="J94" s="308">
        <v>1</v>
      </c>
      <c r="K94" s="308">
        <v>2</v>
      </c>
      <c r="L94" s="308">
        <v>3</v>
      </c>
      <c r="M94" s="308">
        <v>4</v>
      </c>
      <c r="N94" s="308">
        <v>5</v>
      </c>
      <c r="O94" s="308">
        <v>6</v>
      </c>
      <c r="P94" s="308">
        <v>7</v>
      </c>
      <c r="Q94" s="308">
        <v>8</v>
      </c>
    </row>
    <row r="95" spans="1:28" ht="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5" customHeight="1">
      <c r="A96" s="183"/>
      <c r="B96" s="183" t="s">
        <v>1641</v>
      </c>
      <c r="C96" s="183"/>
      <c r="D96" s="183"/>
      <c r="E96" s="183"/>
      <c r="F96" s="183"/>
      <c r="G96" s="183"/>
      <c r="H96" s="183"/>
      <c r="J96" s="183" t="s">
        <v>1642</v>
      </c>
      <c r="K96" s="183"/>
      <c r="L96" s="183"/>
      <c r="M96" s="183"/>
      <c r="N96" s="183"/>
      <c r="O96" s="183"/>
      <c r="Q96" s="4816">
        <v>0.02</v>
      </c>
      <c r="R96" s="4816"/>
      <c r="AA96" s="523"/>
      <c r="AB96" s="523"/>
    </row>
    <row r="97" spans="1:28" s="305" customFormat="1" ht="11.5" customHeight="1">
      <c r="A97" s="183"/>
      <c r="B97" s="183" t="s">
        <v>1643</v>
      </c>
      <c r="C97" s="183"/>
      <c r="D97" s="183"/>
      <c r="E97" s="183"/>
      <c r="F97" s="183"/>
      <c r="G97" s="183"/>
      <c r="H97" s="183"/>
      <c r="J97" s="183" t="s">
        <v>1642</v>
      </c>
      <c r="K97" s="183"/>
      <c r="L97" s="183"/>
      <c r="M97" s="183"/>
      <c r="N97" s="183"/>
      <c r="O97" s="183"/>
      <c r="Q97" s="4815">
        <v>7.0000000000000007E-2</v>
      </c>
      <c r="R97" s="4815"/>
      <c r="AA97" s="523"/>
      <c r="AB97" s="523"/>
    </row>
    <row r="98" spans="1:28" s="305" customFormat="1" ht="11.5" customHeight="1">
      <c r="A98" s="183"/>
      <c r="B98" s="183" t="s">
        <v>1644</v>
      </c>
      <c r="C98" s="183"/>
      <c r="D98" s="183"/>
      <c r="E98" s="183"/>
      <c r="F98" s="183"/>
      <c r="G98" s="183"/>
      <c r="H98" s="183"/>
      <c r="J98" s="183" t="s">
        <v>1642</v>
      </c>
      <c r="K98" s="183"/>
      <c r="L98" s="183"/>
      <c r="M98" s="183"/>
      <c r="N98" s="183"/>
      <c r="O98" s="183"/>
      <c r="Q98" s="4815">
        <v>7.0000000000000007E-2</v>
      </c>
      <c r="R98" s="4815"/>
      <c r="AA98" s="523"/>
      <c r="AB98" s="523"/>
    </row>
    <row r="99" spans="1:28" s="293" customFormat="1" ht="11.5" customHeight="1">
      <c r="A99" s="183"/>
      <c r="B99" s="183" t="s">
        <v>128</v>
      </c>
      <c r="C99" s="183"/>
      <c r="D99" s="180"/>
      <c r="E99" s="180"/>
      <c r="F99" s="180"/>
      <c r="G99" s="183"/>
      <c r="H99" s="180"/>
      <c r="I99" s="180"/>
      <c r="J99" s="183" t="s">
        <v>1642</v>
      </c>
      <c r="K99" s="183"/>
      <c r="L99" s="183"/>
      <c r="M99" s="183"/>
      <c r="N99" s="183"/>
      <c r="O99" s="183"/>
      <c r="P99" s="180"/>
      <c r="Q99" s="4815">
        <v>0.03</v>
      </c>
      <c r="R99" s="4815"/>
      <c r="S99" s="305"/>
      <c r="T99" s="305"/>
      <c r="U99" s="305"/>
      <c r="AA99" s="523"/>
      <c r="AB99" s="523"/>
    </row>
    <row r="100" spans="1:28" s="293" customFormat="1" ht="11.5" customHeight="1">
      <c r="A100" s="183"/>
      <c r="B100" s="183" t="s">
        <v>129</v>
      </c>
      <c r="C100" s="183"/>
      <c r="D100" s="180"/>
      <c r="E100" s="180"/>
      <c r="F100" s="180"/>
      <c r="G100" s="183"/>
      <c r="H100" s="180"/>
      <c r="I100" s="180"/>
      <c r="J100" s="183" t="s">
        <v>1642</v>
      </c>
      <c r="K100" s="183"/>
      <c r="L100" s="183"/>
      <c r="M100" s="183"/>
      <c r="N100" s="183"/>
      <c r="O100" s="183"/>
      <c r="P100" s="180"/>
      <c r="Q100" s="4815">
        <v>0.03</v>
      </c>
      <c r="R100" s="4815"/>
      <c r="S100" s="305"/>
      <c r="T100" s="305"/>
      <c r="U100" s="305"/>
      <c r="AA100" s="523"/>
      <c r="AB100" s="523"/>
    </row>
    <row r="101" spans="1:28" s="293" customFormat="1" ht="11.5" customHeight="1">
      <c r="A101" s="183"/>
      <c r="B101" s="183" t="s">
        <v>130</v>
      </c>
      <c r="C101" s="183"/>
      <c r="D101" s="180"/>
      <c r="E101" s="180"/>
      <c r="F101" s="180"/>
      <c r="G101" s="183"/>
      <c r="H101" s="180"/>
      <c r="I101" s="180"/>
      <c r="J101" s="183" t="s">
        <v>1642</v>
      </c>
      <c r="K101" s="183"/>
      <c r="L101" s="183"/>
      <c r="M101" s="183"/>
      <c r="N101" s="183"/>
      <c r="O101" s="183"/>
      <c r="P101" s="180"/>
      <c r="Q101" s="4808">
        <v>0</v>
      </c>
      <c r="R101" s="4808"/>
      <c r="S101" s="305"/>
      <c r="T101" s="305"/>
      <c r="U101" s="305"/>
      <c r="AA101" s="523"/>
      <c r="AB101" s="523"/>
    </row>
    <row r="102" spans="1:28" s="293" customFormat="1" ht="4.25"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5" customHeight="1">
      <c r="A103" s="298" t="s">
        <v>2444</v>
      </c>
      <c r="B103" s="183"/>
      <c r="C103" s="183"/>
      <c r="D103" s="180"/>
      <c r="E103" s="180"/>
      <c r="F103" s="183" t="s">
        <v>478</v>
      </c>
      <c r="G103" s="183" t="s">
        <v>2394</v>
      </c>
      <c r="I103" s="180"/>
      <c r="J103" s="183" t="s">
        <v>2446</v>
      </c>
      <c r="K103" s="183"/>
      <c r="L103" s="183"/>
      <c r="M103" s="183"/>
      <c r="N103" s="183"/>
      <c r="O103" s="183"/>
      <c r="P103" s="180"/>
      <c r="Q103" s="4816">
        <v>0.1</v>
      </c>
      <c r="R103" s="4816"/>
      <c r="S103" s="180"/>
      <c r="T103" s="180"/>
      <c r="U103" s="180"/>
      <c r="V103" s="916"/>
      <c r="W103" s="916"/>
      <c r="X103" s="184"/>
      <c r="AA103" s="523"/>
      <c r="AB103" s="523"/>
    </row>
    <row r="104" spans="1:28" s="293" customFormat="1" ht="11.5" customHeight="1">
      <c r="A104" s="298"/>
      <c r="B104" s="183"/>
      <c r="C104" s="183"/>
      <c r="D104" s="180"/>
      <c r="E104" s="180"/>
      <c r="F104" s="183"/>
      <c r="G104" s="183" t="s">
        <v>3308</v>
      </c>
      <c r="I104" s="180"/>
      <c r="J104" s="183" t="s">
        <v>3309</v>
      </c>
      <c r="K104" s="183"/>
      <c r="L104" s="183"/>
      <c r="M104" s="183"/>
      <c r="N104" s="183"/>
      <c r="O104" s="183"/>
      <c r="P104" s="180"/>
      <c r="Q104" s="4817">
        <v>1150000</v>
      </c>
      <c r="R104" s="4817"/>
      <c r="S104" s="180"/>
      <c r="T104" s="180"/>
      <c r="U104" s="180"/>
      <c r="V104" s="916"/>
      <c r="W104" s="916"/>
      <c r="X104" s="184"/>
      <c r="AA104" s="523"/>
      <c r="AB104" s="523"/>
    </row>
    <row r="105" spans="1:28" s="293" customFormat="1" ht="11.5" customHeight="1">
      <c r="A105" s="183"/>
      <c r="B105" s="183"/>
      <c r="C105" s="183"/>
      <c r="D105" s="180"/>
      <c r="E105" s="180"/>
      <c r="F105" s="183"/>
      <c r="G105" s="183" t="s">
        <v>6508</v>
      </c>
      <c r="H105" s="183" t="s">
        <v>6101</v>
      </c>
      <c r="J105" s="183" t="s">
        <v>6519</v>
      </c>
      <c r="K105" s="183"/>
      <c r="L105" s="183"/>
      <c r="M105" s="183"/>
      <c r="O105" s="183" t="s">
        <v>6513</v>
      </c>
      <c r="P105" s="180"/>
      <c r="Q105" s="4817">
        <v>1150000</v>
      </c>
      <c r="R105" s="4817"/>
      <c r="S105" s="299"/>
      <c r="T105" s="299"/>
      <c r="U105" s="180"/>
      <c r="V105" s="970"/>
      <c r="W105" s="970"/>
      <c r="X105" s="970"/>
      <c r="AA105" s="523"/>
      <c r="AB105" s="523"/>
    </row>
    <row r="106" spans="1:28" s="293" customFormat="1" ht="11.5" customHeight="1">
      <c r="A106" s="183"/>
      <c r="B106" s="183"/>
      <c r="C106" s="183"/>
      <c r="D106" s="180"/>
      <c r="E106" s="180"/>
      <c r="F106" s="183"/>
      <c r="G106" s="183"/>
      <c r="H106" s="183" t="s">
        <v>6511</v>
      </c>
      <c r="I106" s="180"/>
      <c r="J106" s="183" t="s">
        <v>6519</v>
      </c>
      <c r="K106" s="183"/>
      <c r="O106" s="183" t="s">
        <v>6514</v>
      </c>
      <c r="Q106" s="4817">
        <v>1035000</v>
      </c>
      <c r="R106" s="4817"/>
      <c r="S106" s="299"/>
      <c r="T106" s="299"/>
      <c r="U106" s="180"/>
      <c r="V106" s="970"/>
      <c r="W106" s="970"/>
      <c r="X106" s="970"/>
      <c r="AA106" s="523"/>
      <c r="AB106" s="523"/>
    </row>
    <row r="107" spans="1:28" s="293" customFormat="1" ht="11.5" customHeight="1">
      <c r="A107" s="183"/>
      <c r="B107" s="183"/>
      <c r="C107" s="183"/>
      <c r="D107" s="180"/>
      <c r="E107" s="180"/>
      <c r="F107" s="183"/>
      <c r="G107" s="183"/>
      <c r="H107" s="183" t="s">
        <v>6509</v>
      </c>
      <c r="I107" s="180"/>
      <c r="J107" s="183" t="s">
        <v>6519</v>
      </c>
      <c r="K107" s="183"/>
      <c r="O107" s="183" t="s">
        <v>6513</v>
      </c>
      <c r="Q107" s="4835">
        <v>1035000</v>
      </c>
      <c r="R107" s="4836"/>
      <c r="S107" s="299"/>
      <c r="T107" s="299"/>
      <c r="U107" s="180"/>
      <c r="V107" s="970"/>
      <c r="W107" s="970"/>
      <c r="X107" s="970"/>
      <c r="AA107" s="523"/>
      <c r="AB107" s="523"/>
    </row>
    <row r="108" spans="1:28" s="293" customFormat="1" ht="11.5" customHeight="1">
      <c r="A108" s="183"/>
      <c r="B108" s="183"/>
      <c r="C108" s="183"/>
      <c r="D108" s="180"/>
      <c r="E108" s="180"/>
      <c r="F108" s="183"/>
      <c r="G108" s="183" t="s">
        <v>3773</v>
      </c>
      <c r="I108" s="180"/>
      <c r="J108" s="183" t="s">
        <v>6519</v>
      </c>
      <c r="K108" s="183"/>
      <c r="L108" s="183"/>
      <c r="M108" s="183"/>
      <c r="O108" s="183" t="s">
        <v>6515</v>
      </c>
      <c r="P108" s="180"/>
      <c r="Q108" s="4830">
        <v>1150000</v>
      </c>
      <c r="R108" s="4830"/>
      <c r="S108" s="299"/>
      <c r="T108" s="299"/>
      <c r="U108" s="180"/>
      <c r="V108" s="970"/>
      <c r="W108" s="970"/>
      <c r="X108" s="970"/>
      <c r="AA108" s="523"/>
      <c r="AB108" s="523"/>
    </row>
    <row r="109" spans="1:28" s="293" customFormat="1" ht="11.5" customHeight="1">
      <c r="A109" s="183"/>
      <c r="B109" s="183"/>
      <c r="C109" s="183"/>
      <c r="D109" s="180"/>
      <c r="E109" s="180"/>
      <c r="G109" s="183" t="s">
        <v>6518</v>
      </c>
      <c r="H109" s="183"/>
      <c r="I109" s="180"/>
      <c r="J109" s="183" t="s">
        <v>6520</v>
      </c>
      <c r="K109" s="183"/>
      <c r="L109" s="183"/>
      <c r="M109" s="183"/>
      <c r="N109" s="183"/>
      <c r="O109" s="183"/>
      <c r="P109" s="180"/>
      <c r="Q109" s="4831"/>
      <c r="R109" s="4832"/>
      <c r="S109" s="299"/>
      <c r="T109" s="299"/>
      <c r="U109" s="180"/>
      <c r="V109" s="970"/>
      <c r="W109" s="970"/>
      <c r="X109" s="970"/>
      <c r="AA109" s="523"/>
      <c r="AB109" s="523"/>
    </row>
    <row r="110" spans="1:28" s="293" customFormat="1" ht="11.5" customHeight="1">
      <c r="A110" s="183"/>
      <c r="B110" s="183"/>
      <c r="C110" s="183"/>
      <c r="D110" s="180"/>
      <c r="E110" s="180"/>
      <c r="F110" s="183" t="s">
        <v>2219</v>
      </c>
      <c r="G110" s="183" t="s">
        <v>2445</v>
      </c>
      <c r="I110" s="180"/>
      <c r="J110" s="183" t="s">
        <v>3315</v>
      </c>
      <c r="K110" s="183"/>
      <c r="L110" s="183"/>
      <c r="M110" s="183"/>
      <c r="N110" s="183"/>
      <c r="O110" s="183"/>
      <c r="P110" s="180"/>
      <c r="Q110" s="4828">
        <v>4000000</v>
      </c>
      <c r="R110" s="4828"/>
      <c r="S110" s="299"/>
      <c r="T110" s="299"/>
      <c r="U110" s="180"/>
      <c r="V110" s="970"/>
      <c r="W110" s="970"/>
      <c r="X110" s="970"/>
      <c r="AA110" s="523"/>
      <c r="AB110" s="523"/>
    </row>
    <row r="111" spans="1:28" s="293" customFormat="1" ht="11.5" customHeight="1">
      <c r="A111" s="183"/>
      <c r="B111" s="183"/>
      <c r="C111" s="183"/>
      <c r="D111" s="180"/>
      <c r="E111" s="180"/>
      <c r="F111" s="183"/>
      <c r="G111" s="183" t="s">
        <v>6517</v>
      </c>
      <c r="H111" s="180"/>
      <c r="I111" s="180"/>
      <c r="J111" s="183" t="s">
        <v>6519</v>
      </c>
      <c r="K111" s="183"/>
      <c r="O111" s="183" t="s">
        <v>6513</v>
      </c>
      <c r="Q111" s="4833">
        <v>1035000</v>
      </c>
      <c r="R111" s="4834"/>
      <c r="S111" s="299"/>
      <c r="T111" s="299"/>
      <c r="U111" s="180"/>
      <c r="V111" s="970"/>
      <c r="W111" s="970"/>
      <c r="X111" s="970"/>
      <c r="AA111" s="523"/>
      <c r="AB111" s="523"/>
    </row>
    <row r="112" spans="1:28" ht="12.75" customHeight="1">
      <c r="A112" s="298" t="s">
        <v>2512</v>
      </c>
      <c r="J112" s="183" t="s">
        <v>2446</v>
      </c>
      <c r="Q112" s="4809" t="s">
        <v>6104</v>
      </c>
      <c r="R112" s="4809"/>
    </row>
    <row r="113" spans="1:28" ht="11.25" customHeight="1">
      <c r="F113" s="183" t="s">
        <v>2393</v>
      </c>
      <c r="G113" s="183"/>
      <c r="H113" s="183" t="s">
        <v>6103</v>
      </c>
      <c r="I113" s="180"/>
      <c r="J113" s="4816">
        <v>0.35</v>
      </c>
      <c r="K113" s="4816"/>
      <c r="L113" s="183"/>
      <c r="M113" s="183"/>
      <c r="N113" s="183"/>
      <c r="O113" s="183"/>
      <c r="P113" s="180"/>
      <c r="Q113" s="4828">
        <v>1035000</v>
      </c>
      <c r="R113" s="4828"/>
    </row>
    <row r="114" spans="1:28" ht="11.25" customHeight="1">
      <c r="A114" s="298"/>
      <c r="F114" s="183" t="s">
        <v>6102</v>
      </c>
      <c r="G114" s="183"/>
      <c r="H114" s="183" t="s">
        <v>6103</v>
      </c>
      <c r="I114" s="180"/>
      <c r="J114" s="4815">
        <v>0.35</v>
      </c>
      <c r="K114" s="4815"/>
      <c r="L114" s="183"/>
      <c r="M114" s="183"/>
      <c r="N114" s="183"/>
      <c r="O114" s="183"/>
      <c r="P114" s="180"/>
      <c r="Q114" s="4817">
        <v>1150000</v>
      </c>
      <c r="R114" s="4817"/>
    </row>
    <row r="115" spans="1:28" s="293" customFormat="1" ht="11.25" customHeight="1">
      <c r="A115" s="298"/>
      <c r="B115" s="183"/>
      <c r="C115" s="183"/>
      <c r="D115" s="180"/>
      <c r="E115" s="180"/>
      <c r="F115" s="183" t="s">
        <v>3023</v>
      </c>
      <c r="G115" s="183"/>
      <c r="H115" s="183" t="s">
        <v>6103</v>
      </c>
      <c r="I115" s="180"/>
      <c r="J115" s="4808">
        <v>0.3</v>
      </c>
      <c r="K115" s="4808"/>
      <c r="L115" s="183"/>
      <c r="M115" s="183"/>
      <c r="N115" s="183"/>
      <c r="O115" s="183"/>
      <c r="P115" s="180"/>
      <c r="Q115" s="4829">
        <v>1150000</v>
      </c>
      <c r="R115" s="4829"/>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16">
        <v>0.05</v>
      </c>
      <c r="R117" s="4816"/>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15">
        <v>0.4</v>
      </c>
      <c r="R118" s="4815"/>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08">
        <v>0.02</v>
      </c>
      <c r="R119" s="4808"/>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25" customHeight="1">
      <c r="C121" s="183"/>
      <c r="D121" s="180"/>
      <c r="E121" s="309"/>
      <c r="F121" s="309"/>
      <c r="G121" s="309"/>
      <c r="H121" s="309"/>
      <c r="I121" s="309"/>
    </row>
    <row r="122" spans="1:28">
      <c r="C122" s="183"/>
      <c r="D122" s="180"/>
      <c r="J122" s="406" t="s">
        <v>748</v>
      </c>
      <c r="K122" s="406"/>
      <c r="L122" s="291"/>
    </row>
    <row r="123" spans="1:28">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8" t="s">
        <v>3403</v>
      </c>
      <c r="E132" s="305"/>
      <c r="F132" s="305"/>
    </row>
    <row r="133" spans="2:37" ht="10.5" customHeight="1">
      <c r="C133" s="4818"/>
      <c r="E133" s="305"/>
      <c r="F133" s="305"/>
    </row>
    <row r="134" spans="2:37" ht="10.5" customHeight="1">
      <c r="C134" s="4818"/>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3304</v>
      </c>
      <c r="O135" s="566" t="s">
        <v>3493</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3494</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3495</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3496</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6731</v>
      </c>
      <c r="J139" s="996" t="s">
        <v>2401</v>
      </c>
      <c r="K139" s="994" t="s">
        <v>6732</v>
      </c>
      <c r="L139" s="995" t="s">
        <v>399</v>
      </c>
      <c r="M139" s="2648" t="s">
        <v>1123</v>
      </c>
      <c r="N139" s="1111" t="s">
        <v>1658</v>
      </c>
      <c r="O139" s="1271" t="s">
        <v>3497</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3498</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3499</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6733</v>
      </c>
      <c r="L142" s="995" t="s">
        <v>399</v>
      </c>
      <c r="M142" s="2648" t="s">
        <v>1123</v>
      </c>
      <c r="N142" s="1111" t="s">
        <v>1132</v>
      </c>
      <c r="O142" s="1271" t="s">
        <v>3500</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6733</v>
      </c>
      <c r="L143" s="995" t="s">
        <v>399</v>
      </c>
      <c r="M143" s="2648" t="s">
        <v>1123</v>
      </c>
      <c r="N143" s="1111" t="s">
        <v>1132</v>
      </c>
      <c r="O143" s="1271" t="s">
        <v>3501</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3502</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3503</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6734</v>
      </c>
      <c r="L146" s="995" t="s">
        <v>399</v>
      </c>
      <c r="M146" s="2648" t="s">
        <v>1123</v>
      </c>
      <c r="N146" s="1111" t="s">
        <v>1243</v>
      </c>
      <c r="O146" s="1271" t="s">
        <v>3504</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3505</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3506</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3507</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3508</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3509</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6735</v>
      </c>
      <c r="L152" s="995" t="s">
        <v>399</v>
      </c>
      <c r="M152" s="2648" t="s">
        <v>2393</v>
      </c>
      <c r="N152" s="1111" t="s">
        <v>1253</v>
      </c>
      <c r="O152" s="1271" t="s">
        <v>3510</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3511</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3512</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3513</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3514</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6733</v>
      </c>
      <c r="L157" s="995" t="s">
        <v>399</v>
      </c>
      <c r="M157" s="2648" t="s">
        <v>1123</v>
      </c>
      <c r="N157" s="1111" t="s">
        <v>1132</v>
      </c>
      <c r="O157" s="1271" t="s">
        <v>3515</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3516</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3517</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3518</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6736</v>
      </c>
      <c r="L161" s="995" t="s">
        <v>399</v>
      </c>
      <c r="M161" s="2648" t="s">
        <v>2393</v>
      </c>
      <c r="N161" s="1111" t="s">
        <v>154</v>
      </c>
      <c r="O161" s="1271" t="s">
        <v>3519</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3520</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6733</v>
      </c>
      <c r="L163" s="995" t="s">
        <v>399</v>
      </c>
      <c r="M163" s="2648" t="s">
        <v>1123</v>
      </c>
      <c r="N163" s="1111" t="s">
        <v>1132</v>
      </c>
      <c r="O163" s="1271" t="s">
        <v>3521</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3522</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3523</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6733</v>
      </c>
      <c r="L166" s="995" t="s">
        <v>399</v>
      </c>
      <c r="M166" s="2648" t="s">
        <v>1123</v>
      </c>
      <c r="N166" s="1111" t="s">
        <v>1132</v>
      </c>
      <c r="O166" s="1271" t="s">
        <v>3524</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3525</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6733</v>
      </c>
      <c r="L168" s="995" t="s">
        <v>399</v>
      </c>
      <c r="M168" s="2648" t="s">
        <v>1123</v>
      </c>
      <c r="N168" s="1111" t="s">
        <v>1132</v>
      </c>
      <c r="O168" s="1271" t="s">
        <v>3526</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3527</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3528</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6735</v>
      </c>
      <c r="L171" s="995" t="s">
        <v>399</v>
      </c>
      <c r="M171" s="2648" t="s">
        <v>2393</v>
      </c>
      <c r="N171" s="1111" t="s">
        <v>1253</v>
      </c>
      <c r="O171" s="1271" t="s">
        <v>3529</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3530</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6733</v>
      </c>
      <c r="L173" s="995" t="s">
        <v>399</v>
      </c>
      <c r="M173" s="2648" t="s">
        <v>1123</v>
      </c>
      <c r="N173" s="1111" t="s">
        <v>1132</v>
      </c>
      <c r="O173" s="1271" t="s">
        <v>3531</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6734</v>
      </c>
      <c r="L174" s="995" t="s">
        <v>399</v>
      </c>
      <c r="M174" s="2648" t="s">
        <v>2393</v>
      </c>
      <c r="N174" s="1111" t="s">
        <v>1243</v>
      </c>
      <c r="O174" s="1271" t="s">
        <v>3532</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3533</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3534</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6733</v>
      </c>
      <c r="L177" s="995" t="s">
        <v>399</v>
      </c>
      <c r="M177" s="2648" t="s">
        <v>1123</v>
      </c>
      <c r="N177" s="1111" t="s">
        <v>1132</v>
      </c>
      <c r="O177" s="1271" t="s">
        <v>3535</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3536</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6733</v>
      </c>
      <c r="L179" s="995" t="s">
        <v>399</v>
      </c>
      <c r="M179" s="2648" t="s">
        <v>1123</v>
      </c>
      <c r="N179" s="1111" t="s">
        <v>1132</v>
      </c>
      <c r="O179" s="1271" t="s">
        <v>3537</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3538</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3539</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3540</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6733</v>
      </c>
      <c r="L183" s="995" t="s">
        <v>399</v>
      </c>
      <c r="M183" s="2648" t="s">
        <v>1123</v>
      </c>
      <c r="N183" s="1111" t="s">
        <v>1132</v>
      </c>
      <c r="O183" s="1271" t="s">
        <v>3541</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3542</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3543</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3544</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3545</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3546</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3547</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3548</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6733</v>
      </c>
      <c r="L191" s="995" t="s">
        <v>399</v>
      </c>
      <c r="M191" s="2648" t="s">
        <v>1123</v>
      </c>
      <c r="N191" s="1111" t="s">
        <v>1132</v>
      </c>
      <c r="O191" s="1271" t="s">
        <v>3549</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3550</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6733</v>
      </c>
      <c r="L193" s="995" t="s">
        <v>399</v>
      </c>
      <c r="M193" s="2648" t="s">
        <v>1123</v>
      </c>
      <c r="N193" s="1111" t="s">
        <v>1132</v>
      </c>
      <c r="O193" s="1271" t="s">
        <v>3551</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3552</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6733</v>
      </c>
      <c r="L195" s="995" t="s">
        <v>399</v>
      </c>
      <c r="M195" s="2648" t="s">
        <v>1123</v>
      </c>
      <c r="N195" s="1111" t="s">
        <v>1132</v>
      </c>
      <c r="O195" s="1271" t="s">
        <v>3553</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3554</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3555</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3556</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3557</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3558</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3559</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6733</v>
      </c>
      <c r="L202" s="995" t="s">
        <v>399</v>
      </c>
      <c r="M202" s="2648" t="s">
        <v>1123</v>
      </c>
      <c r="N202" s="1111" t="s">
        <v>1132</v>
      </c>
      <c r="O202" s="1271" t="s">
        <v>3560</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3561</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3562</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3563</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3564</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6736</v>
      </c>
      <c r="L207" s="995" t="s">
        <v>399</v>
      </c>
      <c r="M207" s="2648" t="s">
        <v>2393</v>
      </c>
      <c r="N207" s="1111" t="s">
        <v>154</v>
      </c>
      <c r="O207" s="1271" t="s">
        <v>3565</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3566</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6733</v>
      </c>
      <c r="L209" s="995" t="s">
        <v>399</v>
      </c>
      <c r="M209" s="2648" t="s">
        <v>1123</v>
      </c>
      <c r="N209" s="1111" t="s">
        <v>1132</v>
      </c>
      <c r="O209" s="1271" t="s">
        <v>3567</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6733</v>
      </c>
      <c r="L210" s="995" t="s">
        <v>399</v>
      </c>
      <c r="M210" s="2648" t="s">
        <v>1123</v>
      </c>
      <c r="N210" s="1111" t="s">
        <v>1132</v>
      </c>
      <c r="O210" s="1271" t="s">
        <v>3568</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6737</v>
      </c>
      <c r="L211" s="995" t="s">
        <v>399</v>
      </c>
      <c r="M211" s="2649" t="s">
        <v>1123</v>
      </c>
      <c r="N211" s="1112" t="s">
        <v>1243</v>
      </c>
      <c r="O211" s="1271" t="s">
        <v>3569</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3570</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3571</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6733</v>
      </c>
      <c r="L214" s="995" t="s">
        <v>399</v>
      </c>
      <c r="M214" s="2648" t="s">
        <v>1123</v>
      </c>
      <c r="N214" s="1111" t="s">
        <v>1132</v>
      </c>
      <c r="O214" s="1271" t="s">
        <v>3572</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3573</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3574</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3575</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3576</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6734</v>
      </c>
      <c r="L219" s="995" t="s">
        <v>399</v>
      </c>
      <c r="M219" s="2648" t="s">
        <v>2393</v>
      </c>
      <c r="N219" s="1111" t="s">
        <v>1243</v>
      </c>
      <c r="O219" s="1271" t="s">
        <v>3577</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3578</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3579</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3580</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3581</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6738</v>
      </c>
      <c r="L224" s="995" t="s">
        <v>399</v>
      </c>
      <c r="M224" s="2649" t="s">
        <v>1123</v>
      </c>
      <c r="N224" s="1112" t="s">
        <v>1249</v>
      </c>
      <c r="O224" s="1271" t="s">
        <v>3582</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3233</v>
      </c>
      <c r="L225" s="995" t="s">
        <v>399</v>
      </c>
      <c r="M225" s="2649" t="s">
        <v>2393</v>
      </c>
      <c r="N225" s="1112" t="s">
        <v>1253</v>
      </c>
      <c r="O225" s="1271" t="s">
        <v>3583</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3584</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3585</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3586</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3587</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3588</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6736</v>
      </c>
      <c r="L231" s="995" t="s">
        <v>399</v>
      </c>
      <c r="M231" s="2648" t="s">
        <v>2393</v>
      </c>
      <c r="N231" s="1111" t="s">
        <v>154</v>
      </c>
      <c r="O231" s="1271" t="s">
        <v>3589</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6735</v>
      </c>
      <c r="L232" s="995" t="s">
        <v>399</v>
      </c>
      <c r="M232" s="2648" t="s">
        <v>2393</v>
      </c>
      <c r="N232" s="1111" t="s">
        <v>1253</v>
      </c>
      <c r="O232" s="1271" t="s">
        <v>3590</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3591</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3592</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3593</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3594</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3595</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3596</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3232</v>
      </c>
      <c r="L239" s="995" t="s">
        <v>399</v>
      </c>
      <c r="M239" s="2649" t="s">
        <v>2393</v>
      </c>
      <c r="N239" s="1112" t="s">
        <v>1132</v>
      </c>
      <c r="O239" s="1271" t="s">
        <v>3597</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3598</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6736</v>
      </c>
      <c r="L241" s="995" t="s">
        <v>399</v>
      </c>
      <c r="M241" s="2649" t="s">
        <v>1123</v>
      </c>
      <c r="N241" s="1112" t="s">
        <v>154</v>
      </c>
      <c r="O241" s="1271" t="s">
        <v>3599</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6733</v>
      </c>
      <c r="L242" s="995" t="s">
        <v>399</v>
      </c>
      <c r="M242" s="2648" t="s">
        <v>1123</v>
      </c>
      <c r="N242" s="1111" t="s">
        <v>1132</v>
      </c>
      <c r="O242" s="1271" t="s">
        <v>3600</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3601</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3602</v>
      </c>
      <c r="P244" s="568" t="s">
        <v>2150</v>
      </c>
      <c r="Q244" s="313"/>
      <c r="R244" s="183"/>
      <c r="S244" s="414"/>
      <c r="T244" s="515" t="s">
        <v>3782</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6733</v>
      </c>
      <c r="L245" s="995" t="s">
        <v>399</v>
      </c>
      <c r="M245" s="2648" t="s">
        <v>1123</v>
      </c>
      <c r="N245" s="1111" t="s">
        <v>1132</v>
      </c>
      <c r="O245" s="1271" t="s">
        <v>3603</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6739</v>
      </c>
      <c r="L246" s="995" t="s">
        <v>399</v>
      </c>
      <c r="M246" s="2649" t="s">
        <v>2393</v>
      </c>
      <c r="N246" s="1112" t="s">
        <v>1243</v>
      </c>
      <c r="O246" s="1271" t="s">
        <v>3604</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6733</v>
      </c>
      <c r="L247" s="995" t="s">
        <v>399</v>
      </c>
      <c r="M247" s="2648" t="s">
        <v>1123</v>
      </c>
      <c r="N247" s="1111" t="s">
        <v>1132</v>
      </c>
      <c r="O247" s="1271" t="s">
        <v>3605</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3606</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6733</v>
      </c>
      <c r="L249" s="995" t="s">
        <v>399</v>
      </c>
      <c r="M249" s="2648" t="s">
        <v>1123</v>
      </c>
      <c r="N249" s="1111" t="s">
        <v>1132</v>
      </c>
      <c r="O249" s="1271" t="s">
        <v>3607</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3608</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3609</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3610</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3611</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3612</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3613</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6735</v>
      </c>
      <c r="L256" s="995" t="s">
        <v>399</v>
      </c>
      <c r="M256" s="2649" t="s">
        <v>1123</v>
      </c>
      <c r="N256" s="1112" t="s">
        <v>1253</v>
      </c>
      <c r="O256" s="1271" t="s">
        <v>3614</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6733</v>
      </c>
      <c r="L257" s="995" t="s">
        <v>399</v>
      </c>
      <c r="M257" s="2648" t="s">
        <v>1123</v>
      </c>
      <c r="N257" s="1111" t="s">
        <v>1132</v>
      </c>
      <c r="O257" s="1271" t="s">
        <v>3615</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3616</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3617</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3618</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3619</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6733</v>
      </c>
      <c r="L262" s="995" t="s">
        <v>399</v>
      </c>
      <c r="M262" s="2648" t="s">
        <v>1123</v>
      </c>
      <c r="N262" s="1112" t="s">
        <v>1132</v>
      </c>
      <c r="O262" s="1271" t="s">
        <v>3620</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3621</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6740</v>
      </c>
      <c r="L264" s="995" t="s">
        <v>398</v>
      </c>
      <c r="M264" s="2649" t="s">
        <v>2393</v>
      </c>
      <c r="N264" s="1112" t="s">
        <v>154</v>
      </c>
      <c r="O264" s="1271" t="s">
        <v>3622</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3623</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6741</v>
      </c>
      <c r="L266" s="995" t="s">
        <v>398</v>
      </c>
      <c r="M266" s="2649" t="s">
        <v>2393</v>
      </c>
      <c r="N266" s="1112" t="s">
        <v>154</v>
      </c>
      <c r="O266" s="1271" t="s">
        <v>3624</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3625</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3626</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3627</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3628</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3629</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3630</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3631</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3632</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3633</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3634</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3635</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3636</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6734</v>
      </c>
      <c r="L279" s="995" t="s">
        <v>399</v>
      </c>
      <c r="M279" s="2648" t="s">
        <v>2393</v>
      </c>
      <c r="N279" s="1112" t="s">
        <v>1243</v>
      </c>
      <c r="O279" s="1271" t="s">
        <v>3637</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3638</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3639</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3640</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6733</v>
      </c>
      <c r="L283" s="995" t="s">
        <v>399</v>
      </c>
      <c r="M283" s="2648" t="s">
        <v>1123</v>
      </c>
      <c r="N283" s="1111" t="s">
        <v>1132</v>
      </c>
      <c r="O283" s="1271" t="s">
        <v>3641</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3642</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3643</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3644</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3645</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3646</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3647</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3648</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3649</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3650</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3651</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3652</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3653</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10">
        <v>2019</v>
      </c>
      <c r="D297" s="4811"/>
      <c r="E297" s="4811"/>
      <c r="F297" s="4811"/>
      <c r="G297" s="4810">
        <v>2020</v>
      </c>
      <c r="H297" s="4810"/>
      <c r="I297" s="4810"/>
      <c r="J297" s="4810"/>
      <c r="K297"/>
      <c r="L297" s="4812" t="s">
        <v>4060</v>
      </c>
      <c r="M297" s="4813"/>
      <c r="N297" s="4813"/>
      <c r="O297" s="4814"/>
      <c r="P297" s="568" t="s">
        <v>740</v>
      </c>
      <c r="Q297" s="313"/>
      <c r="R297" s="183"/>
      <c r="S297" s="414"/>
      <c r="T297" s="569" t="s">
        <v>643</v>
      </c>
      <c r="U297" s="569" t="s">
        <v>2021</v>
      </c>
      <c r="W297" s="457" t="s">
        <v>1362</v>
      </c>
      <c r="X297" s="457" t="s">
        <v>3020</v>
      </c>
      <c r="AA297" s="27"/>
      <c r="AB297" s="27"/>
      <c r="AC297" s="911"/>
      <c r="AD297" s="523"/>
    </row>
    <row r="298" spans="3:30" ht="10.5" customHeight="1">
      <c r="C298" s="4819" t="s">
        <v>3964</v>
      </c>
      <c r="D298" s="4820" t="s">
        <v>3965</v>
      </c>
      <c r="E298" s="4820" t="s">
        <v>3966</v>
      </c>
      <c r="F298" s="4820" t="s">
        <v>3967</v>
      </c>
      <c r="G298" s="4819" t="s">
        <v>3964</v>
      </c>
      <c r="H298" s="4820" t="s">
        <v>3965</v>
      </c>
      <c r="I298" s="4820" t="s">
        <v>3966</v>
      </c>
      <c r="J298" s="4820" t="s">
        <v>3967</v>
      </c>
      <c r="K298"/>
      <c r="L298" s="4819" t="s">
        <v>3964</v>
      </c>
      <c r="M298" s="4820" t="s">
        <v>3965</v>
      </c>
      <c r="N298" s="4820" t="s">
        <v>3966</v>
      </c>
      <c r="O298" s="4820" t="s">
        <v>3967</v>
      </c>
      <c r="P298" s="568" t="s">
        <v>2228</v>
      </c>
      <c r="Q298" s="313"/>
      <c r="R298" s="183"/>
      <c r="S298" s="414"/>
      <c r="T298" s="515" t="s">
        <v>148</v>
      </c>
      <c r="U298" s="515" t="s">
        <v>1738</v>
      </c>
      <c r="W298" s="457" t="s">
        <v>1480</v>
      </c>
      <c r="X298" s="457" t="s">
        <v>3020</v>
      </c>
      <c r="AA298" s="27"/>
      <c r="AB298" s="27"/>
      <c r="AC298" s="912"/>
      <c r="AD298" s="523"/>
    </row>
    <row r="299" spans="3:30" ht="10.5" customHeight="1">
      <c r="C299" s="4819"/>
      <c r="D299" s="4820"/>
      <c r="E299" s="4820"/>
      <c r="F299" s="4820"/>
      <c r="G299" s="4819"/>
      <c r="H299" s="4820"/>
      <c r="I299" s="4820"/>
      <c r="J299" s="4820"/>
      <c r="K299"/>
      <c r="L299" s="4819"/>
      <c r="M299" s="4820"/>
      <c r="N299" s="4820"/>
      <c r="O299" s="4820"/>
      <c r="P299" s="568" t="s">
        <v>2229</v>
      </c>
      <c r="Q299" s="313"/>
      <c r="R299" s="183"/>
      <c r="S299" s="414"/>
      <c r="T299" s="515" t="s">
        <v>189</v>
      </c>
      <c r="U299" s="515" t="s">
        <v>585</v>
      </c>
      <c r="W299" s="457" t="s">
        <v>1968</v>
      </c>
      <c r="X299" s="457" t="s">
        <v>3020</v>
      </c>
      <c r="AA299" s="27"/>
      <c r="AB299" s="27"/>
      <c r="AC299" s="911"/>
      <c r="AD299" s="523"/>
    </row>
    <row r="300" spans="3:30" ht="10.5" customHeight="1">
      <c r="C300" s="4819"/>
      <c r="D300" s="4820"/>
      <c r="E300" s="4820"/>
      <c r="F300" s="4820"/>
      <c r="G300" s="4819"/>
      <c r="H300" s="4820"/>
      <c r="I300" s="4820"/>
      <c r="J300" s="4820"/>
      <c r="K300"/>
      <c r="L300" s="4819"/>
      <c r="M300" s="4820"/>
      <c r="N300" s="4820"/>
      <c r="O300" s="4820"/>
      <c r="P300" s="568" t="s">
        <v>2231</v>
      </c>
      <c r="Q300" s="313"/>
      <c r="R300" s="183"/>
      <c r="S300" s="414"/>
      <c r="T300" s="515" t="s">
        <v>2366</v>
      </c>
      <c r="U300" s="515" t="s">
        <v>1865</v>
      </c>
      <c r="W300" s="457" t="s">
        <v>1970</v>
      </c>
      <c r="X300" s="457" t="s">
        <v>3020</v>
      </c>
      <c r="AA300" s="27"/>
      <c r="AB300" s="27"/>
      <c r="AC300" s="911"/>
      <c r="AD300" s="523"/>
    </row>
    <row r="301" spans="3:30" ht="10.5" customHeight="1">
      <c r="C301" s="4819"/>
      <c r="D301" s="4820"/>
      <c r="E301" s="4820"/>
      <c r="F301" s="4820"/>
      <c r="G301" s="4819"/>
      <c r="H301" s="4820"/>
      <c r="I301" s="4820"/>
      <c r="J301" s="4820"/>
      <c r="K301"/>
      <c r="L301" s="4819"/>
      <c r="M301" s="4820"/>
      <c r="N301" s="4820"/>
      <c r="O301" s="4820"/>
      <c r="P301" s="568" t="s">
        <v>2233</v>
      </c>
      <c r="Q301" s="313"/>
      <c r="R301" s="183"/>
      <c r="S301" s="414"/>
      <c r="T301" s="515" t="s">
        <v>737</v>
      </c>
      <c r="U301" s="515" t="s">
        <v>100</v>
      </c>
      <c r="W301" s="457" t="s">
        <v>1353</v>
      </c>
      <c r="X301" s="457" t="s">
        <v>3020</v>
      </c>
      <c r="AA301" s="27"/>
      <c r="AB301" s="27"/>
      <c r="AC301" s="911"/>
      <c r="AD301" s="523"/>
    </row>
    <row r="302" spans="3:30" ht="10.5" customHeight="1">
      <c r="C302" s="4819"/>
      <c r="D302" s="4820"/>
      <c r="E302" s="4820"/>
      <c r="F302" s="4820"/>
      <c r="G302" s="4819"/>
      <c r="H302" s="4820"/>
      <c r="I302" s="4820"/>
      <c r="J302" s="4820"/>
      <c r="K302"/>
      <c r="L302" s="4819"/>
      <c r="M302" s="4820"/>
      <c r="N302" s="4820"/>
      <c r="O302" s="4820"/>
      <c r="P302" s="568" t="s">
        <v>2234</v>
      </c>
      <c r="Q302" s="313"/>
      <c r="R302" s="183"/>
      <c r="S302" s="414"/>
      <c r="T302" s="515" t="s">
        <v>739</v>
      </c>
      <c r="U302" s="515" t="s">
        <v>116</v>
      </c>
      <c r="W302" s="457" t="s">
        <v>1454</v>
      </c>
      <c r="X302" s="457" t="s">
        <v>3020</v>
      </c>
      <c r="AA302" s="27"/>
      <c r="AB302" s="27"/>
      <c r="AC302" s="911"/>
      <c r="AD302" s="523"/>
    </row>
    <row r="303" spans="3:30" ht="10.5" customHeight="1">
      <c r="C303" s="4819"/>
      <c r="D303" s="4820"/>
      <c r="E303" s="4820"/>
      <c r="F303" s="4820"/>
      <c r="G303" s="4819"/>
      <c r="H303" s="4820"/>
      <c r="I303" s="4820"/>
      <c r="J303" s="4820"/>
      <c r="K303"/>
      <c r="L303" s="4819"/>
      <c r="M303" s="4820"/>
      <c r="N303" s="4820"/>
      <c r="O303" s="4820"/>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4047</v>
      </c>
      <c r="H304" s="1870">
        <v>0</v>
      </c>
      <c r="I304" s="1870">
        <v>0</v>
      </c>
      <c r="J304" s="1871">
        <v>0</v>
      </c>
      <c r="K304" s="1860"/>
      <c r="L304" s="1852" t="s">
        <v>4047</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4094</v>
      </c>
      <c r="D305" s="1858">
        <v>0</v>
      </c>
      <c r="E305" s="1858">
        <v>0</v>
      </c>
      <c r="F305" s="1859">
        <v>0</v>
      </c>
      <c r="G305" s="1872" t="s">
        <v>4094</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4095</v>
      </c>
      <c r="D306" s="1858">
        <v>0</v>
      </c>
      <c r="E306" s="1858">
        <v>0</v>
      </c>
      <c r="F306" s="1859">
        <v>0</v>
      </c>
      <c r="G306" s="1872" t="s">
        <v>4095</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4096</v>
      </c>
      <c r="D307" s="1858">
        <v>0</v>
      </c>
      <c r="E307" s="1858">
        <v>0</v>
      </c>
      <c r="F307" s="1859">
        <v>0</v>
      </c>
      <c r="G307" s="1872" t="s">
        <v>4096</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4097</v>
      </c>
      <c r="D308" s="1858">
        <v>0</v>
      </c>
      <c r="E308" s="1858">
        <v>0</v>
      </c>
      <c r="F308" s="1859">
        <v>0</v>
      </c>
      <c r="G308" s="1872" t="s">
        <v>4097</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4098</v>
      </c>
      <c r="D309" s="1858">
        <v>0</v>
      </c>
      <c r="E309" s="1858">
        <v>0</v>
      </c>
      <c r="F309" s="1859">
        <v>0</v>
      </c>
      <c r="G309" s="1872" t="s">
        <v>4098</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4099</v>
      </c>
      <c r="D310" s="1858">
        <v>0</v>
      </c>
      <c r="E310" s="1858">
        <v>0</v>
      </c>
      <c r="F310" s="1859">
        <v>0</v>
      </c>
      <c r="G310" s="1872" t="s">
        <v>4099</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4100</v>
      </c>
      <c r="D311" s="1858">
        <v>0</v>
      </c>
      <c r="E311" s="1858">
        <v>0</v>
      </c>
      <c r="F311" s="1859">
        <v>0</v>
      </c>
      <c r="G311" s="1872" t="s">
        <v>4100</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4101</v>
      </c>
      <c r="D312" s="1858">
        <v>1</v>
      </c>
      <c r="E312" s="1858">
        <v>0</v>
      </c>
      <c r="F312" s="1859">
        <v>1</v>
      </c>
      <c r="G312" s="1872" t="s">
        <v>4101</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4102</v>
      </c>
      <c r="D313" s="1858">
        <v>0</v>
      </c>
      <c r="E313" s="1858">
        <v>0</v>
      </c>
      <c r="F313" s="1859">
        <v>0</v>
      </c>
      <c r="G313" s="1872" t="s">
        <v>4102</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4103</v>
      </c>
      <c r="D314" s="1858">
        <v>0</v>
      </c>
      <c r="E314" s="1858">
        <v>0</v>
      </c>
      <c r="F314" s="1859">
        <v>0</v>
      </c>
      <c r="G314" s="1872" t="s">
        <v>4103</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4104</v>
      </c>
      <c r="D315" s="1858">
        <v>0</v>
      </c>
      <c r="E315" s="1858">
        <v>0</v>
      </c>
      <c r="F315" s="1859">
        <v>0</v>
      </c>
      <c r="G315" s="1872" t="s">
        <v>4104</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4105</v>
      </c>
      <c r="D316" s="1858">
        <v>1</v>
      </c>
      <c r="E316" s="1858">
        <v>0</v>
      </c>
      <c r="F316" s="1859">
        <v>1</v>
      </c>
      <c r="G316" s="1872" t="s">
        <v>4105</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4106</v>
      </c>
      <c r="D317" s="1858">
        <v>0</v>
      </c>
      <c r="E317" s="1858">
        <v>0</v>
      </c>
      <c r="F317" s="1859">
        <v>0</v>
      </c>
      <c r="G317" s="1872" t="s">
        <v>4106</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4107</v>
      </c>
      <c r="D318" s="1858">
        <v>0</v>
      </c>
      <c r="E318" s="1858">
        <v>0</v>
      </c>
      <c r="F318" s="1859">
        <v>0</v>
      </c>
      <c r="G318" s="1872" t="s">
        <v>4107</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4108</v>
      </c>
      <c r="D319" s="1858">
        <v>1</v>
      </c>
      <c r="E319" s="1858">
        <v>1</v>
      </c>
      <c r="F319" s="1859">
        <v>2</v>
      </c>
      <c r="G319" s="1872" t="s">
        <v>4108</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4109</v>
      </c>
      <c r="D320" s="1858">
        <v>0</v>
      </c>
      <c r="E320" s="1858">
        <v>0</v>
      </c>
      <c r="F320" s="1859">
        <v>0</v>
      </c>
      <c r="G320" s="1872" t="s">
        <v>4109</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4110</v>
      </c>
      <c r="D321" s="1858">
        <v>0</v>
      </c>
      <c r="E321" s="1858">
        <v>0</v>
      </c>
      <c r="F321" s="1859">
        <v>0</v>
      </c>
      <c r="G321" s="1872" t="s">
        <v>4110</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4111</v>
      </c>
      <c r="D322" s="1858">
        <v>0</v>
      </c>
      <c r="E322" s="1858">
        <v>0</v>
      </c>
      <c r="F322" s="1859">
        <v>0</v>
      </c>
      <c r="G322" s="1872" t="s">
        <v>4111</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4112</v>
      </c>
      <c r="D323" s="1858">
        <v>0</v>
      </c>
      <c r="E323" s="1858">
        <v>0</v>
      </c>
      <c r="F323" s="1859">
        <v>0</v>
      </c>
      <c r="G323" s="1872" t="s">
        <v>4112</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4113</v>
      </c>
      <c r="D324" s="1858">
        <v>0</v>
      </c>
      <c r="E324" s="1858">
        <v>0</v>
      </c>
      <c r="F324" s="1859">
        <v>0</v>
      </c>
      <c r="G324" s="1872" t="s">
        <v>4113</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4114</v>
      </c>
      <c r="D325" s="1858">
        <v>0</v>
      </c>
      <c r="E325" s="1858">
        <v>0</v>
      </c>
      <c r="F325" s="1859">
        <v>0</v>
      </c>
      <c r="G325" s="1872" t="s">
        <v>4114</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4115</v>
      </c>
      <c r="D326" s="1858">
        <v>0</v>
      </c>
      <c r="E326" s="1858">
        <v>0</v>
      </c>
      <c r="F326" s="1859">
        <v>0</v>
      </c>
      <c r="G326" s="1872" t="s">
        <v>4115</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4116</v>
      </c>
      <c r="D327" s="1858">
        <v>0</v>
      </c>
      <c r="E327" s="1858">
        <v>0</v>
      </c>
      <c r="F327" s="1859">
        <v>0</v>
      </c>
      <c r="G327" s="1872" t="s">
        <v>4116</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4117</v>
      </c>
      <c r="D328" s="1858">
        <v>1</v>
      </c>
      <c r="E328" s="1858">
        <v>1</v>
      </c>
      <c r="F328" s="1859">
        <v>2</v>
      </c>
      <c r="G328" s="1872" t="s">
        <v>4117</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4118</v>
      </c>
      <c r="D329" s="1858">
        <v>0</v>
      </c>
      <c r="E329" s="1858">
        <v>0</v>
      </c>
      <c r="F329" s="1859">
        <v>0</v>
      </c>
      <c r="G329" s="1872" t="s">
        <v>4118</v>
      </c>
      <c r="H329" s="1856">
        <v>0</v>
      </c>
      <c r="I329" s="1856">
        <v>0</v>
      </c>
      <c r="J329" s="1873">
        <v>0</v>
      </c>
      <c r="K329" s="1860"/>
      <c r="L329" s="1854">
        <v>13011970400</v>
      </c>
      <c r="M329" s="1855">
        <v>0</v>
      </c>
      <c r="N329" s="1855">
        <v>0</v>
      </c>
      <c r="O329" s="1855">
        <v>0</v>
      </c>
      <c r="P329" s="568" t="s">
        <v>1796</v>
      </c>
      <c r="Q329" s="313"/>
      <c r="R329" s="183"/>
      <c r="S329" s="414"/>
      <c r="T329" s="569" t="s">
        <v>3783</v>
      </c>
      <c r="U329" s="569" t="s">
        <v>618</v>
      </c>
      <c r="W329" s="457" t="s">
        <v>2316</v>
      </c>
      <c r="X329" s="457" t="s">
        <v>3020</v>
      </c>
      <c r="AA329" s="27"/>
      <c r="AB329" s="27"/>
      <c r="AC329" s="912"/>
      <c r="AD329" s="523"/>
    </row>
    <row r="330" spans="3:30" ht="10.5" customHeight="1">
      <c r="C330" s="1861" t="s">
        <v>4119</v>
      </c>
      <c r="D330" s="1858">
        <v>1</v>
      </c>
      <c r="E330" s="1858">
        <v>1</v>
      </c>
      <c r="F330" s="1859">
        <v>2</v>
      </c>
      <c r="G330" s="1872" t="s">
        <v>4119</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4120</v>
      </c>
      <c r="D331" s="1858">
        <v>0</v>
      </c>
      <c r="E331" s="1858">
        <v>1</v>
      </c>
      <c r="F331" s="1859">
        <v>1</v>
      </c>
      <c r="G331" s="1872" t="s">
        <v>4120</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4121</v>
      </c>
      <c r="D332" s="1858">
        <v>0</v>
      </c>
      <c r="E332" s="1858">
        <v>1</v>
      </c>
      <c r="F332" s="1859">
        <v>1</v>
      </c>
      <c r="G332" s="1872" t="s">
        <v>4121</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4122</v>
      </c>
      <c r="D333" s="1858">
        <v>0</v>
      </c>
      <c r="E333" s="1858">
        <v>1</v>
      </c>
      <c r="F333" s="1859">
        <v>1</v>
      </c>
      <c r="G333" s="1872" t="s">
        <v>4122</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4123</v>
      </c>
      <c r="D334" s="1858">
        <v>0</v>
      </c>
      <c r="E334" s="1858">
        <v>0</v>
      </c>
      <c r="F334" s="1859">
        <v>0</v>
      </c>
      <c r="G334" s="1872" t="s">
        <v>4123</v>
      </c>
      <c r="H334" s="1856">
        <v>0</v>
      </c>
      <c r="I334" s="1856">
        <v>0</v>
      </c>
      <c r="J334" s="1873">
        <v>0</v>
      </c>
      <c r="K334" s="1860"/>
      <c r="L334" s="1854">
        <v>13013180107</v>
      </c>
      <c r="M334" s="1855">
        <v>0</v>
      </c>
      <c r="N334" s="1855">
        <v>0</v>
      </c>
      <c r="O334" s="1855">
        <v>0</v>
      </c>
      <c r="P334" s="568" t="s">
        <v>1557</v>
      </c>
      <c r="Q334" s="313"/>
      <c r="R334" s="183"/>
      <c r="S334" s="414"/>
      <c r="T334" s="569" t="s">
        <v>6091</v>
      </c>
      <c r="U334" s="569" t="s">
        <v>2288</v>
      </c>
      <c r="W334" s="457" t="s">
        <v>1766</v>
      </c>
      <c r="X334" s="457" t="s">
        <v>3020</v>
      </c>
      <c r="AA334" s="27"/>
      <c r="AB334" s="27"/>
      <c r="AC334" s="912"/>
      <c r="AD334" s="523"/>
    </row>
    <row r="335" spans="3:30" ht="10.5" customHeight="1">
      <c r="C335" s="1861" t="s">
        <v>4124</v>
      </c>
      <c r="D335" s="1858">
        <v>0</v>
      </c>
      <c r="E335" s="1858">
        <v>1</v>
      </c>
      <c r="F335" s="1859">
        <v>1</v>
      </c>
      <c r="G335" s="1872" t="s">
        <v>4124</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4125</v>
      </c>
      <c r="D336" s="1858">
        <v>0</v>
      </c>
      <c r="E336" s="1858">
        <v>0</v>
      </c>
      <c r="F336" s="1859">
        <v>0</v>
      </c>
      <c r="G336" s="1872" t="s">
        <v>4125</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4126</v>
      </c>
      <c r="D337" s="1858">
        <v>0</v>
      </c>
      <c r="E337" s="1858">
        <v>0</v>
      </c>
      <c r="F337" s="1859">
        <v>0</v>
      </c>
      <c r="G337" s="1872" t="s">
        <v>4126</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4127</v>
      </c>
      <c r="D338" s="1858">
        <v>0</v>
      </c>
      <c r="E338" s="1858">
        <v>0</v>
      </c>
      <c r="F338" s="1859">
        <v>0</v>
      </c>
      <c r="G338" s="1872" t="s">
        <v>4127</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4128</v>
      </c>
      <c r="D339" s="1858">
        <v>1</v>
      </c>
      <c r="E339" s="1858">
        <v>1</v>
      </c>
      <c r="F339" s="1859">
        <v>2</v>
      </c>
      <c r="G339" s="1872" t="s">
        <v>4128</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4129</v>
      </c>
      <c r="D340" s="1858">
        <v>1</v>
      </c>
      <c r="E340" s="1858">
        <v>1</v>
      </c>
      <c r="F340" s="1859">
        <v>2</v>
      </c>
      <c r="G340" s="1872" t="s">
        <v>4129</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4130</v>
      </c>
      <c r="D341" s="1858">
        <v>1</v>
      </c>
      <c r="E341" s="1858">
        <v>1</v>
      </c>
      <c r="F341" s="1859">
        <v>2</v>
      </c>
      <c r="G341" s="1872" t="s">
        <v>4130</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4131</v>
      </c>
      <c r="D342" s="1858">
        <v>1</v>
      </c>
      <c r="E342" s="1858">
        <v>1</v>
      </c>
      <c r="F342" s="1859">
        <v>2</v>
      </c>
      <c r="G342" s="1872" t="s">
        <v>4131</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4132</v>
      </c>
      <c r="D343" s="1858">
        <v>1</v>
      </c>
      <c r="E343" s="1858">
        <v>1</v>
      </c>
      <c r="F343" s="1859">
        <v>2</v>
      </c>
      <c r="G343" s="1872" t="s">
        <v>4132</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4133</v>
      </c>
      <c r="D344" s="1858">
        <v>0</v>
      </c>
      <c r="E344" s="1858">
        <v>0</v>
      </c>
      <c r="F344" s="1859">
        <v>0</v>
      </c>
      <c r="G344" s="1872" t="s">
        <v>4133</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4134</v>
      </c>
      <c r="D345" s="1858">
        <v>1</v>
      </c>
      <c r="E345" s="1858">
        <v>1</v>
      </c>
      <c r="F345" s="1859">
        <v>2</v>
      </c>
      <c r="G345" s="1872" t="s">
        <v>4134</v>
      </c>
      <c r="H345" s="1856">
        <v>1</v>
      </c>
      <c r="I345" s="1856" t="s">
        <v>3908</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4135</v>
      </c>
      <c r="D346" s="1858">
        <v>1</v>
      </c>
      <c r="E346" s="1858">
        <v>1</v>
      </c>
      <c r="F346" s="1859">
        <v>2</v>
      </c>
      <c r="G346" s="1872" t="s">
        <v>4135</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4136</v>
      </c>
      <c r="D347" s="1858">
        <v>1</v>
      </c>
      <c r="E347" s="1858">
        <v>1</v>
      </c>
      <c r="F347" s="1859">
        <v>2</v>
      </c>
      <c r="G347" s="1872" t="s">
        <v>4136</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4137</v>
      </c>
      <c r="D348" s="1858">
        <v>1</v>
      </c>
      <c r="E348" s="1858">
        <v>1</v>
      </c>
      <c r="F348" s="1859">
        <v>2</v>
      </c>
      <c r="G348" s="1872" t="s">
        <v>4137</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4138</v>
      </c>
      <c r="D349" s="1858">
        <v>1</v>
      </c>
      <c r="E349" s="1858">
        <v>1</v>
      </c>
      <c r="F349" s="1859">
        <v>2</v>
      </c>
      <c r="G349" s="1872" t="s">
        <v>4138</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4139</v>
      </c>
      <c r="D350" s="1858">
        <v>0</v>
      </c>
      <c r="E350" s="1858">
        <v>1</v>
      </c>
      <c r="F350" s="1859">
        <v>1</v>
      </c>
      <c r="G350" s="1872" t="s">
        <v>4139</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4140</v>
      </c>
      <c r="D351" s="1858">
        <v>1</v>
      </c>
      <c r="E351" s="1858">
        <v>1</v>
      </c>
      <c r="F351" s="1859">
        <v>2</v>
      </c>
      <c r="G351" s="1872" t="s">
        <v>4140</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4141</v>
      </c>
      <c r="D352" s="1858">
        <v>1</v>
      </c>
      <c r="E352" s="1858">
        <v>1</v>
      </c>
      <c r="F352" s="1859">
        <v>2</v>
      </c>
      <c r="G352" s="1872" t="s">
        <v>4141</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4142</v>
      </c>
      <c r="D353" s="1858">
        <v>0</v>
      </c>
      <c r="E353" s="1858">
        <v>1</v>
      </c>
      <c r="F353" s="1859">
        <v>1</v>
      </c>
      <c r="G353" s="1872" t="s">
        <v>4142</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4143</v>
      </c>
      <c r="D354" s="1858">
        <v>0</v>
      </c>
      <c r="E354" s="1858">
        <v>0</v>
      </c>
      <c r="F354" s="1859">
        <v>0</v>
      </c>
      <c r="G354" s="1872" t="s">
        <v>4143</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4144</v>
      </c>
      <c r="D355" s="1858">
        <v>0</v>
      </c>
      <c r="E355" s="1858">
        <v>0</v>
      </c>
      <c r="F355" s="1859">
        <v>0</v>
      </c>
      <c r="G355" s="1872" t="s">
        <v>4144</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4145</v>
      </c>
      <c r="D356" s="1858">
        <v>0</v>
      </c>
      <c r="E356" s="1858">
        <v>0</v>
      </c>
      <c r="F356" s="1859">
        <v>0</v>
      </c>
      <c r="G356" s="1872" t="s">
        <v>4145</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4146</v>
      </c>
      <c r="D357" s="1858">
        <v>0</v>
      </c>
      <c r="E357" s="1858">
        <v>0</v>
      </c>
      <c r="F357" s="1859">
        <v>0</v>
      </c>
      <c r="G357" s="1872" t="s">
        <v>4146</v>
      </c>
      <c r="H357" s="1856">
        <v>0</v>
      </c>
      <c r="I357" s="1856">
        <v>0</v>
      </c>
      <c r="J357" s="1873">
        <v>0</v>
      </c>
      <c r="K357" s="1860"/>
      <c r="L357" s="1854">
        <v>13015960801</v>
      </c>
      <c r="M357" s="1855">
        <v>0</v>
      </c>
      <c r="N357" s="1855">
        <v>0</v>
      </c>
      <c r="O357" s="1855">
        <v>0</v>
      </c>
      <c r="P357" s="568" t="s">
        <v>3223</v>
      </c>
      <c r="Q357" s="313"/>
      <c r="R357" s="183"/>
      <c r="S357" s="414"/>
      <c r="T357" s="515" t="s">
        <v>613</v>
      </c>
      <c r="U357" s="515" t="s">
        <v>1529</v>
      </c>
      <c r="W357" s="457" t="s">
        <v>1592</v>
      </c>
      <c r="X357" s="457" t="s">
        <v>3020</v>
      </c>
      <c r="AA357" s="27"/>
      <c r="AB357" s="27"/>
      <c r="AC357" s="911"/>
      <c r="AD357" s="523"/>
    </row>
    <row r="358" spans="3:30" ht="10.5" customHeight="1">
      <c r="C358" s="1861" t="s">
        <v>4147</v>
      </c>
      <c r="D358" s="1858">
        <v>0</v>
      </c>
      <c r="E358" s="1858">
        <v>0</v>
      </c>
      <c r="F358" s="1859">
        <v>0</v>
      </c>
      <c r="G358" s="1872" t="s">
        <v>4147</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4148</v>
      </c>
      <c r="D359" s="1858">
        <v>0</v>
      </c>
      <c r="E359" s="1858">
        <v>0</v>
      </c>
      <c r="F359" s="1859">
        <v>0</v>
      </c>
      <c r="G359" s="1872" t="s">
        <v>4148</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4149</v>
      </c>
      <c r="D360" s="1858">
        <v>0</v>
      </c>
      <c r="E360" s="1858">
        <v>1</v>
      </c>
      <c r="F360" s="1859">
        <v>1</v>
      </c>
      <c r="G360" s="1872" t="s">
        <v>4149</v>
      </c>
      <c r="H360" s="1856">
        <v>1</v>
      </c>
      <c r="I360" s="1856" t="s">
        <v>3908</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4150</v>
      </c>
      <c r="D361" s="1858">
        <v>1</v>
      </c>
      <c r="E361" s="1858">
        <v>1</v>
      </c>
      <c r="F361" s="1859">
        <v>2</v>
      </c>
      <c r="G361" s="1872" t="s">
        <v>4150</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4151</v>
      </c>
      <c r="D362" s="1858">
        <v>1</v>
      </c>
      <c r="E362" s="1858">
        <v>1</v>
      </c>
      <c r="F362" s="1859">
        <v>2</v>
      </c>
      <c r="G362" s="1872" t="s">
        <v>4151</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4152</v>
      </c>
      <c r="D363" s="1858">
        <v>0</v>
      </c>
      <c r="E363" s="1858">
        <v>0</v>
      </c>
      <c r="F363" s="1859">
        <v>0</v>
      </c>
      <c r="G363" s="1872" t="s">
        <v>4152</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4153</v>
      </c>
      <c r="D364" s="1858">
        <v>0</v>
      </c>
      <c r="E364" s="1858">
        <v>0</v>
      </c>
      <c r="F364" s="1859">
        <v>0</v>
      </c>
      <c r="G364" s="1872" t="s">
        <v>4153</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4154</v>
      </c>
      <c r="D365" s="1858">
        <v>0</v>
      </c>
      <c r="E365" s="1858">
        <v>0</v>
      </c>
      <c r="F365" s="1859">
        <v>0</v>
      </c>
      <c r="G365" s="1872" t="s">
        <v>4154</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4155</v>
      </c>
      <c r="D366" s="1858">
        <v>0</v>
      </c>
      <c r="E366" s="1858">
        <v>0</v>
      </c>
      <c r="F366" s="1859">
        <v>0</v>
      </c>
      <c r="G366" s="1872" t="s">
        <v>4155</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4156</v>
      </c>
      <c r="D367" s="1858">
        <v>0</v>
      </c>
      <c r="E367" s="1858">
        <v>0</v>
      </c>
      <c r="F367" s="1859">
        <v>0</v>
      </c>
      <c r="G367" s="1872" t="s">
        <v>4156</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4157</v>
      </c>
      <c r="D368" s="1858">
        <v>0</v>
      </c>
      <c r="E368" s="1858">
        <v>0</v>
      </c>
      <c r="F368" s="1859">
        <v>0</v>
      </c>
      <c r="G368" s="1872" t="s">
        <v>4157</v>
      </c>
      <c r="H368" s="1856">
        <v>0</v>
      </c>
      <c r="I368" s="1856" t="s">
        <v>3908</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4158</v>
      </c>
      <c r="D369" s="1858">
        <v>0</v>
      </c>
      <c r="E369" s="1858">
        <v>0</v>
      </c>
      <c r="F369" s="1859">
        <v>0</v>
      </c>
      <c r="G369" s="1872" t="s">
        <v>4158</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4159</v>
      </c>
      <c r="D370" s="1858">
        <v>0</v>
      </c>
      <c r="E370" s="1858">
        <v>0</v>
      </c>
      <c r="F370" s="1859">
        <v>0</v>
      </c>
      <c r="G370" s="1872" t="s">
        <v>4159</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4160</v>
      </c>
      <c r="D371" s="1858">
        <v>0</v>
      </c>
      <c r="E371" s="1858">
        <v>0</v>
      </c>
      <c r="F371" s="1859">
        <v>0</v>
      </c>
      <c r="G371" s="1872" t="s">
        <v>4160</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4161</v>
      </c>
      <c r="D372" s="1858">
        <v>0</v>
      </c>
      <c r="E372" s="1858">
        <v>0</v>
      </c>
      <c r="F372" s="1859">
        <v>0</v>
      </c>
      <c r="G372" s="1872" t="s">
        <v>4161</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4162</v>
      </c>
      <c r="D373" s="1858">
        <v>0</v>
      </c>
      <c r="E373" s="1858">
        <v>0</v>
      </c>
      <c r="F373" s="1859">
        <v>0</v>
      </c>
      <c r="G373" s="1872" t="s">
        <v>4162</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4163</v>
      </c>
      <c r="D374" s="1858">
        <v>0</v>
      </c>
      <c r="E374" s="1858">
        <v>0</v>
      </c>
      <c r="F374" s="1859">
        <v>0</v>
      </c>
      <c r="G374" s="1872" t="s">
        <v>4163</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4164</v>
      </c>
      <c r="D375" s="1858">
        <v>0</v>
      </c>
      <c r="E375" s="1858">
        <v>0</v>
      </c>
      <c r="F375" s="1859">
        <v>0</v>
      </c>
      <c r="G375" s="1872" t="s">
        <v>4164</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4165</v>
      </c>
      <c r="D376" s="1858">
        <v>0</v>
      </c>
      <c r="E376" s="1858">
        <v>0</v>
      </c>
      <c r="F376" s="1859">
        <v>0</v>
      </c>
      <c r="G376" s="1872" t="s">
        <v>4165</v>
      </c>
      <c r="H376" s="1856">
        <v>0</v>
      </c>
      <c r="I376" s="1856" t="s">
        <v>3908</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4166</v>
      </c>
      <c r="D377" s="1858">
        <v>0</v>
      </c>
      <c r="E377" s="1858">
        <v>0</v>
      </c>
      <c r="F377" s="1859">
        <v>0</v>
      </c>
      <c r="G377" s="1872" t="s">
        <v>4166</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4167</v>
      </c>
      <c r="D378" s="1858">
        <v>0</v>
      </c>
      <c r="E378" s="1858">
        <v>0</v>
      </c>
      <c r="F378" s="1859">
        <v>0</v>
      </c>
      <c r="G378" s="1872" t="s">
        <v>4167</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4168</v>
      </c>
      <c r="D379" s="1858">
        <v>1</v>
      </c>
      <c r="E379" s="1858">
        <v>1</v>
      </c>
      <c r="F379" s="1859">
        <v>2</v>
      </c>
      <c r="G379" s="1872" t="s">
        <v>4168</v>
      </c>
      <c r="H379" s="1856">
        <v>0</v>
      </c>
      <c r="I379" s="1856" t="s">
        <v>3908</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4169</v>
      </c>
      <c r="D380" s="1858">
        <v>0</v>
      </c>
      <c r="E380" s="1858">
        <v>0</v>
      </c>
      <c r="F380" s="1859">
        <v>0</v>
      </c>
      <c r="G380" s="1872" t="s">
        <v>4169</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4170</v>
      </c>
      <c r="D381" s="1858">
        <v>0</v>
      </c>
      <c r="E381" s="1858">
        <v>0</v>
      </c>
      <c r="F381" s="1859">
        <v>0</v>
      </c>
      <c r="G381" s="1872" t="s">
        <v>4170</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4171</v>
      </c>
      <c r="D382" s="1858">
        <v>0</v>
      </c>
      <c r="E382" s="1858">
        <v>0</v>
      </c>
      <c r="F382" s="1859">
        <v>0</v>
      </c>
      <c r="G382" s="1872" t="s">
        <v>4171</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4172</v>
      </c>
      <c r="D383" s="1858">
        <v>0</v>
      </c>
      <c r="E383" s="1858">
        <v>0</v>
      </c>
      <c r="F383" s="1859">
        <v>0</v>
      </c>
      <c r="G383" s="1872" t="s">
        <v>4172</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4173</v>
      </c>
      <c r="D384" s="1858">
        <v>0</v>
      </c>
      <c r="E384" s="1858">
        <v>0</v>
      </c>
      <c r="F384" s="1859">
        <v>0</v>
      </c>
      <c r="G384" s="1872" t="s">
        <v>4173</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4174</v>
      </c>
      <c r="D385" s="1858">
        <v>1</v>
      </c>
      <c r="E385" s="1858">
        <v>0</v>
      </c>
      <c r="F385" s="1859">
        <v>1</v>
      </c>
      <c r="G385" s="1872" t="s">
        <v>4174</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4175</v>
      </c>
      <c r="D386" s="1858">
        <v>0</v>
      </c>
      <c r="E386" s="1858">
        <v>0</v>
      </c>
      <c r="F386" s="1859">
        <v>0</v>
      </c>
      <c r="G386" s="1872" t="s">
        <v>4175</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4176</v>
      </c>
      <c r="D387" s="1858">
        <v>1</v>
      </c>
      <c r="E387" s="1858">
        <v>1</v>
      </c>
      <c r="F387" s="1859">
        <v>2</v>
      </c>
      <c r="G387" s="1872" t="s">
        <v>4176</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4177</v>
      </c>
      <c r="D388" s="1858">
        <v>1</v>
      </c>
      <c r="E388" s="1858">
        <v>1</v>
      </c>
      <c r="F388" s="1859">
        <v>2</v>
      </c>
      <c r="G388" s="1872" t="s">
        <v>4177</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4178</v>
      </c>
      <c r="D389" s="1858">
        <v>0</v>
      </c>
      <c r="E389" s="1858">
        <v>1</v>
      </c>
      <c r="F389" s="1859">
        <v>1</v>
      </c>
      <c r="G389" s="1872" t="s">
        <v>4178</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4179</v>
      </c>
      <c r="D390" s="1858">
        <v>0</v>
      </c>
      <c r="E390" s="1858">
        <v>0</v>
      </c>
      <c r="F390" s="1859">
        <v>0</v>
      </c>
      <c r="G390" s="1872" t="s">
        <v>4179</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4180</v>
      </c>
      <c r="D391" s="1858">
        <v>0</v>
      </c>
      <c r="E391" s="1858">
        <v>0</v>
      </c>
      <c r="F391" s="1859">
        <v>0</v>
      </c>
      <c r="G391" s="1872" t="s">
        <v>4180</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4181</v>
      </c>
      <c r="D392" s="1858">
        <v>0</v>
      </c>
      <c r="E392" s="1858">
        <v>0</v>
      </c>
      <c r="F392" s="1859">
        <v>0</v>
      </c>
      <c r="G392" s="1872" t="s">
        <v>4181</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4182</v>
      </c>
      <c r="D393" s="1858">
        <v>0</v>
      </c>
      <c r="E393" s="1858">
        <v>0</v>
      </c>
      <c r="F393" s="1859">
        <v>0</v>
      </c>
      <c r="G393" s="1872" t="s">
        <v>4182</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4183</v>
      </c>
      <c r="D394" s="1858">
        <v>0</v>
      </c>
      <c r="E394" s="1858">
        <v>0</v>
      </c>
      <c r="F394" s="1859">
        <v>0</v>
      </c>
      <c r="G394" s="1872" t="s">
        <v>4183</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4184</v>
      </c>
      <c r="D395" s="1858">
        <v>0</v>
      </c>
      <c r="E395" s="1858">
        <v>0</v>
      </c>
      <c r="F395" s="1859">
        <v>0</v>
      </c>
      <c r="G395" s="1872" t="s">
        <v>4184</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4185</v>
      </c>
      <c r="D396" s="1858">
        <v>0</v>
      </c>
      <c r="E396" s="1858">
        <v>0</v>
      </c>
      <c r="F396" s="1859">
        <v>0</v>
      </c>
      <c r="G396" s="1872" t="s">
        <v>4185</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4186</v>
      </c>
      <c r="D397" s="1858">
        <v>0</v>
      </c>
      <c r="E397" s="1858">
        <v>0</v>
      </c>
      <c r="F397" s="1859">
        <v>0</v>
      </c>
      <c r="G397" s="1872" t="s">
        <v>4186</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4187</v>
      </c>
      <c r="D398" s="1858">
        <v>0</v>
      </c>
      <c r="E398" s="1858">
        <v>0</v>
      </c>
      <c r="F398" s="1859">
        <v>0</v>
      </c>
      <c r="G398" s="1872" t="s">
        <v>4187</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4188</v>
      </c>
      <c r="D399" s="1858">
        <v>0</v>
      </c>
      <c r="E399" s="1858">
        <v>0</v>
      </c>
      <c r="F399" s="1859">
        <v>0</v>
      </c>
      <c r="G399" s="1872" t="s">
        <v>4188</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4189</v>
      </c>
      <c r="D400" s="1858">
        <v>0</v>
      </c>
      <c r="E400" s="1858">
        <v>0</v>
      </c>
      <c r="F400" s="1859">
        <v>0</v>
      </c>
      <c r="G400" s="1872" t="s">
        <v>4189</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4190</v>
      </c>
      <c r="D401" s="1858">
        <v>0</v>
      </c>
      <c r="E401" s="1858">
        <v>0</v>
      </c>
      <c r="F401" s="1859">
        <v>0</v>
      </c>
      <c r="G401" s="1872" t="s">
        <v>4190</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4191</v>
      </c>
      <c r="D402" s="1858">
        <v>0</v>
      </c>
      <c r="E402" s="1858">
        <v>0</v>
      </c>
      <c r="F402" s="1859">
        <v>0</v>
      </c>
      <c r="G402" s="1872" t="s">
        <v>4191</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4192</v>
      </c>
      <c r="D403" s="1858">
        <v>1</v>
      </c>
      <c r="E403" s="1858">
        <v>1</v>
      </c>
      <c r="F403" s="1859">
        <v>2</v>
      </c>
      <c r="G403" s="1872" t="s">
        <v>4192</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4193</v>
      </c>
      <c r="D404" s="1858">
        <v>1</v>
      </c>
      <c r="E404" s="1858">
        <v>1</v>
      </c>
      <c r="F404" s="1859">
        <v>2</v>
      </c>
      <c r="G404" s="1872" t="s">
        <v>4193</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4194</v>
      </c>
      <c r="D405" s="1858">
        <v>1</v>
      </c>
      <c r="E405" s="1858">
        <v>1</v>
      </c>
      <c r="F405" s="1859">
        <v>2</v>
      </c>
      <c r="G405" s="1872" t="s">
        <v>4194</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4195</v>
      </c>
      <c r="D406" s="1858">
        <v>1</v>
      </c>
      <c r="E406" s="1858">
        <v>1</v>
      </c>
      <c r="F406" s="1859">
        <v>2</v>
      </c>
      <c r="G406" s="1872" t="s">
        <v>4195</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4196</v>
      </c>
      <c r="D407" s="1858">
        <v>1</v>
      </c>
      <c r="E407" s="1858">
        <v>1</v>
      </c>
      <c r="F407" s="1859">
        <v>2</v>
      </c>
      <c r="G407" s="1872" t="s">
        <v>4196</v>
      </c>
      <c r="H407" s="1856">
        <v>1</v>
      </c>
      <c r="I407" s="1856" t="s">
        <v>3908</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4197</v>
      </c>
      <c r="D408" s="1858">
        <v>0</v>
      </c>
      <c r="E408" s="1858">
        <v>0</v>
      </c>
      <c r="F408" s="1859">
        <v>0</v>
      </c>
      <c r="G408" s="1872" t="s">
        <v>4197</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4198</v>
      </c>
      <c r="D409" s="1858">
        <v>0</v>
      </c>
      <c r="E409" s="1858">
        <v>0</v>
      </c>
      <c r="F409" s="1859">
        <v>0</v>
      </c>
      <c r="G409" s="1872" t="s">
        <v>4198</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4199</v>
      </c>
      <c r="D410" s="1858">
        <v>1</v>
      </c>
      <c r="E410" s="1858">
        <v>1</v>
      </c>
      <c r="F410" s="1859">
        <v>2</v>
      </c>
      <c r="G410" s="1872" t="s">
        <v>4199</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4200</v>
      </c>
      <c r="D411" s="1858">
        <v>0</v>
      </c>
      <c r="E411" s="1858">
        <v>1</v>
      </c>
      <c r="F411" s="1859">
        <v>1</v>
      </c>
      <c r="G411" s="1872" t="s">
        <v>4200</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4201</v>
      </c>
      <c r="D412" s="1858">
        <v>1</v>
      </c>
      <c r="E412" s="1858">
        <v>1</v>
      </c>
      <c r="F412" s="1859">
        <v>2</v>
      </c>
      <c r="G412" s="1872" t="s">
        <v>4201</v>
      </c>
      <c r="H412" s="1856">
        <v>0</v>
      </c>
      <c r="I412" s="1856" t="s">
        <v>3908</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4202</v>
      </c>
      <c r="D413" s="1858">
        <v>1</v>
      </c>
      <c r="E413" s="1858">
        <v>1</v>
      </c>
      <c r="F413" s="1859">
        <v>2</v>
      </c>
      <c r="G413" s="1872" t="s">
        <v>4202</v>
      </c>
      <c r="H413" s="1856">
        <v>1</v>
      </c>
      <c r="I413" s="1856" t="s">
        <v>3908</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4203</v>
      </c>
      <c r="D414" s="1858">
        <v>1</v>
      </c>
      <c r="E414" s="1858">
        <v>1</v>
      </c>
      <c r="F414" s="1859">
        <v>2</v>
      </c>
      <c r="G414" s="1872" t="s">
        <v>4203</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4204</v>
      </c>
      <c r="D415" s="1858">
        <v>0</v>
      </c>
      <c r="E415" s="1858">
        <v>0</v>
      </c>
      <c r="F415" s="1859">
        <v>0</v>
      </c>
      <c r="G415" s="1872" t="s">
        <v>4204</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4205</v>
      </c>
      <c r="D416" s="1858">
        <v>0</v>
      </c>
      <c r="E416" s="1858">
        <v>0</v>
      </c>
      <c r="F416" s="1859">
        <v>0</v>
      </c>
      <c r="G416" s="1872" t="s">
        <v>4205</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4206</v>
      </c>
      <c r="D417" s="1858">
        <v>0</v>
      </c>
      <c r="E417" s="1858">
        <v>0</v>
      </c>
      <c r="F417" s="1859">
        <v>0</v>
      </c>
      <c r="G417" s="1872" t="s">
        <v>4206</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4207</v>
      </c>
      <c r="D418" s="1858">
        <v>1</v>
      </c>
      <c r="E418" s="1858">
        <v>0</v>
      </c>
      <c r="F418" s="1859">
        <v>1</v>
      </c>
      <c r="G418" s="1872" t="s">
        <v>4207</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4208</v>
      </c>
      <c r="D419" s="1858">
        <v>0</v>
      </c>
      <c r="E419" s="1858">
        <v>0</v>
      </c>
      <c r="F419" s="1859">
        <v>0</v>
      </c>
      <c r="G419" s="1872" t="s">
        <v>4208</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4209</v>
      </c>
      <c r="D420" s="1858">
        <v>0</v>
      </c>
      <c r="E420" s="1858">
        <v>0</v>
      </c>
      <c r="F420" s="1859">
        <v>0</v>
      </c>
      <c r="G420" s="1872" t="s">
        <v>4209</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4210</v>
      </c>
      <c r="D421" s="1858">
        <v>0</v>
      </c>
      <c r="E421" s="1858">
        <v>0</v>
      </c>
      <c r="F421" s="1859">
        <v>0</v>
      </c>
      <c r="G421" s="1872" t="s">
        <v>4210</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4211</v>
      </c>
      <c r="D422" s="1858">
        <v>0</v>
      </c>
      <c r="E422" s="1858">
        <v>0</v>
      </c>
      <c r="F422" s="1859">
        <v>0</v>
      </c>
      <c r="G422" s="1872" t="s">
        <v>4211</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4212</v>
      </c>
      <c r="D423" s="1858">
        <v>0</v>
      </c>
      <c r="E423" s="1858">
        <v>0</v>
      </c>
      <c r="F423" s="1859">
        <v>0</v>
      </c>
      <c r="G423" s="1872" t="s">
        <v>4212</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4213</v>
      </c>
      <c r="D424" s="1858">
        <v>0</v>
      </c>
      <c r="E424" s="1858">
        <v>0</v>
      </c>
      <c r="F424" s="1859">
        <v>0</v>
      </c>
      <c r="G424" s="1872" t="s">
        <v>4213</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4214</v>
      </c>
      <c r="D425" s="1858">
        <v>0</v>
      </c>
      <c r="E425" s="1858">
        <v>0</v>
      </c>
      <c r="F425" s="1859">
        <v>0</v>
      </c>
      <c r="G425" s="1872" t="s">
        <v>4214</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4215</v>
      </c>
      <c r="D426" s="1858">
        <v>0</v>
      </c>
      <c r="E426" s="1858">
        <v>0</v>
      </c>
      <c r="F426" s="1859">
        <v>0</v>
      </c>
      <c r="G426" s="1872" t="s">
        <v>4215</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4216</v>
      </c>
      <c r="D427" s="1858">
        <v>0</v>
      </c>
      <c r="E427" s="1858">
        <v>0</v>
      </c>
      <c r="F427" s="1859">
        <v>0</v>
      </c>
      <c r="G427" s="1872" t="s">
        <v>4216</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4217</v>
      </c>
      <c r="D428" s="1858">
        <v>0</v>
      </c>
      <c r="E428" s="1858">
        <v>0</v>
      </c>
      <c r="F428" s="1859">
        <v>0</v>
      </c>
      <c r="G428" s="1872" t="s">
        <v>4217</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4218</v>
      </c>
      <c r="D429" s="1858">
        <v>0</v>
      </c>
      <c r="E429" s="1858">
        <v>0</v>
      </c>
      <c r="F429" s="1859">
        <v>0</v>
      </c>
      <c r="G429" s="1872" t="s">
        <v>4218</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4219</v>
      </c>
      <c r="D430" s="1858">
        <v>0</v>
      </c>
      <c r="E430" s="1858">
        <v>0</v>
      </c>
      <c r="F430" s="1859">
        <v>0</v>
      </c>
      <c r="G430" s="1872" t="s">
        <v>4219</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4220</v>
      </c>
      <c r="D431" s="1858">
        <v>1</v>
      </c>
      <c r="E431" s="1858">
        <v>1</v>
      </c>
      <c r="F431" s="1859">
        <v>2</v>
      </c>
      <c r="G431" s="1872" t="s">
        <v>4220</v>
      </c>
      <c r="H431" s="1856">
        <v>1</v>
      </c>
      <c r="I431" s="1856" t="s">
        <v>3908</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4221</v>
      </c>
      <c r="D432" s="1858">
        <v>1</v>
      </c>
      <c r="E432" s="1858">
        <v>1</v>
      </c>
      <c r="F432" s="1859">
        <v>2</v>
      </c>
      <c r="G432" s="1872" t="s">
        <v>4221</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4222</v>
      </c>
      <c r="D433" s="1858">
        <v>1</v>
      </c>
      <c r="E433" s="1858">
        <v>1</v>
      </c>
      <c r="F433" s="1859">
        <v>2</v>
      </c>
      <c r="G433" s="1872" t="s">
        <v>4222</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4223</v>
      </c>
      <c r="D434" s="1858">
        <v>1</v>
      </c>
      <c r="E434" s="1858">
        <v>1</v>
      </c>
      <c r="F434" s="1859">
        <v>2</v>
      </c>
      <c r="G434" s="1872" t="s">
        <v>4223</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4224</v>
      </c>
      <c r="D435" s="1858" t="s">
        <v>3908</v>
      </c>
      <c r="E435" s="1858" t="s">
        <v>3908</v>
      </c>
      <c r="F435" s="1859">
        <v>0</v>
      </c>
      <c r="G435" s="1872" t="s">
        <v>4224</v>
      </c>
      <c r="H435" s="1856" t="s">
        <v>3908</v>
      </c>
      <c r="I435" s="1856" t="s">
        <v>3908</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4225</v>
      </c>
      <c r="D436" s="1858">
        <v>0</v>
      </c>
      <c r="E436" s="1858">
        <v>0</v>
      </c>
      <c r="F436" s="1859">
        <v>0</v>
      </c>
      <c r="G436" s="1872" t="s">
        <v>4225</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4226</v>
      </c>
      <c r="D437" s="1858">
        <v>0</v>
      </c>
      <c r="E437" s="1858">
        <v>0</v>
      </c>
      <c r="F437" s="1859">
        <v>0</v>
      </c>
      <c r="G437" s="1872" t="s">
        <v>4226</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4227</v>
      </c>
      <c r="D438" s="1858">
        <v>1</v>
      </c>
      <c r="E438" s="1858">
        <v>1</v>
      </c>
      <c r="F438" s="1859">
        <v>2</v>
      </c>
      <c r="G438" s="1872" t="s">
        <v>4227</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4228</v>
      </c>
      <c r="D439" s="1858">
        <v>0</v>
      </c>
      <c r="E439" s="1858">
        <v>0</v>
      </c>
      <c r="F439" s="1859">
        <v>0</v>
      </c>
      <c r="G439" s="1872" t="s">
        <v>4228</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4229</v>
      </c>
      <c r="D440" s="1858">
        <v>0</v>
      </c>
      <c r="E440" s="1858">
        <v>1</v>
      </c>
      <c r="F440" s="1859">
        <v>1</v>
      </c>
      <c r="G440" s="1872" t="s">
        <v>4229</v>
      </c>
      <c r="H440" s="1856">
        <v>0</v>
      </c>
      <c r="I440" s="1856" t="s">
        <v>3908</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4230</v>
      </c>
      <c r="D441" s="1858">
        <v>0</v>
      </c>
      <c r="E441" s="1858">
        <v>1</v>
      </c>
      <c r="F441" s="1859">
        <v>1</v>
      </c>
      <c r="G441" s="1872" t="s">
        <v>4230</v>
      </c>
      <c r="H441" s="1856">
        <v>0</v>
      </c>
      <c r="I441" s="1856" t="s">
        <v>3908</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4231</v>
      </c>
      <c r="D442" s="1858">
        <v>0</v>
      </c>
      <c r="E442" s="1858">
        <v>0</v>
      </c>
      <c r="F442" s="1859">
        <v>0</v>
      </c>
      <c r="G442" s="1872" t="s">
        <v>4231</v>
      </c>
      <c r="H442" s="1856">
        <v>0</v>
      </c>
      <c r="I442" s="1856" t="s">
        <v>3908</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4232</v>
      </c>
      <c r="D443" s="1858">
        <v>1</v>
      </c>
      <c r="E443" s="1858">
        <v>0</v>
      </c>
      <c r="F443" s="1859">
        <v>1</v>
      </c>
      <c r="G443" s="1872" t="s">
        <v>4232</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4233</v>
      </c>
      <c r="D444" s="1858">
        <v>0</v>
      </c>
      <c r="E444" s="1858">
        <v>0</v>
      </c>
      <c r="F444" s="1859">
        <v>0</v>
      </c>
      <c r="G444" s="1872" t="s">
        <v>4233</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4234</v>
      </c>
      <c r="D445" s="1858">
        <v>1</v>
      </c>
      <c r="E445" s="1858">
        <v>1</v>
      </c>
      <c r="F445" s="1859">
        <v>2</v>
      </c>
      <c r="G445" s="1872" t="s">
        <v>4234</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4235</v>
      </c>
      <c r="D446" s="1858">
        <v>0</v>
      </c>
      <c r="E446" s="1858">
        <v>0</v>
      </c>
      <c r="F446" s="1859">
        <v>0</v>
      </c>
      <c r="G446" s="1872" t="s">
        <v>4235</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4236</v>
      </c>
      <c r="D447" s="1858">
        <v>0</v>
      </c>
      <c r="E447" s="1858">
        <v>0</v>
      </c>
      <c r="F447" s="1859">
        <v>0</v>
      </c>
      <c r="G447" s="1872" t="s">
        <v>4236</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4237</v>
      </c>
      <c r="D448" s="1858">
        <v>0</v>
      </c>
      <c r="E448" s="1858">
        <v>0</v>
      </c>
      <c r="F448" s="1859">
        <v>0</v>
      </c>
      <c r="G448" s="1872" t="s">
        <v>4237</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4238</v>
      </c>
      <c r="D449" s="1858">
        <v>0</v>
      </c>
      <c r="E449" s="1858">
        <v>0</v>
      </c>
      <c r="F449" s="1859">
        <v>0</v>
      </c>
      <c r="G449" s="1872" t="s">
        <v>4238</v>
      </c>
      <c r="H449" s="1856">
        <v>0</v>
      </c>
      <c r="I449" s="1856" t="s">
        <v>3908</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4239</v>
      </c>
      <c r="D450" s="1858">
        <v>0</v>
      </c>
      <c r="E450" s="1858">
        <v>0</v>
      </c>
      <c r="F450" s="1859">
        <v>0</v>
      </c>
      <c r="G450" s="1872" t="s">
        <v>4239</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4240</v>
      </c>
      <c r="D451" s="1858">
        <v>0</v>
      </c>
      <c r="E451" s="1858">
        <v>0</v>
      </c>
      <c r="F451" s="1859">
        <v>0</v>
      </c>
      <c r="G451" s="1872" t="s">
        <v>4240</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4241</v>
      </c>
      <c r="D452" s="1858">
        <v>0</v>
      </c>
      <c r="E452" s="1858">
        <v>0</v>
      </c>
      <c r="F452" s="1859">
        <v>0</v>
      </c>
      <c r="G452" s="1872" t="s">
        <v>4241</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4242</v>
      </c>
      <c r="D453" s="1858">
        <v>0</v>
      </c>
      <c r="E453" s="1858">
        <v>0</v>
      </c>
      <c r="F453" s="1859">
        <v>0</v>
      </c>
      <c r="G453" s="1872" t="s">
        <v>4242</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4243</v>
      </c>
      <c r="D454" s="1858">
        <v>0</v>
      </c>
      <c r="E454" s="1858">
        <v>1</v>
      </c>
      <c r="F454" s="1859">
        <v>1</v>
      </c>
      <c r="G454" s="1872" t="s">
        <v>4243</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4244</v>
      </c>
      <c r="D455" s="1858">
        <v>0</v>
      </c>
      <c r="E455" s="1858">
        <v>0</v>
      </c>
      <c r="F455" s="1859">
        <v>0</v>
      </c>
      <c r="G455" s="1872" t="s">
        <v>4244</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4245</v>
      </c>
      <c r="D456" s="1858">
        <v>0</v>
      </c>
      <c r="E456" s="1858">
        <v>1</v>
      </c>
      <c r="F456" s="1859">
        <v>1</v>
      </c>
      <c r="G456" s="1872" t="s">
        <v>4245</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4246</v>
      </c>
      <c r="D457" s="1858">
        <v>0</v>
      </c>
      <c r="E457" s="1858">
        <v>0</v>
      </c>
      <c r="F457" s="1859">
        <v>0</v>
      </c>
      <c r="G457" s="1872" t="s">
        <v>4246</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4247</v>
      </c>
      <c r="D458" s="1858">
        <v>0</v>
      </c>
      <c r="E458" s="1858">
        <v>0</v>
      </c>
      <c r="F458" s="1859">
        <v>0</v>
      </c>
      <c r="G458" s="1872" t="s">
        <v>4247</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4248</v>
      </c>
      <c r="D459" s="1858">
        <v>0</v>
      </c>
      <c r="E459" s="1858">
        <v>0</v>
      </c>
      <c r="F459" s="1859">
        <v>0</v>
      </c>
      <c r="G459" s="1872" t="s">
        <v>4248</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4249</v>
      </c>
      <c r="D460" s="1858">
        <v>0</v>
      </c>
      <c r="E460" s="1858">
        <v>1</v>
      </c>
      <c r="F460" s="1859">
        <v>1</v>
      </c>
      <c r="G460" s="1872" t="s">
        <v>4249</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4250</v>
      </c>
      <c r="D461" s="1858">
        <v>0</v>
      </c>
      <c r="E461" s="1858">
        <v>0</v>
      </c>
      <c r="F461" s="1859">
        <v>0</v>
      </c>
      <c r="G461" s="1872" t="s">
        <v>4250</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4251</v>
      </c>
      <c r="D462" s="1858">
        <v>0</v>
      </c>
      <c r="E462" s="1858">
        <v>0</v>
      </c>
      <c r="F462" s="1859">
        <v>0</v>
      </c>
      <c r="G462" s="1872" t="s">
        <v>4251</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4252</v>
      </c>
      <c r="D463" s="1858">
        <v>1</v>
      </c>
      <c r="E463" s="1858">
        <v>1</v>
      </c>
      <c r="F463" s="1859">
        <v>2</v>
      </c>
      <c r="G463" s="1872" t="s">
        <v>4252</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4253</v>
      </c>
      <c r="D464" s="1858">
        <v>1</v>
      </c>
      <c r="E464" s="1858">
        <v>1</v>
      </c>
      <c r="F464" s="1859">
        <v>2</v>
      </c>
      <c r="G464" s="1872" t="s">
        <v>4253</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4254</v>
      </c>
      <c r="D465" s="1858">
        <v>1</v>
      </c>
      <c r="E465" s="1858">
        <v>1</v>
      </c>
      <c r="F465" s="1859">
        <v>2</v>
      </c>
      <c r="G465" s="1872" t="s">
        <v>4254</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4255</v>
      </c>
      <c r="D466" s="1858">
        <v>0</v>
      </c>
      <c r="E466" s="1858">
        <v>1</v>
      </c>
      <c r="F466" s="1859">
        <v>1</v>
      </c>
      <c r="G466" s="1872" t="s">
        <v>4255</v>
      </c>
      <c r="H466" s="1856">
        <v>0</v>
      </c>
      <c r="I466" s="1856" t="s">
        <v>3908</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4256</v>
      </c>
      <c r="D467" s="1858">
        <v>0</v>
      </c>
      <c r="E467" s="1858">
        <v>0</v>
      </c>
      <c r="F467" s="1859">
        <v>0</v>
      </c>
      <c r="G467" s="1872" t="s">
        <v>4256</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4257</v>
      </c>
      <c r="D468" s="1858">
        <v>0</v>
      </c>
      <c r="E468" s="1858">
        <v>0</v>
      </c>
      <c r="F468" s="1859">
        <v>0</v>
      </c>
      <c r="G468" s="1872" t="s">
        <v>4257</v>
      </c>
      <c r="H468" s="1856">
        <v>0</v>
      </c>
      <c r="I468" s="1856" t="s">
        <v>3908</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4258</v>
      </c>
      <c r="D469" s="1858" t="s">
        <v>3908</v>
      </c>
      <c r="E469" s="1858" t="s">
        <v>3908</v>
      </c>
      <c r="F469" s="1859">
        <v>0</v>
      </c>
      <c r="G469" s="1872" t="s">
        <v>4258</v>
      </c>
      <c r="H469" s="1856" t="s">
        <v>3908</v>
      </c>
      <c r="I469" s="1856" t="s">
        <v>3908</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4259</v>
      </c>
      <c r="D470" s="1858">
        <v>0</v>
      </c>
      <c r="E470" s="1858">
        <v>0</v>
      </c>
      <c r="F470" s="1859">
        <v>0</v>
      </c>
      <c r="G470" s="1872" t="s">
        <v>4259</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4260</v>
      </c>
      <c r="D471" s="1858">
        <v>0</v>
      </c>
      <c r="E471" s="1858">
        <v>0</v>
      </c>
      <c r="F471" s="1859">
        <v>0</v>
      </c>
      <c r="G471" s="1872" t="s">
        <v>4260</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4261</v>
      </c>
      <c r="D472" s="1858">
        <v>0</v>
      </c>
      <c r="E472" s="1858">
        <v>0</v>
      </c>
      <c r="F472" s="1859">
        <v>0</v>
      </c>
      <c r="G472" s="1872" t="s">
        <v>4261</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4262</v>
      </c>
      <c r="D473" s="1858">
        <v>0</v>
      </c>
      <c r="E473" s="1858">
        <v>1</v>
      </c>
      <c r="F473" s="1859">
        <v>1</v>
      </c>
      <c r="G473" s="1872" t="s">
        <v>4262</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4263</v>
      </c>
      <c r="D474" s="1858">
        <v>1</v>
      </c>
      <c r="E474" s="1858">
        <v>1</v>
      </c>
      <c r="F474" s="1859">
        <v>2</v>
      </c>
      <c r="G474" s="1872" t="s">
        <v>4263</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4264</v>
      </c>
      <c r="D475" s="1858">
        <v>0</v>
      </c>
      <c r="E475" s="1858">
        <v>1</v>
      </c>
      <c r="F475" s="1859">
        <v>1</v>
      </c>
      <c r="G475" s="1872" t="s">
        <v>4264</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4265</v>
      </c>
      <c r="D476" s="1858">
        <v>0</v>
      </c>
      <c r="E476" s="1858">
        <v>0</v>
      </c>
      <c r="F476" s="1859">
        <v>0</v>
      </c>
      <c r="G476" s="1872" t="s">
        <v>4265</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4266</v>
      </c>
      <c r="D477" s="1858">
        <v>0</v>
      </c>
      <c r="E477" s="1858">
        <v>1</v>
      </c>
      <c r="F477" s="1859">
        <v>1</v>
      </c>
      <c r="G477" s="1872" t="s">
        <v>4266</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4267</v>
      </c>
      <c r="D478" s="1858">
        <v>0</v>
      </c>
      <c r="E478" s="1858">
        <v>0</v>
      </c>
      <c r="F478" s="1859">
        <v>0</v>
      </c>
      <c r="G478" s="1872" t="s">
        <v>4267</v>
      </c>
      <c r="H478" s="1856">
        <v>0</v>
      </c>
      <c r="I478" s="1856" t="s">
        <v>3908</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4268</v>
      </c>
      <c r="D479" s="1858">
        <v>0</v>
      </c>
      <c r="E479" s="1858">
        <v>1</v>
      </c>
      <c r="F479" s="1859">
        <v>1</v>
      </c>
      <c r="G479" s="1872" t="s">
        <v>4268</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4269</v>
      </c>
      <c r="D480" s="1858">
        <v>0</v>
      </c>
      <c r="E480" s="1858">
        <v>0</v>
      </c>
      <c r="F480" s="1859">
        <v>0</v>
      </c>
      <c r="G480" s="1872" t="s">
        <v>4269</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4270</v>
      </c>
      <c r="D481" s="1858">
        <v>0</v>
      </c>
      <c r="E481" s="1858">
        <v>0</v>
      </c>
      <c r="F481" s="1859">
        <v>0</v>
      </c>
      <c r="G481" s="1872" t="s">
        <v>4270</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4271</v>
      </c>
      <c r="D482" s="1858">
        <v>0</v>
      </c>
      <c r="E482" s="1858">
        <v>1</v>
      </c>
      <c r="F482" s="1859">
        <v>1</v>
      </c>
      <c r="G482" s="1872" t="s">
        <v>4271</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4272</v>
      </c>
      <c r="D483" s="1858">
        <v>1</v>
      </c>
      <c r="E483" s="1858">
        <v>1</v>
      </c>
      <c r="F483" s="1859">
        <v>2</v>
      </c>
      <c r="G483" s="1872" t="s">
        <v>4272</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4273</v>
      </c>
      <c r="D484" s="1858">
        <v>0</v>
      </c>
      <c r="E484" s="1858">
        <v>1</v>
      </c>
      <c r="F484" s="1859">
        <v>1</v>
      </c>
      <c r="G484" s="1872" t="s">
        <v>4273</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4274</v>
      </c>
      <c r="D485" s="1858">
        <v>0</v>
      </c>
      <c r="E485" s="1858">
        <v>1</v>
      </c>
      <c r="F485" s="1859">
        <v>1</v>
      </c>
      <c r="G485" s="1872" t="s">
        <v>4274</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4275</v>
      </c>
      <c r="D486" s="1858">
        <v>0</v>
      </c>
      <c r="E486" s="1858">
        <v>1</v>
      </c>
      <c r="F486" s="1859">
        <v>1</v>
      </c>
      <c r="G486" s="1872" t="s">
        <v>4275</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4276</v>
      </c>
      <c r="D487" s="1858">
        <v>1</v>
      </c>
      <c r="E487" s="1858">
        <v>1</v>
      </c>
      <c r="F487" s="1859">
        <v>2</v>
      </c>
      <c r="G487" s="1872" t="s">
        <v>4276</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4277</v>
      </c>
      <c r="D488" s="1858">
        <v>1</v>
      </c>
      <c r="E488" s="1858">
        <v>1</v>
      </c>
      <c r="F488" s="1859">
        <v>2</v>
      </c>
      <c r="G488" s="1872" t="s">
        <v>4277</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4278</v>
      </c>
      <c r="D489" s="1858">
        <v>0</v>
      </c>
      <c r="E489" s="1858">
        <v>0</v>
      </c>
      <c r="F489" s="1859">
        <v>0</v>
      </c>
      <c r="G489" s="1872" t="s">
        <v>4278</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4279</v>
      </c>
      <c r="D490" s="1858">
        <v>0</v>
      </c>
      <c r="E490" s="1858">
        <v>0</v>
      </c>
      <c r="F490" s="1859">
        <v>0</v>
      </c>
      <c r="G490" s="1872" t="s">
        <v>4279</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4280</v>
      </c>
      <c r="D491" s="1858">
        <v>1</v>
      </c>
      <c r="E491" s="1858">
        <v>0</v>
      </c>
      <c r="F491" s="1859">
        <v>1</v>
      </c>
      <c r="G491" s="1872" t="s">
        <v>4280</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4281</v>
      </c>
      <c r="D492" s="1858">
        <v>1</v>
      </c>
      <c r="E492" s="1858">
        <v>1</v>
      </c>
      <c r="F492" s="1859">
        <v>2</v>
      </c>
      <c r="G492" s="1872" t="s">
        <v>4281</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4282</v>
      </c>
      <c r="D493" s="1858">
        <v>1</v>
      </c>
      <c r="E493" s="1858">
        <v>1</v>
      </c>
      <c r="F493" s="1859">
        <v>2</v>
      </c>
      <c r="G493" s="1872" t="s">
        <v>4282</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4283</v>
      </c>
      <c r="D494" s="1858">
        <v>1</v>
      </c>
      <c r="E494" s="1858">
        <v>1</v>
      </c>
      <c r="F494" s="1859">
        <v>2</v>
      </c>
      <c r="G494" s="1872" t="s">
        <v>4283</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4284</v>
      </c>
      <c r="D495" s="1858">
        <v>1</v>
      </c>
      <c r="E495" s="1858">
        <v>1</v>
      </c>
      <c r="F495" s="1859">
        <v>2</v>
      </c>
      <c r="G495" s="1872" t="s">
        <v>4284</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4285</v>
      </c>
      <c r="D496" s="1858">
        <v>1</v>
      </c>
      <c r="E496" s="1858">
        <v>1</v>
      </c>
      <c r="F496" s="1859">
        <v>2</v>
      </c>
      <c r="G496" s="1872" t="s">
        <v>4285</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4286</v>
      </c>
      <c r="D497" s="1858">
        <v>0</v>
      </c>
      <c r="E497" s="1858">
        <v>0</v>
      </c>
      <c r="F497" s="1859">
        <v>0</v>
      </c>
      <c r="G497" s="1872" t="s">
        <v>4286</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4287</v>
      </c>
      <c r="D498" s="1858">
        <v>1</v>
      </c>
      <c r="E498" s="1858">
        <v>0</v>
      </c>
      <c r="F498" s="1859">
        <v>1</v>
      </c>
      <c r="G498" s="1872" t="s">
        <v>4287</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4288</v>
      </c>
      <c r="D499" s="1858">
        <v>0</v>
      </c>
      <c r="E499" s="1858">
        <v>0</v>
      </c>
      <c r="F499" s="1859">
        <v>0</v>
      </c>
      <c r="G499" s="1872" t="s">
        <v>4288</v>
      </c>
      <c r="H499" s="1856">
        <v>1</v>
      </c>
      <c r="I499" s="1856">
        <v>0</v>
      </c>
      <c r="J499" s="1873">
        <v>1</v>
      </c>
      <c r="K499" s="1860"/>
      <c r="L499" s="1854">
        <v>13047030600</v>
      </c>
      <c r="M499" s="1855">
        <v>1</v>
      </c>
      <c r="N499" s="1855">
        <v>0</v>
      </c>
      <c r="O499" s="1855">
        <v>1</v>
      </c>
      <c r="P499" s="568" t="s">
        <v>546</v>
      </c>
      <c r="Q499" s="313"/>
      <c r="R499" s="183"/>
      <c r="S499" s="414"/>
      <c r="T499" s="569" t="s">
        <v>3347</v>
      </c>
      <c r="U499" s="569" t="s">
        <v>813</v>
      </c>
      <c r="AA499" s="27"/>
      <c r="AB499" s="27"/>
      <c r="AC499" s="912"/>
      <c r="AD499" s="523"/>
    </row>
    <row r="500" spans="3:30" ht="10.5" customHeight="1">
      <c r="C500" s="1861" t="s">
        <v>4289</v>
      </c>
      <c r="D500" s="1858">
        <v>0</v>
      </c>
      <c r="E500" s="1858">
        <v>0</v>
      </c>
      <c r="F500" s="1859">
        <v>0</v>
      </c>
      <c r="G500" s="1872" t="s">
        <v>4289</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4290</v>
      </c>
      <c r="D501" s="1858">
        <v>0</v>
      </c>
      <c r="E501" s="1858">
        <v>0</v>
      </c>
      <c r="F501" s="1859">
        <v>0</v>
      </c>
      <c r="G501" s="1872" t="s">
        <v>4290</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4291</v>
      </c>
      <c r="D502" s="1858">
        <v>0</v>
      </c>
      <c r="E502" s="1858">
        <v>0</v>
      </c>
      <c r="F502" s="1859">
        <v>0</v>
      </c>
      <c r="G502" s="1872" t="s">
        <v>4291</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4292</v>
      </c>
      <c r="D503" s="1858">
        <v>0</v>
      </c>
      <c r="E503" s="1858">
        <v>0</v>
      </c>
      <c r="F503" s="1859">
        <v>0</v>
      </c>
      <c r="G503" s="1872" t="s">
        <v>4292</v>
      </c>
      <c r="H503" s="1856">
        <v>0</v>
      </c>
      <c r="I503" s="1856" t="s">
        <v>3908</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4293</v>
      </c>
      <c r="D504" s="1858">
        <v>1</v>
      </c>
      <c r="E504" s="1858">
        <v>1</v>
      </c>
      <c r="F504" s="1859">
        <v>2</v>
      </c>
      <c r="G504" s="1872" t="s">
        <v>4293</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4294</v>
      </c>
      <c r="D505" s="1858">
        <v>0</v>
      </c>
      <c r="E505" s="1858">
        <v>0</v>
      </c>
      <c r="F505" s="1859">
        <v>0</v>
      </c>
      <c r="G505" s="1872" t="s">
        <v>4294</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4295</v>
      </c>
      <c r="D506" s="1858">
        <v>0</v>
      </c>
      <c r="E506" s="1858">
        <v>0</v>
      </c>
      <c r="F506" s="1859">
        <v>0</v>
      </c>
      <c r="G506" s="1872" t="s">
        <v>4295</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4296</v>
      </c>
      <c r="D507" s="1858">
        <v>0</v>
      </c>
      <c r="E507" s="1858">
        <v>0</v>
      </c>
      <c r="F507" s="1859">
        <v>0</v>
      </c>
      <c r="G507" s="1872" t="s">
        <v>4296</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4297</v>
      </c>
      <c r="D508" s="1858">
        <v>0</v>
      </c>
      <c r="E508" s="1858">
        <v>0</v>
      </c>
      <c r="F508" s="1859">
        <v>0</v>
      </c>
      <c r="G508" s="1872" t="s">
        <v>4297</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4298</v>
      </c>
      <c r="D509" s="1858">
        <v>0</v>
      </c>
      <c r="E509" s="1858">
        <v>0</v>
      </c>
      <c r="F509" s="1859">
        <v>0</v>
      </c>
      <c r="G509" s="1872" t="s">
        <v>4298</v>
      </c>
      <c r="H509" s="1856">
        <v>0</v>
      </c>
      <c r="I509" s="1856" t="s">
        <v>3908</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4299</v>
      </c>
      <c r="D510" s="1858">
        <v>0</v>
      </c>
      <c r="E510" s="1858">
        <v>0</v>
      </c>
      <c r="F510" s="1859">
        <v>0</v>
      </c>
      <c r="G510" s="1872" t="s">
        <v>4299</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4300</v>
      </c>
      <c r="D511" s="1858">
        <v>0</v>
      </c>
      <c r="E511" s="1858">
        <v>0</v>
      </c>
      <c r="F511" s="1859">
        <v>0</v>
      </c>
      <c r="G511" s="1872" t="s">
        <v>4300</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4301</v>
      </c>
      <c r="D512" s="1858">
        <v>0</v>
      </c>
      <c r="E512" s="1858">
        <v>0</v>
      </c>
      <c r="F512" s="1859">
        <v>0</v>
      </c>
      <c r="G512" s="1872" t="s">
        <v>4301</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4302</v>
      </c>
      <c r="D513" s="1858">
        <v>0</v>
      </c>
      <c r="E513" s="1858">
        <v>0</v>
      </c>
      <c r="F513" s="1859">
        <v>0</v>
      </c>
      <c r="G513" s="1872" t="s">
        <v>4302</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4303</v>
      </c>
      <c r="D514" s="1858">
        <v>0</v>
      </c>
      <c r="E514" s="1858">
        <v>0</v>
      </c>
      <c r="F514" s="1859">
        <v>0</v>
      </c>
      <c r="G514" s="1872" t="s">
        <v>4303</v>
      </c>
      <c r="H514" s="1856">
        <v>0</v>
      </c>
      <c r="I514" s="1856" t="s">
        <v>3908</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4304</v>
      </c>
      <c r="D515" s="1858">
        <v>0</v>
      </c>
      <c r="E515" s="1858">
        <v>0</v>
      </c>
      <c r="F515" s="1859">
        <v>0</v>
      </c>
      <c r="G515" s="1872" t="s">
        <v>4304</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4305</v>
      </c>
      <c r="D516" s="1858">
        <v>0</v>
      </c>
      <c r="E516" s="1858">
        <v>0</v>
      </c>
      <c r="F516" s="1859">
        <v>0</v>
      </c>
      <c r="G516" s="1872" t="s">
        <v>4305</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4306</v>
      </c>
      <c r="D517" s="1858">
        <v>1</v>
      </c>
      <c r="E517" s="1858">
        <v>1</v>
      </c>
      <c r="F517" s="1859">
        <v>2</v>
      </c>
      <c r="G517" s="1872" t="s">
        <v>4306</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4307</v>
      </c>
      <c r="D518" s="1858">
        <v>1</v>
      </c>
      <c r="E518" s="1858">
        <v>1</v>
      </c>
      <c r="F518" s="1859">
        <v>2</v>
      </c>
      <c r="G518" s="1872" t="s">
        <v>4307</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4308</v>
      </c>
      <c r="D519" s="1858">
        <v>0</v>
      </c>
      <c r="E519" s="1858">
        <v>0</v>
      </c>
      <c r="F519" s="1859">
        <v>0</v>
      </c>
      <c r="G519" s="1872" t="s">
        <v>4308</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4309</v>
      </c>
      <c r="D520" s="1858">
        <v>0</v>
      </c>
      <c r="E520" s="1858">
        <v>0</v>
      </c>
      <c r="F520" s="1859">
        <v>0</v>
      </c>
      <c r="G520" s="1872" t="s">
        <v>4309</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4310</v>
      </c>
      <c r="D521" s="1858">
        <v>1</v>
      </c>
      <c r="E521" s="1858">
        <v>0</v>
      </c>
      <c r="F521" s="1859">
        <v>1</v>
      </c>
      <c r="G521" s="1872" t="s">
        <v>4310</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4311</v>
      </c>
      <c r="D522" s="1858">
        <v>0</v>
      </c>
      <c r="E522" s="1858">
        <v>0</v>
      </c>
      <c r="F522" s="1859">
        <v>0</v>
      </c>
      <c r="G522" s="1872" t="s">
        <v>4311</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4312</v>
      </c>
      <c r="D523" s="1858">
        <v>0</v>
      </c>
      <c r="E523" s="1858">
        <v>0</v>
      </c>
      <c r="F523" s="1859">
        <v>0</v>
      </c>
      <c r="G523" s="1872" t="s">
        <v>4312</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4313</v>
      </c>
      <c r="D524" s="1858">
        <v>0</v>
      </c>
      <c r="E524" s="1858">
        <v>0</v>
      </c>
      <c r="F524" s="1859">
        <v>0</v>
      </c>
      <c r="G524" s="1872" t="s">
        <v>4313</v>
      </c>
      <c r="H524" s="1856">
        <v>0</v>
      </c>
      <c r="I524" s="1856" t="s">
        <v>3908</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4314</v>
      </c>
      <c r="D525" s="1858">
        <v>0</v>
      </c>
      <c r="E525" s="1858">
        <v>0</v>
      </c>
      <c r="F525" s="1859">
        <v>0</v>
      </c>
      <c r="G525" s="1872" t="s">
        <v>4314</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4315</v>
      </c>
      <c r="D526" s="1858">
        <v>0</v>
      </c>
      <c r="E526" s="1858">
        <v>0</v>
      </c>
      <c r="F526" s="1859">
        <v>0</v>
      </c>
      <c r="G526" s="1872" t="s">
        <v>4315</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4316</v>
      </c>
      <c r="D527" s="1858">
        <v>0</v>
      </c>
      <c r="E527" s="1858">
        <v>0</v>
      </c>
      <c r="F527" s="1859">
        <v>0</v>
      </c>
      <c r="G527" s="1872" t="s">
        <v>4316</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4317</v>
      </c>
      <c r="D528" s="1858">
        <v>0</v>
      </c>
      <c r="E528" s="1858">
        <v>0</v>
      </c>
      <c r="F528" s="1859">
        <v>0</v>
      </c>
      <c r="G528" s="1872" t="s">
        <v>4317</v>
      </c>
      <c r="H528" s="1856">
        <v>0</v>
      </c>
      <c r="I528" s="1856" t="s">
        <v>3908</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4318</v>
      </c>
      <c r="D529" s="1858">
        <v>0</v>
      </c>
      <c r="E529" s="1858">
        <v>0</v>
      </c>
      <c r="F529" s="1859">
        <v>0</v>
      </c>
      <c r="G529" s="1872" t="s">
        <v>4318</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4319</v>
      </c>
      <c r="D530" s="1858">
        <v>0</v>
      </c>
      <c r="E530" s="1858">
        <v>0</v>
      </c>
      <c r="F530" s="1859">
        <v>0</v>
      </c>
      <c r="G530" s="1872" t="s">
        <v>4319</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4320</v>
      </c>
      <c r="D531" s="1858">
        <v>1</v>
      </c>
      <c r="E531" s="1858">
        <v>0</v>
      </c>
      <c r="F531" s="1859">
        <v>1</v>
      </c>
      <c r="G531" s="1872" t="s">
        <v>4320</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4321</v>
      </c>
      <c r="D532" s="1858">
        <v>0</v>
      </c>
      <c r="E532" s="1858">
        <v>0</v>
      </c>
      <c r="F532" s="1859">
        <v>0</v>
      </c>
      <c r="G532" s="1872" t="s">
        <v>4321</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4322</v>
      </c>
      <c r="D533" s="1858">
        <v>0</v>
      </c>
      <c r="E533" s="1858">
        <v>0</v>
      </c>
      <c r="F533" s="1859">
        <v>0</v>
      </c>
      <c r="G533" s="1872" t="s">
        <v>4322</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4323</v>
      </c>
      <c r="D534" s="1858">
        <v>0</v>
      </c>
      <c r="E534" s="1858">
        <v>0</v>
      </c>
      <c r="F534" s="1859">
        <v>0</v>
      </c>
      <c r="G534" s="1872" t="s">
        <v>4323</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4324</v>
      </c>
      <c r="D535" s="1858">
        <v>0</v>
      </c>
      <c r="E535" s="1858">
        <v>0</v>
      </c>
      <c r="F535" s="1859">
        <v>0</v>
      </c>
      <c r="G535" s="1872" t="s">
        <v>4324</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4325</v>
      </c>
      <c r="D536" s="1858">
        <v>0</v>
      </c>
      <c r="E536" s="1858">
        <v>0</v>
      </c>
      <c r="F536" s="1859">
        <v>0</v>
      </c>
      <c r="G536" s="1872" t="s">
        <v>4325</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4326</v>
      </c>
      <c r="D537" s="1858">
        <v>0</v>
      </c>
      <c r="E537" s="1858">
        <v>1</v>
      </c>
      <c r="F537" s="1859">
        <v>1</v>
      </c>
      <c r="G537" s="1872" t="s">
        <v>4326</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4327</v>
      </c>
      <c r="D538" s="1858">
        <v>0</v>
      </c>
      <c r="E538" s="1858">
        <v>1</v>
      </c>
      <c r="F538" s="1859">
        <v>1</v>
      </c>
      <c r="G538" s="1872" t="s">
        <v>4327</v>
      </c>
      <c r="H538" s="1856">
        <v>0</v>
      </c>
      <c r="I538" s="1856" t="s">
        <v>3908</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4328</v>
      </c>
      <c r="D539" s="1858">
        <v>0</v>
      </c>
      <c r="E539" s="1858">
        <v>0</v>
      </c>
      <c r="F539" s="1859">
        <v>0</v>
      </c>
      <c r="G539" s="1872" t="s">
        <v>4328</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4329</v>
      </c>
      <c r="D540" s="1858">
        <v>0</v>
      </c>
      <c r="E540" s="1858">
        <v>0</v>
      </c>
      <c r="F540" s="1859">
        <v>0</v>
      </c>
      <c r="G540" s="1872" t="s">
        <v>4329</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4330</v>
      </c>
      <c r="D541" s="1858">
        <v>0</v>
      </c>
      <c r="E541" s="1858">
        <v>0</v>
      </c>
      <c r="F541" s="1859">
        <v>0</v>
      </c>
      <c r="G541" s="1872" t="s">
        <v>4330</v>
      </c>
      <c r="H541" s="1856" t="s">
        <v>3908</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4331</v>
      </c>
      <c r="D542" s="1858">
        <v>0</v>
      </c>
      <c r="E542" s="1858">
        <v>0</v>
      </c>
      <c r="F542" s="1859">
        <v>0</v>
      </c>
      <c r="G542" s="1872" t="s">
        <v>4331</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4332</v>
      </c>
      <c r="D543" s="1858">
        <v>0</v>
      </c>
      <c r="E543" s="1858">
        <v>0</v>
      </c>
      <c r="F543" s="1859">
        <v>0</v>
      </c>
      <c r="G543" s="1872" t="s">
        <v>4332</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4333</v>
      </c>
      <c r="D544" s="1858">
        <v>0</v>
      </c>
      <c r="E544" s="1858">
        <v>0</v>
      </c>
      <c r="F544" s="1859">
        <v>0</v>
      </c>
      <c r="G544" s="1872" t="s">
        <v>4333</v>
      </c>
      <c r="H544" s="1856">
        <v>0</v>
      </c>
      <c r="I544" s="1856" t="s">
        <v>3908</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4334</v>
      </c>
      <c r="D545" s="1858">
        <v>0</v>
      </c>
      <c r="E545" s="1858">
        <v>0</v>
      </c>
      <c r="F545" s="1859">
        <v>0</v>
      </c>
      <c r="G545" s="1872" t="s">
        <v>4334</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4335</v>
      </c>
      <c r="D546" s="1858">
        <v>0</v>
      </c>
      <c r="E546" s="1858">
        <v>0</v>
      </c>
      <c r="F546" s="1859">
        <v>0</v>
      </c>
      <c r="G546" s="1872" t="s">
        <v>4335</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4336</v>
      </c>
      <c r="D547" s="1858">
        <v>1</v>
      </c>
      <c r="E547" s="1858">
        <v>0</v>
      </c>
      <c r="F547" s="1859">
        <v>1</v>
      </c>
      <c r="G547" s="1872" t="s">
        <v>4336</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4337</v>
      </c>
      <c r="D548" s="1858" t="s">
        <v>3908</v>
      </c>
      <c r="E548" s="1858" t="s">
        <v>3908</v>
      </c>
      <c r="F548" s="1859">
        <v>0</v>
      </c>
      <c r="G548" s="1872" t="s">
        <v>4337</v>
      </c>
      <c r="H548" s="1856" t="s">
        <v>3908</v>
      </c>
      <c r="I548" s="1856" t="s">
        <v>3908</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4338</v>
      </c>
      <c r="D549" s="1858">
        <v>1</v>
      </c>
      <c r="E549" s="1858">
        <v>1</v>
      </c>
      <c r="F549" s="1859">
        <v>2</v>
      </c>
      <c r="G549" s="1872" t="s">
        <v>4338</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4339</v>
      </c>
      <c r="D550" s="1858">
        <v>1</v>
      </c>
      <c r="E550" s="1858">
        <v>0</v>
      </c>
      <c r="F550" s="1859">
        <v>1</v>
      </c>
      <c r="G550" s="1872" t="s">
        <v>4339</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4340</v>
      </c>
      <c r="D551" s="1858">
        <v>1</v>
      </c>
      <c r="E551" s="1858">
        <v>1</v>
      </c>
      <c r="F551" s="1859">
        <v>2</v>
      </c>
      <c r="G551" s="1872" t="s">
        <v>4340</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4341</v>
      </c>
      <c r="D552" s="1858">
        <v>1</v>
      </c>
      <c r="E552" s="1858">
        <v>1</v>
      </c>
      <c r="F552" s="1859">
        <v>2</v>
      </c>
      <c r="G552" s="1872" t="s">
        <v>4341</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4342</v>
      </c>
      <c r="D553" s="1858">
        <v>1</v>
      </c>
      <c r="E553" s="1858">
        <v>1</v>
      </c>
      <c r="F553" s="1859">
        <v>2</v>
      </c>
      <c r="G553" s="1872" t="s">
        <v>4342</v>
      </c>
      <c r="H553" s="1856">
        <v>0</v>
      </c>
      <c r="I553" s="1856" t="s">
        <v>3908</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4343</v>
      </c>
      <c r="D554" s="1858">
        <v>1</v>
      </c>
      <c r="E554" s="1858">
        <v>1</v>
      </c>
      <c r="F554" s="1859">
        <v>2</v>
      </c>
      <c r="G554" s="1872" t="s">
        <v>4343</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4344</v>
      </c>
      <c r="D555" s="1858">
        <v>1</v>
      </c>
      <c r="E555" s="1858">
        <v>0</v>
      </c>
      <c r="F555" s="1859">
        <v>1</v>
      </c>
      <c r="G555" s="1872" t="s">
        <v>4344</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4345</v>
      </c>
      <c r="D556" s="1858">
        <v>1</v>
      </c>
      <c r="E556" s="1858">
        <v>1</v>
      </c>
      <c r="F556" s="1859">
        <v>2</v>
      </c>
      <c r="G556" s="1872" t="s">
        <v>4345</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4346</v>
      </c>
      <c r="D557" s="1858">
        <v>0</v>
      </c>
      <c r="E557" s="1858">
        <v>0</v>
      </c>
      <c r="F557" s="1859">
        <v>0</v>
      </c>
      <c r="G557" s="1872" t="s">
        <v>4346</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4347</v>
      </c>
      <c r="D558" s="1858">
        <v>1</v>
      </c>
      <c r="E558" s="1858">
        <v>1</v>
      </c>
      <c r="F558" s="1859">
        <v>2</v>
      </c>
      <c r="G558" s="1872" t="s">
        <v>4347</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4348</v>
      </c>
      <c r="D559" s="1858">
        <v>1</v>
      </c>
      <c r="E559" s="1858">
        <v>1</v>
      </c>
      <c r="F559" s="1859">
        <v>2</v>
      </c>
      <c r="G559" s="1872" t="s">
        <v>4348</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4349</v>
      </c>
      <c r="D560" s="1858">
        <v>1</v>
      </c>
      <c r="E560" s="1858">
        <v>1</v>
      </c>
      <c r="F560" s="1859">
        <v>2</v>
      </c>
      <c r="G560" s="1872" t="s">
        <v>4349</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4350</v>
      </c>
      <c r="D561" s="1858">
        <v>1</v>
      </c>
      <c r="E561" s="1858">
        <v>1</v>
      </c>
      <c r="F561" s="1859">
        <v>2</v>
      </c>
      <c r="G561" s="1872" t="s">
        <v>4350</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4351</v>
      </c>
      <c r="D562" s="1858">
        <v>1</v>
      </c>
      <c r="E562" s="1858">
        <v>1</v>
      </c>
      <c r="F562" s="1859">
        <v>2</v>
      </c>
      <c r="G562" s="1872" t="s">
        <v>4351</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4352</v>
      </c>
      <c r="D563" s="1858">
        <v>1</v>
      </c>
      <c r="E563" s="1858">
        <v>1</v>
      </c>
      <c r="F563" s="1859">
        <v>2</v>
      </c>
      <c r="G563" s="1872" t="s">
        <v>4352</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4353</v>
      </c>
      <c r="D564" s="1858">
        <v>1</v>
      </c>
      <c r="E564" s="1858">
        <v>1</v>
      </c>
      <c r="F564" s="1859">
        <v>2</v>
      </c>
      <c r="G564" s="1872" t="s">
        <v>4353</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4354</v>
      </c>
      <c r="D565" s="1858">
        <v>1</v>
      </c>
      <c r="E565" s="1858">
        <v>1</v>
      </c>
      <c r="F565" s="1859">
        <v>2</v>
      </c>
      <c r="G565" s="1872" t="s">
        <v>4354</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4355</v>
      </c>
      <c r="D566" s="1858">
        <v>1</v>
      </c>
      <c r="E566" s="1858">
        <v>1</v>
      </c>
      <c r="F566" s="1859">
        <v>2</v>
      </c>
      <c r="G566" s="1872" t="s">
        <v>4355</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4356</v>
      </c>
      <c r="D567" s="1858">
        <v>1</v>
      </c>
      <c r="E567" s="1858">
        <v>1</v>
      </c>
      <c r="F567" s="1859">
        <v>2</v>
      </c>
      <c r="G567" s="1872" t="s">
        <v>4356</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4357</v>
      </c>
      <c r="D568" s="1858">
        <v>0</v>
      </c>
      <c r="E568" s="1858">
        <v>1</v>
      </c>
      <c r="F568" s="1859">
        <v>1</v>
      </c>
      <c r="G568" s="1872" t="s">
        <v>4357</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4358</v>
      </c>
      <c r="D569" s="1858">
        <v>0</v>
      </c>
      <c r="E569" s="1858">
        <v>0</v>
      </c>
      <c r="F569" s="1859">
        <v>0</v>
      </c>
      <c r="G569" s="1872" t="s">
        <v>4358</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4359</v>
      </c>
      <c r="D570" s="1858">
        <v>0</v>
      </c>
      <c r="E570" s="1858">
        <v>0</v>
      </c>
      <c r="F570" s="1859">
        <v>0</v>
      </c>
      <c r="G570" s="1872" t="s">
        <v>4359</v>
      </c>
      <c r="H570" s="1856">
        <v>0</v>
      </c>
      <c r="I570" s="1856" t="s">
        <v>3908</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4360</v>
      </c>
      <c r="D571" s="1858">
        <v>1</v>
      </c>
      <c r="E571" s="1858">
        <v>1</v>
      </c>
      <c r="F571" s="1859">
        <v>2</v>
      </c>
      <c r="G571" s="1872" t="s">
        <v>4360</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4361</v>
      </c>
      <c r="D572" s="1858">
        <v>0</v>
      </c>
      <c r="E572" s="1858">
        <v>0</v>
      </c>
      <c r="F572" s="1859">
        <v>0</v>
      </c>
      <c r="G572" s="1872" t="s">
        <v>4361</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4362</v>
      </c>
      <c r="D573" s="1858" t="s">
        <v>3908</v>
      </c>
      <c r="E573" s="1858" t="s">
        <v>3908</v>
      </c>
      <c r="F573" s="1859">
        <v>0</v>
      </c>
      <c r="G573" s="1872" t="s">
        <v>4362</v>
      </c>
      <c r="H573" s="1856" t="s">
        <v>3908</v>
      </c>
      <c r="I573" s="1856" t="s">
        <v>3908</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4363</v>
      </c>
      <c r="D574" s="1858" t="s">
        <v>3908</v>
      </c>
      <c r="E574" s="1858" t="s">
        <v>3908</v>
      </c>
      <c r="F574" s="1859">
        <v>0</v>
      </c>
      <c r="G574" s="1872" t="s">
        <v>4363</v>
      </c>
      <c r="H574" s="1856" t="s">
        <v>3908</v>
      </c>
      <c r="I574" s="1856" t="s">
        <v>3908</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4364</v>
      </c>
      <c r="D575" s="1858">
        <v>0</v>
      </c>
      <c r="E575" s="1858">
        <v>0</v>
      </c>
      <c r="F575" s="1859">
        <v>0</v>
      </c>
      <c r="G575" s="1872" t="s">
        <v>4364</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4365</v>
      </c>
      <c r="D576" s="1858">
        <v>0</v>
      </c>
      <c r="E576" s="1858">
        <v>1</v>
      </c>
      <c r="F576" s="1859">
        <v>1</v>
      </c>
      <c r="G576" s="1872" t="s">
        <v>4365</v>
      </c>
      <c r="H576" s="1856">
        <v>0</v>
      </c>
      <c r="I576" s="1856" t="s">
        <v>3908</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4366</v>
      </c>
      <c r="D577" s="1858">
        <v>0</v>
      </c>
      <c r="E577" s="1858">
        <v>1</v>
      </c>
      <c r="F577" s="1859">
        <v>1</v>
      </c>
      <c r="G577" s="1872" t="s">
        <v>4366</v>
      </c>
      <c r="H577" s="1856">
        <v>0</v>
      </c>
      <c r="I577" s="1856" t="s">
        <v>3908</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4367</v>
      </c>
      <c r="D578" s="1858">
        <v>0</v>
      </c>
      <c r="E578" s="1858">
        <v>1</v>
      </c>
      <c r="F578" s="1859">
        <v>1</v>
      </c>
      <c r="G578" s="1872" t="s">
        <v>4367</v>
      </c>
      <c r="H578" s="1856">
        <v>0</v>
      </c>
      <c r="I578" s="1856" t="s">
        <v>3908</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4368</v>
      </c>
      <c r="D579" s="1858" t="s">
        <v>3908</v>
      </c>
      <c r="E579" s="1858" t="s">
        <v>3908</v>
      </c>
      <c r="F579" s="1859">
        <v>0</v>
      </c>
      <c r="G579" s="1872" t="s">
        <v>4368</v>
      </c>
      <c r="H579" s="1856" t="s">
        <v>3908</v>
      </c>
      <c r="I579" s="1856" t="s">
        <v>3908</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4369</v>
      </c>
      <c r="D580" s="1858">
        <v>0</v>
      </c>
      <c r="E580" s="1858">
        <v>0</v>
      </c>
      <c r="F580" s="1859">
        <v>0</v>
      </c>
      <c r="G580" s="1872" t="s">
        <v>4369</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4370</v>
      </c>
      <c r="D581" s="1858">
        <v>0</v>
      </c>
      <c r="E581" s="1858">
        <v>0</v>
      </c>
      <c r="F581" s="1859">
        <v>0</v>
      </c>
      <c r="G581" s="1872" t="s">
        <v>4370</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4371</v>
      </c>
      <c r="D582" s="1858">
        <v>0</v>
      </c>
      <c r="E582" s="1858">
        <v>0</v>
      </c>
      <c r="F582" s="1859">
        <v>0</v>
      </c>
      <c r="G582" s="1872" t="s">
        <v>4371</v>
      </c>
      <c r="H582" s="1856">
        <v>0</v>
      </c>
      <c r="I582" s="1856" t="s">
        <v>3908</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4372</v>
      </c>
      <c r="D583" s="1858">
        <v>0</v>
      </c>
      <c r="E583" s="1858">
        <v>0</v>
      </c>
      <c r="F583" s="1859">
        <v>0</v>
      </c>
      <c r="G583" s="1872" t="s">
        <v>4372</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4373</v>
      </c>
      <c r="D584" s="1858">
        <v>0</v>
      </c>
      <c r="E584" s="1858">
        <v>0</v>
      </c>
      <c r="F584" s="1859">
        <v>0</v>
      </c>
      <c r="G584" s="1872" t="s">
        <v>4373</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4374</v>
      </c>
      <c r="D585" s="1858">
        <v>0</v>
      </c>
      <c r="E585" s="1858">
        <v>0</v>
      </c>
      <c r="F585" s="1859">
        <v>0</v>
      </c>
      <c r="G585" s="1872" t="s">
        <v>4374</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4375</v>
      </c>
      <c r="D586" s="1858">
        <v>1</v>
      </c>
      <c r="E586" s="1858">
        <v>1</v>
      </c>
      <c r="F586" s="1859">
        <v>2</v>
      </c>
      <c r="G586" s="1872" t="s">
        <v>4375</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4376</v>
      </c>
      <c r="D587" s="1858">
        <v>1</v>
      </c>
      <c r="E587" s="1858">
        <v>1</v>
      </c>
      <c r="F587" s="1859">
        <v>2</v>
      </c>
      <c r="G587" s="1872" t="s">
        <v>4376</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4377</v>
      </c>
      <c r="D588" s="1858">
        <v>1</v>
      </c>
      <c r="E588" s="1858">
        <v>1</v>
      </c>
      <c r="F588" s="1859">
        <v>2</v>
      </c>
      <c r="G588" s="1872" t="s">
        <v>4377</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4378</v>
      </c>
      <c r="D589" s="1858">
        <v>0</v>
      </c>
      <c r="E589" s="1858">
        <v>0</v>
      </c>
      <c r="F589" s="1859">
        <v>0</v>
      </c>
      <c r="G589" s="1872" t="s">
        <v>4378</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4379</v>
      </c>
      <c r="D590" s="1858">
        <v>1</v>
      </c>
      <c r="E590" s="1858">
        <v>1</v>
      </c>
      <c r="F590" s="1859">
        <v>2</v>
      </c>
      <c r="G590" s="1872" t="s">
        <v>4379</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4380</v>
      </c>
      <c r="D591" s="1858">
        <v>1</v>
      </c>
      <c r="E591" s="1858">
        <v>1</v>
      </c>
      <c r="F591" s="1859">
        <v>2</v>
      </c>
      <c r="G591" s="1872" t="s">
        <v>4380</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4381</v>
      </c>
      <c r="D592" s="1858">
        <v>0</v>
      </c>
      <c r="E592" s="1858">
        <v>0</v>
      </c>
      <c r="F592" s="1859">
        <v>0</v>
      </c>
      <c r="G592" s="1872" t="s">
        <v>4381</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4382</v>
      </c>
      <c r="D593" s="1858">
        <v>1</v>
      </c>
      <c r="E593" s="1858">
        <v>1</v>
      </c>
      <c r="F593" s="1859">
        <v>2</v>
      </c>
      <c r="G593" s="1872" t="s">
        <v>4382</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4383</v>
      </c>
      <c r="D594" s="1858">
        <v>1</v>
      </c>
      <c r="E594" s="1858">
        <v>1</v>
      </c>
      <c r="F594" s="1859">
        <v>2</v>
      </c>
      <c r="G594" s="1872" t="s">
        <v>4383</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4384</v>
      </c>
      <c r="D595" s="1858">
        <v>1</v>
      </c>
      <c r="E595" s="1858">
        <v>1</v>
      </c>
      <c r="F595" s="1859">
        <v>2</v>
      </c>
      <c r="G595" s="1872" t="s">
        <v>4384</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4385</v>
      </c>
      <c r="D596" s="1858">
        <v>1</v>
      </c>
      <c r="E596" s="1858">
        <v>1</v>
      </c>
      <c r="F596" s="1859">
        <v>2</v>
      </c>
      <c r="G596" s="1872" t="s">
        <v>4385</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4386</v>
      </c>
      <c r="D597" s="1858">
        <v>1</v>
      </c>
      <c r="E597" s="1858">
        <v>1</v>
      </c>
      <c r="F597" s="1859">
        <v>2</v>
      </c>
      <c r="G597" s="1872" t="s">
        <v>4386</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4387</v>
      </c>
      <c r="D598" s="1858">
        <v>1</v>
      </c>
      <c r="E598" s="1858">
        <v>1</v>
      </c>
      <c r="F598" s="1859">
        <v>2</v>
      </c>
      <c r="G598" s="1872" t="s">
        <v>4387</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4388</v>
      </c>
      <c r="D599" s="1858">
        <v>1</v>
      </c>
      <c r="E599" s="1858">
        <v>1</v>
      </c>
      <c r="F599" s="1859">
        <v>2</v>
      </c>
      <c r="G599" s="1872" t="s">
        <v>4388</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4389</v>
      </c>
      <c r="D600" s="1858">
        <v>1</v>
      </c>
      <c r="E600" s="1858">
        <v>1</v>
      </c>
      <c r="F600" s="1859">
        <v>2</v>
      </c>
      <c r="G600" s="1872" t="s">
        <v>4389</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4390</v>
      </c>
      <c r="D601" s="1858">
        <v>1</v>
      </c>
      <c r="E601" s="1858">
        <v>1</v>
      </c>
      <c r="F601" s="1859">
        <v>2</v>
      </c>
      <c r="G601" s="1872" t="s">
        <v>4390</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4391</v>
      </c>
      <c r="D602" s="1858">
        <v>1</v>
      </c>
      <c r="E602" s="1858">
        <v>1</v>
      </c>
      <c r="F602" s="1859">
        <v>2</v>
      </c>
      <c r="G602" s="1872" t="s">
        <v>4391</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4392</v>
      </c>
      <c r="D603" s="1858">
        <v>0</v>
      </c>
      <c r="E603" s="1858">
        <v>1</v>
      </c>
      <c r="F603" s="1859">
        <v>1</v>
      </c>
      <c r="G603" s="1872" t="s">
        <v>4392</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4393</v>
      </c>
      <c r="D604" s="1858">
        <v>0</v>
      </c>
      <c r="E604" s="1858">
        <v>0</v>
      </c>
      <c r="F604" s="1859">
        <v>0</v>
      </c>
      <c r="G604" s="1872" t="s">
        <v>4393</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4394</v>
      </c>
      <c r="D605" s="1858">
        <v>1</v>
      </c>
      <c r="E605" s="1858">
        <v>1</v>
      </c>
      <c r="F605" s="1859">
        <v>2</v>
      </c>
      <c r="G605" s="1872" t="s">
        <v>4394</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4395</v>
      </c>
      <c r="D606" s="1858">
        <v>1</v>
      </c>
      <c r="E606" s="1858">
        <v>1</v>
      </c>
      <c r="F606" s="1859">
        <v>2</v>
      </c>
      <c r="G606" s="1872" t="s">
        <v>4395</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4396</v>
      </c>
      <c r="D607" s="1858">
        <v>1</v>
      </c>
      <c r="E607" s="1858">
        <v>1</v>
      </c>
      <c r="F607" s="1859">
        <v>2</v>
      </c>
      <c r="G607" s="1872" t="s">
        <v>4396</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4397</v>
      </c>
      <c r="D608" s="1858">
        <v>1</v>
      </c>
      <c r="E608" s="1858">
        <v>1</v>
      </c>
      <c r="F608" s="1859">
        <v>2</v>
      </c>
      <c r="G608" s="1872" t="s">
        <v>4397</v>
      </c>
      <c r="H608" s="1856">
        <v>1</v>
      </c>
      <c r="I608" s="1856" t="s">
        <v>3908</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4398</v>
      </c>
      <c r="D609" s="1858">
        <v>1</v>
      </c>
      <c r="E609" s="1858">
        <v>1</v>
      </c>
      <c r="F609" s="1859">
        <v>2</v>
      </c>
      <c r="G609" s="1872" t="s">
        <v>4398</v>
      </c>
      <c r="H609" s="1856">
        <v>1</v>
      </c>
      <c r="I609" s="1856" t="s">
        <v>3908</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4399</v>
      </c>
      <c r="D610" s="1858">
        <v>1</v>
      </c>
      <c r="E610" s="1858">
        <v>0</v>
      </c>
      <c r="F610" s="1859">
        <v>1</v>
      </c>
      <c r="G610" s="1872" t="s">
        <v>4399</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4400</v>
      </c>
      <c r="D611" s="1858">
        <v>1</v>
      </c>
      <c r="E611" s="1858">
        <v>1</v>
      </c>
      <c r="F611" s="1859">
        <v>2</v>
      </c>
      <c r="G611" s="1872" t="s">
        <v>4400</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4401</v>
      </c>
      <c r="D612" s="1858">
        <v>0</v>
      </c>
      <c r="E612" s="1858">
        <v>1</v>
      </c>
      <c r="F612" s="1859">
        <v>1</v>
      </c>
      <c r="G612" s="1872" t="s">
        <v>4401</v>
      </c>
      <c r="H612" s="1856">
        <v>0</v>
      </c>
      <c r="I612" s="1856" t="s">
        <v>3908</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4402</v>
      </c>
      <c r="D613" s="1858">
        <v>0</v>
      </c>
      <c r="E613" s="1858">
        <v>0</v>
      </c>
      <c r="F613" s="1859">
        <v>0</v>
      </c>
      <c r="G613" s="1872" t="s">
        <v>4402</v>
      </c>
      <c r="H613" s="1856">
        <v>0</v>
      </c>
      <c r="I613" s="1856" t="s">
        <v>3908</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4403</v>
      </c>
      <c r="D614" s="1858">
        <v>0</v>
      </c>
      <c r="E614" s="1858">
        <v>1</v>
      </c>
      <c r="F614" s="1859">
        <v>1</v>
      </c>
      <c r="G614" s="1872" t="s">
        <v>4403</v>
      </c>
      <c r="H614" s="1856">
        <v>0</v>
      </c>
      <c r="I614" s="1856" t="s">
        <v>3908</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4404</v>
      </c>
      <c r="D615" s="1858">
        <v>0</v>
      </c>
      <c r="E615" s="1858">
        <v>0</v>
      </c>
      <c r="F615" s="1859">
        <v>0</v>
      </c>
      <c r="G615" s="1872" t="s">
        <v>4404</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4405</v>
      </c>
      <c r="D616" s="1858">
        <v>0</v>
      </c>
      <c r="E616" s="1858">
        <v>0</v>
      </c>
      <c r="F616" s="1859">
        <v>0</v>
      </c>
      <c r="G616" s="1872" t="s">
        <v>4405</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4406</v>
      </c>
      <c r="D617" s="1858">
        <v>1</v>
      </c>
      <c r="E617" s="1858">
        <v>0</v>
      </c>
      <c r="F617" s="1859">
        <v>1</v>
      </c>
      <c r="G617" s="1872" t="s">
        <v>4406</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4407</v>
      </c>
      <c r="D618" s="1858">
        <v>1</v>
      </c>
      <c r="E618" s="1858">
        <v>1</v>
      </c>
      <c r="F618" s="1859">
        <v>2</v>
      </c>
      <c r="G618" s="1872" t="s">
        <v>4407</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4408</v>
      </c>
      <c r="D619" s="1858">
        <v>0</v>
      </c>
      <c r="E619" s="1858">
        <v>1</v>
      </c>
      <c r="F619" s="1859">
        <v>1</v>
      </c>
      <c r="G619" s="1872" t="s">
        <v>4408</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4409</v>
      </c>
      <c r="D620" s="1858">
        <v>0</v>
      </c>
      <c r="E620" s="1858">
        <v>0</v>
      </c>
      <c r="F620" s="1859">
        <v>0</v>
      </c>
      <c r="G620" s="1872" t="s">
        <v>4409</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4410</v>
      </c>
      <c r="D621" s="1858">
        <v>1</v>
      </c>
      <c r="E621" s="1858">
        <v>1</v>
      </c>
      <c r="F621" s="1859">
        <v>2</v>
      </c>
      <c r="G621" s="1872" t="s">
        <v>4410</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4411</v>
      </c>
      <c r="D622" s="1858">
        <v>0</v>
      </c>
      <c r="E622" s="1858">
        <v>1</v>
      </c>
      <c r="F622" s="1859">
        <v>1</v>
      </c>
      <c r="G622" s="1872" t="s">
        <v>4411</v>
      </c>
      <c r="H622" s="1856">
        <v>0</v>
      </c>
      <c r="I622" s="1856" t="s">
        <v>3908</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4412</v>
      </c>
      <c r="D623" s="1858">
        <v>1</v>
      </c>
      <c r="E623" s="1858">
        <v>1</v>
      </c>
      <c r="F623" s="1859">
        <v>2</v>
      </c>
      <c r="G623" s="1872" t="s">
        <v>4412</v>
      </c>
      <c r="H623" s="1856">
        <v>1</v>
      </c>
      <c r="I623" s="1856" t="s">
        <v>3908</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4413</v>
      </c>
      <c r="D624" s="1858">
        <v>0</v>
      </c>
      <c r="E624" s="1858">
        <v>0</v>
      </c>
      <c r="F624" s="1859">
        <v>0</v>
      </c>
      <c r="G624" s="1872" t="s">
        <v>4413</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4414</v>
      </c>
      <c r="D625" s="1858">
        <v>0</v>
      </c>
      <c r="E625" s="1858">
        <v>0</v>
      </c>
      <c r="F625" s="1859">
        <v>0</v>
      </c>
      <c r="G625" s="1872" t="s">
        <v>4414</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4415</v>
      </c>
      <c r="D626" s="1858">
        <v>0</v>
      </c>
      <c r="E626" s="1858">
        <v>0</v>
      </c>
      <c r="F626" s="1859">
        <v>0</v>
      </c>
      <c r="G626" s="1872" t="s">
        <v>4415</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4416</v>
      </c>
      <c r="D627" s="1858">
        <v>1</v>
      </c>
      <c r="E627" s="1858">
        <v>0</v>
      </c>
      <c r="F627" s="1859">
        <v>1</v>
      </c>
      <c r="G627" s="1872" t="s">
        <v>4416</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4417</v>
      </c>
      <c r="D628" s="1858">
        <v>0</v>
      </c>
      <c r="E628" s="1858">
        <v>0</v>
      </c>
      <c r="F628" s="1859">
        <v>0</v>
      </c>
      <c r="G628" s="1872" t="s">
        <v>4417</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4418</v>
      </c>
      <c r="D629" s="1858">
        <v>0</v>
      </c>
      <c r="E629" s="1858">
        <v>0</v>
      </c>
      <c r="F629" s="1859">
        <v>0</v>
      </c>
      <c r="G629" s="1872" t="s">
        <v>4418</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4419</v>
      </c>
      <c r="D630" s="1858">
        <v>1</v>
      </c>
      <c r="E630" s="1858">
        <v>1</v>
      </c>
      <c r="F630" s="1859">
        <v>2</v>
      </c>
      <c r="G630" s="1872" t="s">
        <v>4419</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4420</v>
      </c>
      <c r="D631" s="1858">
        <v>0</v>
      </c>
      <c r="E631" s="1858">
        <v>0</v>
      </c>
      <c r="F631" s="1859">
        <v>0</v>
      </c>
      <c r="G631" s="1872" t="s">
        <v>4420</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4421</v>
      </c>
      <c r="D632" s="1858">
        <v>0</v>
      </c>
      <c r="E632" s="1858">
        <v>0</v>
      </c>
      <c r="F632" s="1859">
        <v>0</v>
      </c>
      <c r="G632" s="1872" t="s">
        <v>4421</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4422</v>
      </c>
      <c r="D633" s="1858">
        <v>0</v>
      </c>
      <c r="E633" s="1858">
        <v>0</v>
      </c>
      <c r="F633" s="1859">
        <v>0</v>
      </c>
      <c r="G633" s="1872" t="s">
        <v>4422</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4423</v>
      </c>
      <c r="D634" s="1858">
        <v>0</v>
      </c>
      <c r="E634" s="1858">
        <v>0</v>
      </c>
      <c r="F634" s="1859">
        <v>0</v>
      </c>
      <c r="G634" s="1872" t="s">
        <v>4423</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4424</v>
      </c>
      <c r="D635" s="1858">
        <v>1</v>
      </c>
      <c r="E635" s="1858">
        <v>0</v>
      </c>
      <c r="F635" s="1859">
        <v>1</v>
      </c>
      <c r="G635" s="1872" t="s">
        <v>4424</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4425</v>
      </c>
      <c r="D636" s="1858">
        <v>0</v>
      </c>
      <c r="E636" s="1858">
        <v>1</v>
      </c>
      <c r="F636" s="1859">
        <v>1</v>
      </c>
      <c r="G636" s="1872" t="s">
        <v>4425</v>
      </c>
      <c r="H636" s="1856">
        <v>0</v>
      </c>
      <c r="I636" s="1856" t="s">
        <v>3908</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4426</v>
      </c>
      <c r="D637" s="1858">
        <v>0</v>
      </c>
      <c r="E637" s="1858">
        <v>1</v>
      </c>
      <c r="F637" s="1859">
        <v>1</v>
      </c>
      <c r="G637" s="1872" t="s">
        <v>4426</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4427</v>
      </c>
      <c r="D638" s="1858">
        <v>0</v>
      </c>
      <c r="E638" s="1858">
        <v>0</v>
      </c>
      <c r="F638" s="1859">
        <v>0</v>
      </c>
      <c r="G638" s="1872" t="s">
        <v>4427</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4428</v>
      </c>
      <c r="D639" s="1858">
        <v>1</v>
      </c>
      <c r="E639" s="1858">
        <v>0</v>
      </c>
      <c r="F639" s="1859">
        <v>1</v>
      </c>
      <c r="G639" s="1872" t="s">
        <v>4428</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4429</v>
      </c>
      <c r="D640" s="1858">
        <v>1</v>
      </c>
      <c r="E640" s="1858">
        <v>1</v>
      </c>
      <c r="F640" s="1859">
        <v>2</v>
      </c>
      <c r="G640" s="1872" t="s">
        <v>4429</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4430</v>
      </c>
      <c r="D641" s="1858">
        <v>1</v>
      </c>
      <c r="E641" s="1858">
        <v>1</v>
      </c>
      <c r="F641" s="1859">
        <v>2</v>
      </c>
      <c r="G641" s="1872" t="s">
        <v>4430</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4431</v>
      </c>
      <c r="D642" s="1858">
        <v>0</v>
      </c>
      <c r="E642" s="1858">
        <v>0</v>
      </c>
      <c r="F642" s="1859">
        <v>0</v>
      </c>
      <c r="G642" s="1872" t="s">
        <v>4431</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4432</v>
      </c>
      <c r="D643" s="1858">
        <v>0</v>
      </c>
      <c r="E643" s="1858">
        <v>0</v>
      </c>
      <c r="F643" s="1859">
        <v>0</v>
      </c>
      <c r="G643" s="1872" t="s">
        <v>4432</v>
      </c>
      <c r="H643" s="1856">
        <v>0</v>
      </c>
      <c r="I643" s="1856" t="s">
        <v>3908</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4433</v>
      </c>
      <c r="D644" s="1858">
        <v>0</v>
      </c>
      <c r="E644" s="1858">
        <v>0</v>
      </c>
      <c r="F644" s="1859">
        <v>0</v>
      </c>
      <c r="G644" s="1872" t="s">
        <v>4433</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4434</v>
      </c>
      <c r="D645" s="1858">
        <v>0</v>
      </c>
      <c r="E645" s="1858">
        <v>0</v>
      </c>
      <c r="F645" s="1859">
        <v>0</v>
      </c>
      <c r="G645" s="1872" t="s">
        <v>4434</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4435</v>
      </c>
      <c r="D646" s="1858">
        <v>0</v>
      </c>
      <c r="E646" s="1858">
        <v>0</v>
      </c>
      <c r="F646" s="1859">
        <v>0</v>
      </c>
      <c r="G646" s="1872" t="s">
        <v>4435</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4436</v>
      </c>
      <c r="D647" s="1858">
        <v>0</v>
      </c>
      <c r="E647" s="1858">
        <v>0</v>
      </c>
      <c r="F647" s="1859">
        <v>0</v>
      </c>
      <c r="G647" s="1872" t="s">
        <v>4436</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4437</v>
      </c>
      <c r="D648" s="1858">
        <v>0</v>
      </c>
      <c r="E648" s="1858">
        <v>0</v>
      </c>
      <c r="F648" s="1859">
        <v>0</v>
      </c>
      <c r="G648" s="1872" t="s">
        <v>4437</v>
      </c>
      <c r="H648" s="1856">
        <v>0</v>
      </c>
      <c r="I648" s="1856" t="s">
        <v>3908</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4438</v>
      </c>
      <c r="D649" s="1858">
        <v>0</v>
      </c>
      <c r="E649" s="1858">
        <v>0</v>
      </c>
      <c r="F649" s="1859">
        <v>0</v>
      </c>
      <c r="G649" s="1872" t="s">
        <v>4438</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4439</v>
      </c>
      <c r="D650" s="1858">
        <v>0</v>
      </c>
      <c r="E650" s="1858">
        <v>0</v>
      </c>
      <c r="F650" s="1859">
        <v>0</v>
      </c>
      <c r="G650" s="1872" t="s">
        <v>4439</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4440</v>
      </c>
      <c r="D651" s="1858">
        <v>0</v>
      </c>
      <c r="E651" s="1858">
        <v>0</v>
      </c>
      <c r="F651" s="1859">
        <v>0</v>
      </c>
      <c r="G651" s="1872" t="s">
        <v>4440</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4441</v>
      </c>
      <c r="D652" s="1858">
        <v>0</v>
      </c>
      <c r="E652" s="1858">
        <v>0</v>
      </c>
      <c r="F652" s="1859">
        <v>0</v>
      </c>
      <c r="G652" s="1872" t="s">
        <v>4441</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4442</v>
      </c>
      <c r="D653" s="1858">
        <v>0</v>
      </c>
      <c r="E653" s="1858">
        <v>0</v>
      </c>
      <c r="F653" s="1859">
        <v>0</v>
      </c>
      <c r="G653" s="1872" t="s">
        <v>4442</v>
      </c>
      <c r="H653" s="1856">
        <v>1</v>
      </c>
      <c r="I653" s="1856" t="s">
        <v>3908</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4443</v>
      </c>
      <c r="D654" s="1858">
        <v>0</v>
      </c>
      <c r="E654" s="1858">
        <v>0</v>
      </c>
      <c r="F654" s="1859">
        <v>0</v>
      </c>
      <c r="G654" s="1872" t="s">
        <v>4443</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4444</v>
      </c>
      <c r="D655" s="1858">
        <v>1</v>
      </c>
      <c r="E655" s="1858">
        <v>0</v>
      </c>
      <c r="F655" s="1859">
        <v>1</v>
      </c>
      <c r="G655" s="1872" t="s">
        <v>4444</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4445</v>
      </c>
      <c r="D656" s="1858">
        <v>0</v>
      </c>
      <c r="E656" s="1858">
        <v>0</v>
      </c>
      <c r="F656" s="1859">
        <v>0</v>
      </c>
      <c r="G656" s="1872" t="s">
        <v>4445</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4446</v>
      </c>
      <c r="D657" s="1858">
        <v>0</v>
      </c>
      <c r="E657" s="1858">
        <v>0</v>
      </c>
      <c r="F657" s="1859">
        <v>0</v>
      </c>
      <c r="G657" s="1872" t="s">
        <v>4446</v>
      </c>
      <c r="H657" s="1856">
        <v>0</v>
      </c>
      <c r="I657" s="1856">
        <v>0</v>
      </c>
      <c r="J657" s="1873">
        <v>0</v>
      </c>
      <c r="K657" s="1860"/>
      <c r="L657" s="1854">
        <v>13063040413</v>
      </c>
      <c r="M657" s="1855">
        <v>0</v>
      </c>
      <c r="N657" s="1855">
        <v>0</v>
      </c>
      <c r="O657" s="1855">
        <v>0</v>
      </c>
      <c r="P657" s="568" t="s">
        <v>1765</v>
      </c>
      <c r="Q657" s="313"/>
      <c r="R657" s="183"/>
      <c r="S657" s="414"/>
      <c r="T657" s="515" t="s">
        <v>3784</v>
      </c>
      <c r="U657" s="515" t="s">
        <v>1133</v>
      </c>
      <c r="AA657" s="27"/>
      <c r="AB657" s="27"/>
      <c r="AC657" s="911"/>
      <c r="AD657" s="523"/>
    </row>
    <row r="658" spans="3:30" ht="10.5" customHeight="1">
      <c r="C658" s="1861" t="s">
        <v>4447</v>
      </c>
      <c r="D658" s="1858">
        <v>0</v>
      </c>
      <c r="E658" s="1858">
        <v>0</v>
      </c>
      <c r="F658" s="1859">
        <v>0</v>
      </c>
      <c r="G658" s="1872" t="s">
        <v>4447</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4448</v>
      </c>
      <c r="D659" s="1858">
        <v>0</v>
      </c>
      <c r="E659" s="1858">
        <v>0</v>
      </c>
      <c r="F659" s="1859">
        <v>0</v>
      </c>
      <c r="G659" s="1872" t="s">
        <v>4448</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4449</v>
      </c>
      <c r="D660" s="1858">
        <v>0</v>
      </c>
      <c r="E660" s="1858">
        <v>0</v>
      </c>
      <c r="F660" s="1859">
        <v>0</v>
      </c>
      <c r="G660" s="1872" t="s">
        <v>4449</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4450</v>
      </c>
      <c r="D661" s="1858">
        <v>0</v>
      </c>
      <c r="E661" s="1858">
        <v>0</v>
      </c>
      <c r="F661" s="1859">
        <v>0</v>
      </c>
      <c r="G661" s="1872" t="s">
        <v>4450</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4451</v>
      </c>
      <c r="D662" s="1858">
        <v>0</v>
      </c>
      <c r="E662" s="1858">
        <v>0</v>
      </c>
      <c r="F662" s="1859">
        <v>0</v>
      </c>
      <c r="G662" s="1872" t="s">
        <v>4451</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4452</v>
      </c>
      <c r="D663" s="1858">
        <v>0</v>
      </c>
      <c r="E663" s="1858">
        <v>0</v>
      </c>
      <c r="F663" s="1859">
        <v>0</v>
      </c>
      <c r="G663" s="1872" t="s">
        <v>4452</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4453</v>
      </c>
      <c r="D664" s="1858">
        <v>0</v>
      </c>
      <c r="E664" s="1858">
        <v>0</v>
      </c>
      <c r="F664" s="1859">
        <v>0</v>
      </c>
      <c r="G664" s="1872" t="s">
        <v>4453</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4454</v>
      </c>
      <c r="D665" s="1858">
        <v>0</v>
      </c>
      <c r="E665" s="1858">
        <v>1</v>
      </c>
      <c r="F665" s="1859">
        <v>1</v>
      </c>
      <c r="G665" s="1872" t="s">
        <v>4454</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4455</v>
      </c>
      <c r="D666" s="1858">
        <v>0</v>
      </c>
      <c r="E666" s="1858">
        <v>0</v>
      </c>
      <c r="F666" s="1859">
        <v>0</v>
      </c>
      <c r="G666" s="1872" t="s">
        <v>4455</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4456</v>
      </c>
      <c r="D667" s="1858">
        <v>0</v>
      </c>
      <c r="E667" s="1858">
        <v>0</v>
      </c>
      <c r="F667" s="1859">
        <v>0</v>
      </c>
      <c r="G667" s="1872" t="s">
        <v>4456</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4457</v>
      </c>
      <c r="D668" s="1858">
        <v>0</v>
      </c>
      <c r="E668" s="1858">
        <v>0</v>
      </c>
      <c r="F668" s="1859">
        <v>0</v>
      </c>
      <c r="G668" s="1872" t="s">
        <v>4457</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4458</v>
      </c>
      <c r="D669" s="1858">
        <v>0</v>
      </c>
      <c r="E669" s="1858">
        <v>0</v>
      </c>
      <c r="F669" s="1859">
        <v>0</v>
      </c>
      <c r="G669" s="1872" t="s">
        <v>4458</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4459</v>
      </c>
      <c r="D670" s="1858">
        <v>0</v>
      </c>
      <c r="E670" s="1858">
        <v>0</v>
      </c>
      <c r="F670" s="1859">
        <v>0</v>
      </c>
      <c r="G670" s="1872" t="s">
        <v>4459</v>
      </c>
      <c r="H670" s="1856">
        <v>0</v>
      </c>
      <c r="I670" s="1856" t="s">
        <v>3908</v>
      </c>
      <c r="J670" s="1873">
        <v>0</v>
      </c>
      <c r="K670" s="1860"/>
      <c r="L670" s="1854">
        <v>13063040519</v>
      </c>
      <c r="M670" s="1855">
        <v>0</v>
      </c>
      <c r="N670" s="1855">
        <v>0</v>
      </c>
      <c r="O670" s="1855">
        <v>0</v>
      </c>
      <c r="P670" s="568" t="s">
        <v>1830</v>
      </c>
      <c r="Q670" s="313"/>
      <c r="R670" s="183"/>
      <c r="S670" s="414"/>
      <c r="T670" s="515" t="s">
        <v>3785</v>
      </c>
      <c r="U670" s="515" t="s">
        <v>585</v>
      </c>
      <c r="AA670" s="27"/>
      <c r="AB670" s="27"/>
      <c r="AC670" s="911"/>
      <c r="AD670" s="523"/>
    </row>
    <row r="671" spans="3:30" ht="10.5" customHeight="1">
      <c r="C671" s="1861" t="s">
        <v>4460</v>
      </c>
      <c r="D671" s="1858">
        <v>0</v>
      </c>
      <c r="E671" s="1858">
        <v>0</v>
      </c>
      <c r="F671" s="1859">
        <v>0</v>
      </c>
      <c r="G671" s="1872" t="s">
        <v>4460</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4461</v>
      </c>
      <c r="D672" s="1858">
        <v>0</v>
      </c>
      <c r="E672" s="1858">
        <v>0</v>
      </c>
      <c r="F672" s="1859">
        <v>0</v>
      </c>
      <c r="G672" s="1872" t="s">
        <v>4461</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4462</v>
      </c>
      <c r="D673" s="1858">
        <v>0</v>
      </c>
      <c r="E673" s="1858">
        <v>0</v>
      </c>
      <c r="F673" s="1859">
        <v>0</v>
      </c>
      <c r="G673" s="1872" t="s">
        <v>4462</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4463</v>
      </c>
      <c r="D674" s="1858">
        <v>0</v>
      </c>
      <c r="E674" s="1858">
        <v>0</v>
      </c>
      <c r="F674" s="1859">
        <v>0</v>
      </c>
      <c r="G674" s="1872" t="s">
        <v>4463</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4464</v>
      </c>
      <c r="D675" s="1858">
        <v>0</v>
      </c>
      <c r="E675" s="1858">
        <v>0</v>
      </c>
      <c r="F675" s="1859">
        <v>0</v>
      </c>
      <c r="G675" s="1872" t="s">
        <v>4464</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4465</v>
      </c>
      <c r="D676" s="1858">
        <v>0</v>
      </c>
      <c r="E676" s="1858">
        <v>0</v>
      </c>
      <c r="F676" s="1859">
        <v>0</v>
      </c>
      <c r="G676" s="1872" t="s">
        <v>4465</v>
      </c>
      <c r="H676" s="1856">
        <v>0</v>
      </c>
      <c r="I676" s="1856" t="s">
        <v>3908</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4466</v>
      </c>
      <c r="D677" s="1858">
        <v>0</v>
      </c>
      <c r="E677" s="1858">
        <v>0</v>
      </c>
      <c r="F677" s="1859">
        <v>0</v>
      </c>
      <c r="G677" s="1872" t="s">
        <v>4466</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4467</v>
      </c>
      <c r="D678" s="1858">
        <v>0</v>
      </c>
      <c r="E678" s="1858">
        <v>0</v>
      </c>
      <c r="F678" s="1859">
        <v>0</v>
      </c>
      <c r="G678" s="1872" t="s">
        <v>4467</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4468</v>
      </c>
      <c r="D679" s="1858">
        <v>1</v>
      </c>
      <c r="E679" s="1858">
        <v>1</v>
      </c>
      <c r="F679" s="1859">
        <v>2</v>
      </c>
      <c r="G679" s="1872" t="s">
        <v>4468</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4469</v>
      </c>
      <c r="D680" s="1858">
        <v>1</v>
      </c>
      <c r="E680" s="1858">
        <v>1</v>
      </c>
      <c r="F680" s="1859">
        <v>2</v>
      </c>
      <c r="G680" s="1872" t="s">
        <v>4469</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4470</v>
      </c>
      <c r="D681" s="1858">
        <v>0</v>
      </c>
      <c r="E681" s="1858">
        <v>0</v>
      </c>
      <c r="F681" s="1859">
        <v>0</v>
      </c>
      <c r="G681" s="1872" t="s">
        <v>4470</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4471</v>
      </c>
      <c r="D682" s="1858">
        <v>0</v>
      </c>
      <c r="E682" s="1858">
        <v>0</v>
      </c>
      <c r="F682" s="1859">
        <v>0</v>
      </c>
      <c r="G682" s="1872" t="s">
        <v>4471</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4472</v>
      </c>
      <c r="D683" s="1858">
        <v>0</v>
      </c>
      <c r="E683" s="1858">
        <v>0</v>
      </c>
      <c r="F683" s="1859">
        <v>0</v>
      </c>
      <c r="G683" s="1872" t="s">
        <v>4472</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4473</v>
      </c>
      <c r="D684" s="1858">
        <v>1</v>
      </c>
      <c r="E684" s="1858">
        <v>0</v>
      </c>
      <c r="F684" s="1859">
        <v>1</v>
      </c>
      <c r="G684" s="1872" t="s">
        <v>4473</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4474</v>
      </c>
      <c r="D685" s="1858">
        <v>1</v>
      </c>
      <c r="E685" s="1858">
        <v>0</v>
      </c>
      <c r="F685" s="1859">
        <v>1</v>
      </c>
      <c r="G685" s="1872" t="s">
        <v>4474</v>
      </c>
      <c r="H685" s="1856">
        <v>1</v>
      </c>
      <c r="I685" s="1856" t="s">
        <v>3908</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4475</v>
      </c>
      <c r="D686" s="1858">
        <v>0</v>
      </c>
      <c r="E686" s="1858">
        <v>0</v>
      </c>
      <c r="F686" s="1859">
        <v>0</v>
      </c>
      <c r="G686" s="1872" t="s">
        <v>4475</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4476</v>
      </c>
      <c r="D687" s="1858">
        <v>0</v>
      </c>
      <c r="E687" s="1858">
        <v>0</v>
      </c>
      <c r="F687" s="1859">
        <v>0</v>
      </c>
      <c r="G687" s="1872" t="s">
        <v>4476</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4477</v>
      </c>
      <c r="D688" s="1858">
        <v>0</v>
      </c>
      <c r="E688" s="1858">
        <v>0</v>
      </c>
      <c r="F688" s="1859">
        <v>0</v>
      </c>
      <c r="G688" s="1872" t="s">
        <v>4477</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4478</v>
      </c>
      <c r="D689" s="1858">
        <v>0</v>
      </c>
      <c r="E689" s="1858">
        <v>1</v>
      </c>
      <c r="F689" s="1859">
        <v>1</v>
      </c>
      <c r="G689" s="1872" t="s">
        <v>4478</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4479</v>
      </c>
      <c r="D690" s="1858">
        <v>0</v>
      </c>
      <c r="E690" s="1858">
        <v>0</v>
      </c>
      <c r="F690" s="1859">
        <v>0</v>
      </c>
      <c r="G690" s="1872" t="s">
        <v>4479</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4480</v>
      </c>
      <c r="D691" s="1858">
        <v>0</v>
      </c>
      <c r="E691" s="1858">
        <v>0</v>
      </c>
      <c r="F691" s="1859">
        <v>0</v>
      </c>
      <c r="G691" s="1872" t="s">
        <v>4480</v>
      </c>
      <c r="H691" s="1856">
        <v>0</v>
      </c>
      <c r="I691" s="1856" t="s">
        <v>3908</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4481</v>
      </c>
      <c r="D692" s="1858" t="s">
        <v>3908</v>
      </c>
      <c r="E692" s="1858" t="s">
        <v>3908</v>
      </c>
      <c r="F692" s="1859">
        <v>0</v>
      </c>
      <c r="G692" s="1872" t="s">
        <v>4481</v>
      </c>
      <c r="H692" s="1856" t="s">
        <v>3908</v>
      </c>
      <c r="I692" s="1856" t="s">
        <v>3908</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4482</v>
      </c>
      <c r="D693" s="1858">
        <v>0</v>
      </c>
      <c r="E693" s="1858">
        <v>0</v>
      </c>
      <c r="F693" s="1859">
        <v>0</v>
      </c>
      <c r="G693" s="1872" t="s">
        <v>4482</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4483</v>
      </c>
      <c r="D694" s="1858">
        <v>0</v>
      </c>
      <c r="E694" s="1858">
        <v>0</v>
      </c>
      <c r="F694" s="1859">
        <v>0</v>
      </c>
      <c r="G694" s="1872" t="s">
        <v>4483</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4484</v>
      </c>
      <c r="D695" s="1858">
        <v>1</v>
      </c>
      <c r="E695" s="1858">
        <v>1</v>
      </c>
      <c r="F695" s="1859">
        <v>2</v>
      </c>
      <c r="G695" s="1872" t="s">
        <v>4484</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4485</v>
      </c>
      <c r="D696" s="1858">
        <v>1</v>
      </c>
      <c r="E696" s="1858">
        <v>1</v>
      </c>
      <c r="F696" s="1859">
        <v>2</v>
      </c>
      <c r="G696" s="1872" t="s">
        <v>4485</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4486</v>
      </c>
      <c r="D697" s="1858">
        <v>0</v>
      </c>
      <c r="E697" s="1858">
        <v>0</v>
      </c>
      <c r="F697" s="1859">
        <v>0</v>
      </c>
      <c r="G697" s="1872" t="s">
        <v>4486</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4487</v>
      </c>
      <c r="D698" s="1858">
        <v>0</v>
      </c>
      <c r="E698" s="1858">
        <v>0</v>
      </c>
      <c r="F698" s="1859">
        <v>0</v>
      </c>
      <c r="G698" s="1872" t="s">
        <v>4487</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4488</v>
      </c>
      <c r="D699" s="1858">
        <v>1</v>
      </c>
      <c r="E699" s="1858">
        <v>1</v>
      </c>
      <c r="F699" s="1859">
        <v>2</v>
      </c>
      <c r="G699" s="1872" t="s">
        <v>4488</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4489</v>
      </c>
      <c r="D700" s="1858">
        <v>1</v>
      </c>
      <c r="E700" s="1858">
        <v>1</v>
      </c>
      <c r="F700" s="1859">
        <v>2</v>
      </c>
      <c r="G700" s="1872" t="s">
        <v>4489</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4490</v>
      </c>
      <c r="D701" s="1858">
        <v>1</v>
      </c>
      <c r="E701" s="1858">
        <v>1</v>
      </c>
      <c r="F701" s="1859">
        <v>2</v>
      </c>
      <c r="G701" s="1872" t="s">
        <v>4490</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4491</v>
      </c>
      <c r="D702" s="1858">
        <v>1</v>
      </c>
      <c r="E702" s="1858">
        <v>1</v>
      </c>
      <c r="F702" s="1859">
        <v>2</v>
      </c>
      <c r="G702" s="1872" t="s">
        <v>4491</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4492</v>
      </c>
      <c r="D703" s="1858">
        <v>1</v>
      </c>
      <c r="E703" s="1858">
        <v>1</v>
      </c>
      <c r="F703" s="1859">
        <v>2</v>
      </c>
      <c r="G703" s="1872" t="s">
        <v>4492</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4493</v>
      </c>
      <c r="D704" s="1858">
        <v>1</v>
      </c>
      <c r="E704" s="1858">
        <v>1</v>
      </c>
      <c r="F704" s="1859">
        <v>2</v>
      </c>
      <c r="G704" s="1872" t="s">
        <v>4493</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4494</v>
      </c>
      <c r="D705" s="1858">
        <v>1</v>
      </c>
      <c r="E705" s="1858">
        <v>1</v>
      </c>
      <c r="F705" s="1859">
        <v>2</v>
      </c>
      <c r="G705" s="1872" t="s">
        <v>4494</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4495</v>
      </c>
      <c r="D706" s="1858">
        <v>1</v>
      </c>
      <c r="E706" s="1858">
        <v>1</v>
      </c>
      <c r="F706" s="1859">
        <v>2</v>
      </c>
      <c r="G706" s="1872" t="s">
        <v>4495</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4496</v>
      </c>
      <c r="D707" s="1858">
        <v>1</v>
      </c>
      <c r="E707" s="1858">
        <v>1</v>
      </c>
      <c r="F707" s="1859">
        <v>2</v>
      </c>
      <c r="G707" s="1872" t="s">
        <v>4496</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4497</v>
      </c>
      <c r="D708" s="1858">
        <v>1</v>
      </c>
      <c r="E708" s="1858">
        <v>1</v>
      </c>
      <c r="F708" s="1859">
        <v>2</v>
      </c>
      <c r="G708" s="1872" t="s">
        <v>4497</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4498</v>
      </c>
      <c r="D709" s="1858">
        <v>1</v>
      </c>
      <c r="E709" s="1858">
        <v>1</v>
      </c>
      <c r="F709" s="1859">
        <v>2</v>
      </c>
      <c r="G709" s="1872" t="s">
        <v>4498</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4499</v>
      </c>
      <c r="D710" s="1858">
        <v>1</v>
      </c>
      <c r="E710" s="1858">
        <v>1</v>
      </c>
      <c r="F710" s="1859">
        <v>2</v>
      </c>
      <c r="G710" s="1872" t="s">
        <v>4499</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4500</v>
      </c>
      <c r="D711" s="1858">
        <v>1</v>
      </c>
      <c r="E711" s="1858">
        <v>1</v>
      </c>
      <c r="F711" s="1859">
        <v>2</v>
      </c>
      <c r="G711" s="1872" t="s">
        <v>4500</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4501</v>
      </c>
      <c r="D712" s="1858">
        <v>0</v>
      </c>
      <c r="E712" s="1858">
        <v>1</v>
      </c>
      <c r="F712" s="1859">
        <v>1</v>
      </c>
      <c r="G712" s="1872" t="s">
        <v>4501</v>
      </c>
      <c r="H712" s="1856">
        <v>0</v>
      </c>
      <c r="I712" s="1856" t="s">
        <v>3908</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4502</v>
      </c>
      <c r="D713" s="1858">
        <v>1</v>
      </c>
      <c r="E713" s="1858">
        <v>1</v>
      </c>
      <c r="F713" s="1859">
        <v>2</v>
      </c>
      <c r="G713" s="1872" t="s">
        <v>4502</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4503</v>
      </c>
      <c r="D714" s="1858">
        <v>1</v>
      </c>
      <c r="E714" s="1858">
        <v>1</v>
      </c>
      <c r="F714" s="1859">
        <v>2</v>
      </c>
      <c r="G714" s="1872" t="s">
        <v>4503</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4504</v>
      </c>
      <c r="D715" s="1858">
        <v>1</v>
      </c>
      <c r="E715" s="1858">
        <v>1</v>
      </c>
      <c r="F715" s="1859">
        <v>2</v>
      </c>
      <c r="G715" s="1872" t="s">
        <v>4504</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4505</v>
      </c>
      <c r="D716" s="1858">
        <v>1</v>
      </c>
      <c r="E716" s="1858">
        <v>1</v>
      </c>
      <c r="F716" s="1859">
        <v>2</v>
      </c>
      <c r="G716" s="1872" t="s">
        <v>4505</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4506</v>
      </c>
      <c r="D717" s="1858">
        <v>1</v>
      </c>
      <c r="E717" s="1858">
        <v>1</v>
      </c>
      <c r="F717" s="1859">
        <v>2</v>
      </c>
      <c r="G717" s="1872" t="s">
        <v>4506</v>
      </c>
      <c r="H717" s="1856">
        <v>1</v>
      </c>
      <c r="I717" s="1856" t="s">
        <v>3908</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4507</v>
      </c>
      <c r="D718" s="1858">
        <v>1</v>
      </c>
      <c r="E718" s="1858">
        <v>1</v>
      </c>
      <c r="F718" s="1859">
        <v>2</v>
      </c>
      <c r="G718" s="1872" t="s">
        <v>4507</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4508</v>
      </c>
      <c r="D719" s="1858">
        <v>1</v>
      </c>
      <c r="E719" s="1858">
        <v>1</v>
      </c>
      <c r="F719" s="1859">
        <v>2</v>
      </c>
      <c r="G719" s="1872" t="s">
        <v>4508</v>
      </c>
      <c r="H719" s="1856">
        <v>1</v>
      </c>
      <c r="I719" s="1856" t="s">
        <v>3908</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4509</v>
      </c>
      <c r="D720" s="1858">
        <v>1</v>
      </c>
      <c r="E720" s="1858">
        <v>1</v>
      </c>
      <c r="F720" s="1859">
        <v>2</v>
      </c>
      <c r="G720" s="1872" t="s">
        <v>4509</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4510</v>
      </c>
      <c r="D721" s="1858">
        <v>1</v>
      </c>
      <c r="E721" s="1858">
        <v>1</v>
      </c>
      <c r="F721" s="1859">
        <v>2</v>
      </c>
      <c r="G721" s="1872" t="s">
        <v>4510</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4511</v>
      </c>
      <c r="D722" s="1858">
        <v>1</v>
      </c>
      <c r="E722" s="1858">
        <v>1</v>
      </c>
      <c r="F722" s="1859">
        <v>2</v>
      </c>
      <c r="G722" s="1872" t="s">
        <v>4511</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4512</v>
      </c>
      <c r="D723" s="1858">
        <v>1</v>
      </c>
      <c r="E723" s="1858">
        <v>1</v>
      </c>
      <c r="F723" s="1859">
        <v>2</v>
      </c>
      <c r="G723" s="1872" t="s">
        <v>4512</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4513</v>
      </c>
      <c r="D724" s="1858">
        <v>1</v>
      </c>
      <c r="E724" s="1858">
        <v>1</v>
      </c>
      <c r="F724" s="1859">
        <v>2</v>
      </c>
      <c r="G724" s="1872" t="s">
        <v>4513</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4514</v>
      </c>
      <c r="D725" s="1858">
        <v>1</v>
      </c>
      <c r="E725" s="1858">
        <v>1</v>
      </c>
      <c r="F725" s="1859">
        <v>2</v>
      </c>
      <c r="G725" s="1872" t="s">
        <v>4514</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4515</v>
      </c>
      <c r="D726" s="1858">
        <v>1</v>
      </c>
      <c r="E726" s="1858">
        <v>1</v>
      </c>
      <c r="F726" s="1859">
        <v>2</v>
      </c>
      <c r="G726" s="1872" t="s">
        <v>4515</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4516</v>
      </c>
      <c r="D727" s="1858">
        <v>1</v>
      </c>
      <c r="E727" s="1858">
        <v>1</v>
      </c>
      <c r="F727" s="1859">
        <v>2</v>
      </c>
      <c r="G727" s="1872" t="s">
        <v>4516</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4517</v>
      </c>
      <c r="D728" s="1858">
        <v>1</v>
      </c>
      <c r="E728" s="1858">
        <v>1</v>
      </c>
      <c r="F728" s="1859">
        <v>2</v>
      </c>
      <c r="G728" s="1872" t="s">
        <v>4517</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4518</v>
      </c>
      <c r="D729" s="1858">
        <v>1</v>
      </c>
      <c r="E729" s="1858">
        <v>1</v>
      </c>
      <c r="F729" s="1859">
        <v>2</v>
      </c>
      <c r="G729" s="1872" t="s">
        <v>4518</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4519</v>
      </c>
      <c r="D730" s="1858">
        <v>1</v>
      </c>
      <c r="E730" s="1858">
        <v>1</v>
      </c>
      <c r="F730" s="1859">
        <v>2</v>
      </c>
      <c r="G730" s="1872" t="s">
        <v>4519</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4520</v>
      </c>
      <c r="D731" s="1858">
        <v>1</v>
      </c>
      <c r="E731" s="1858">
        <v>1</v>
      </c>
      <c r="F731" s="1859">
        <v>2</v>
      </c>
      <c r="G731" s="1872" t="s">
        <v>4520</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4521</v>
      </c>
      <c r="D732" s="1858">
        <v>1</v>
      </c>
      <c r="E732" s="1858">
        <v>1</v>
      </c>
      <c r="F732" s="1859">
        <v>2</v>
      </c>
      <c r="G732" s="1872" t="s">
        <v>4521</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4522</v>
      </c>
      <c r="D733" s="1858">
        <v>1</v>
      </c>
      <c r="E733" s="1858">
        <v>1</v>
      </c>
      <c r="F733" s="1859">
        <v>2</v>
      </c>
      <c r="G733" s="1872" t="s">
        <v>4522</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4523</v>
      </c>
      <c r="D734" s="1858">
        <v>1</v>
      </c>
      <c r="E734" s="1858">
        <v>1</v>
      </c>
      <c r="F734" s="1859">
        <v>2</v>
      </c>
      <c r="G734" s="1872" t="s">
        <v>4523</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4524</v>
      </c>
      <c r="D735" s="1858">
        <v>1</v>
      </c>
      <c r="E735" s="1858">
        <v>1</v>
      </c>
      <c r="F735" s="1859">
        <v>2</v>
      </c>
      <c r="G735" s="1872" t="s">
        <v>4524</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4525</v>
      </c>
      <c r="D736" s="1858">
        <v>1</v>
      </c>
      <c r="E736" s="1858">
        <v>1</v>
      </c>
      <c r="F736" s="1859">
        <v>2</v>
      </c>
      <c r="G736" s="1872" t="s">
        <v>4525</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4526</v>
      </c>
      <c r="D737" s="1858">
        <v>1</v>
      </c>
      <c r="E737" s="1858">
        <v>1</v>
      </c>
      <c r="F737" s="1859">
        <v>2</v>
      </c>
      <c r="G737" s="1872" t="s">
        <v>4526</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4527</v>
      </c>
      <c r="D738" s="1858">
        <v>1</v>
      </c>
      <c r="E738" s="1858">
        <v>1</v>
      </c>
      <c r="F738" s="1859">
        <v>2</v>
      </c>
      <c r="G738" s="1872" t="s">
        <v>4527</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4528</v>
      </c>
      <c r="D739" s="1858">
        <v>1</v>
      </c>
      <c r="E739" s="1858">
        <v>1</v>
      </c>
      <c r="F739" s="1859">
        <v>2</v>
      </c>
      <c r="G739" s="1872" t="s">
        <v>4528</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c r="C740" s="1861" t="s">
        <v>4529</v>
      </c>
      <c r="D740" s="1858">
        <v>1</v>
      </c>
      <c r="E740" s="1858">
        <v>1</v>
      </c>
      <c r="F740" s="1859">
        <v>2</v>
      </c>
      <c r="G740" s="1872" t="s">
        <v>4529</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c r="C741" s="1861" t="s">
        <v>4530</v>
      </c>
      <c r="D741" s="1858">
        <v>1</v>
      </c>
      <c r="E741" s="1858">
        <v>1</v>
      </c>
      <c r="F741" s="1859">
        <v>2</v>
      </c>
      <c r="G741" s="1872" t="s">
        <v>4530</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c r="C742" s="1861" t="s">
        <v>4531</v>
      </c>
      <c r="D742" s="1858">
        <v>1</v>
      </c>
      <c r="E742" s="1858">
        <v>1</v>
      </c>
      <c r="F742" s="1859">
        <v>2</v>
      </c>
      <c r="G742" s="1872" t="s">
        <v>4531</v>
      </c>
      <c r="H742" s="1856">
        <v>1</v>
      </c>
      <c r="I742" s="1856" t="s">
        <v>3908</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c r="C743" s="1861" t="s">
        <v>4532</v>
      </c>
      <c r="D743" s="1858">
        <v>1</v>
      </c>
      <c r="E743" s="1858">
        <v>1</v>
      </c>
      <c r="F743" s="1859">
        <v>2</v>
      </c>
      <c r="G743" s="1872" t="s">
        <v>4532</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c r="C744" s="1861" t="s">
        <v>4533</v>
      </c>
      <c r="D744" s="1858">
        <v>1</v>
      </c>
      <c r="E744" s="1858">
        <v>1</v>
      </c>
      <c r="F744" s="1859">
        <v>2</v>
      </c>
      <c r="G744" s="1872" t="s">
        <v>4533</v>
      </c>
      <c r="H744" s="1856">
        <v>1</v>
      </c>
      <c r="I744" s="1856" t="s">
        <v>3908</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c r="C745" s="1861" t="s">
        <v>4534</v>
      </c>
      <c r="D745" s="1858">
        <v>1</v>
      </c>
      <c r="E745" s="1858">
        <v>1</v>
      </c>
      <c r="F745" s="1859">
        <v>2</v>
      </c>
      <c r="G745" s="1872" t="s">
        <v>4534</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c r="C746" s="1861" t="s">
        <v>4535</v>
      </c>
      <c r="D746" s="1858">
        <v>1</v>
      </c>
      <c r="E746" s="1858">
        <v>1</v>
      </c>
      <c r="F746" s="1859">
        <v>2</v>
      </c>
      <c r="G746" s="1872" t="s">
        <v>4535</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c r="C747" s="1861" t="s">
        <v>4536</v>
      </c>
      <c r="D747" s="1858">
        <v>1</v>
      </c>
      <c r="E747" s="1858">
        <v>1</v>
      </c>
      <c r="F747" s="1859">
        <v>2</v>
      </c>
      <c r="G747" s="1872" t="s">
        <v>4536</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c r="C748" s="1861" t="s">
        <v>4537</v>
      </c>
      <c r="D748" s="1858">
        <v>1</v>
      </c>
      <c r="E748" s="1858">
        <v>1</v>
      </c>
      <c r="F748" s="1859">
        <v>2</v>
      </c>
      <c r="G748" s="1872" t="s">
        <v>4537</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c r="C749" s="1861" t="s">
        <v>4538</v>
      </c>
      <c r="D749" s="1858">
        <v>1</v>
      </c>
      <c r="E749" s="1858">
        <v>1</v>
      </c>
      <c r="F749" s="1859">
        <v>2</v>
      </c>
      <c r="G749" s="1872" t="s">
        <v>4538</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c r="C750" s="1861" t="s">
        <v>4539</v>
      </c>
      <c r="D750" s="1858">
        <v>1</v>
      </c>
      <c r="E750" s="1858">
        <v>1</v>
      </c>
      <c r="F750" s="1859">
        <v>2</v>
      </c>
      <c r="G750" s="1872" t="s">
        <v>4539</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c r="C751" s="1861" t="s">
        <v>4540</v>
      </c>
      <c r="D751" s="1858">
        <v>1</v>
      </c>
      <c r="E751" s="1858">
        <v>0</v>
      </c>
      <c r="F751" s="1859">
        <v>1</v>
      </c>
      <c r="G751" s="1872" t="s">
        <v>4540</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c r="C752" s="1861" t="s">
        <v>4541</v>
      </c>
      <c r="D752" s="1858">
        <v>1</v>
      </c>
      <c r="E752" s="1858">
        <v>1</v>
      </c>
      <c r="F752" s="1859">
        <v>2</v>
      </c>
      <c r="G752" s="1872" t="s">
        <v>4541</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c r="C753" s="1861" t="s">
        <v>4542</v>
      </c>
      <c r="D753" s="1858">
        <v>1</v>
      </c>
      <c r="E753" s="1858">
        <v>1</v>
      </c>
      <c r="F753" s="1859">
        <v>2</v>
      </c>
      <c r="G753" s="1872" t="s">
        <v>4542</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c r="C754" s="1861" t="s">
        <v>4543</v>
      </c>
      <c r="D754" s="1858">
        <v>1</v>
      </c>
      <c r="E754" s="1858">
        <v>1</v>
      </c>
      <c r="F754" s="1859">
        <v>2</v>
      </c>
      <c r="G754" s="1872" t="s">
        <v>4543</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c r="C755" s="1861" t="s">
        <v>4544</v>
      </c>
      <c r="D755" s="1858">
        <v>1</v>
      </c>
      <c r="E755" s="1858">
        <v>1</v>
      </c>
      <c r="F755" s="1859">
        <v>2</v>
      </c>
      <c r="G755" s="1872" t="s">
        <v>4544</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c r="C756" s="1861" t="s">
        <v>4545</v>
      </c>
      <c r="D756" s="1858">
        <v>0</v>
      </c>
      <c r="E756" s="1858">
        <v>0</v>
      </c>
      <c r="F756" s="1859">
        <v>0</v>
      </c>
      <c r="G756" s="1872" t="s">
        <v>4545</v>
      </c>
      <c r="H756" s="1856">
        <v>0</v>
      </c>
      <c r="I756" s="1856" t="s">
        <v>3908</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c r="C757" s="1861" t="s">
        <v>4546</v>
      </c>
      <c r="D757" s="1858">
        <v>0</v>
      </c>
      <c r="E757" s="1858">
        <v>0</v>
      </c>
      <c r="F757" s="1859">
        <v>0</v>
      </c>
      <c r="G757" s="1872" t="s">
        <v>4546</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c r="C758" s="1861" t="s">
        <v>4547</v>
      </c>
      <c r="D758" s="1858">
        <v>0</v>
      </c>
      <c r="E758" s="1858">
        <v>0</v>
      </c>
      <c r="F758" s="1859">
        <v>0</v>
      </c>
      <c r="G758" s="1872" t="s">
        <v>4547</v>
      </c>
      <c r="H758" s="1856">
        <v>1</v>
      </c>
      <c r="I758" s="1856" t="s">
        <v>3908</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c r="C759" s="1861" t="s">
        <v>4548</v>
      </c>
      <c r="D759" s="1858">
        <v>0</v>
      </c>
      <c r="E759" s="1858">
        <v>0</v>
      </c>
      <c r="F759" s="1859">
        <v>0</v>
      </c>
      <c r="G759" s="1872" t="s">
        <v>4548</v>
      </c>
      <c r="H759" s="1856">
        <v>0</v>
      </c>
      <c r="I759" s="1856" t="s">
        <v>3908</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c r="C760" s="1861" t="s">
        <v>4549</v>
      </c>
      <c r="D760" s="1858">
        <v>1</v>
      </c>
      <c r="E760" s="1858">
        <v>1</v>
      </c>
      <c r="F760" s="1859">
        <v>2</v>
      </c>
      <c r="G760" s="1872" t="s">
        <v>4549</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c r="C761" s="1861" t="s">
        <v>4550</v>
      </c>
      <c r="D761" s="1858">
        <v>1</v>
      </c>
      <c r="E761" s="1858">
        <v>0</v>
      </c>
      <c r="F761" s="1859">
        <v>1</v>
      </c>
      <c r="G761" s="1872" t="s">
        <v>4550</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c r="C762" s="1861" t="s">
        <v>4551</v>
      </c>
      <c r="D762" s="1858">
        <v>1</v>
      </c>
      <c r="E762" s="1858">
        <v>0</v>
      </c>
      <c r="F762" s="1859">
        <v>1</v>
      </c>
      <c r="G762" s="1872" t="s">
        <v>4551</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c r="C763" s="1861" t="s">
        <v>4552</v>
      </c>
      <c r="D763" s="1858">
        <v>1</v>
      </c>
      <c r="E763" s="1858">
        <v>1</v>
      </c>
      <c r="F763" s="1859">
        <v>2</v>
      </c>
      <c r="G763" s="1872" t="s">
        <v>4552</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c r="C764" s="1861" t="s">
        <v>4553</v>
      </c>
      <c r="D764" s="1858">
        <v>1</v>
      </c>
      <c r="E764" s="1858">
        <v>1</v>
      </c>
      <c r="F764" s="1859">
        <v>2</v>
      </c>
      <c r="G764" s="1872" t="s">
        <v>4553</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c r="C765" s="1861" t="s">
        <v>4554</v>
      </c>
      <c r="D765" s="1858">
        <v>1</v>
      </c>
      <c r="E765" s="1858">
        <v>1</v>
      </c>
      <c r="F765" s="1859">
        <v>2</v>
      </c>
      <c r="G765" s="1872" t="s">
        <v>4554</v>
      </c>
      <c r="H765" s="1856">
        <v>1</v>
      </c>
      <c r="I765" s="1856" t="s">
        <v>3908</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c r="C766" s="1861" t="s">
        <v>4555</v>
      </c>
      <c r="D766" s="1858">
        <v>1</v>
      </c>
      <c r="E766" s="1858">
        <v>1</v>
      </c>
      <c r="F766" s="1859">
        <v>2</v>
      </c>
      <c r="G766" s="1872" t="s">
        <v>4555</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c r="C767" s="1861" t="s">
        <v>4556</v>
      </c>
      <c r="D767" s="1858">
        <v>1</v>
      </c>
      <c r="E767" s="1858">
        <v>0</v>
      </c>
      <c r="F767" s="1859">
        <v>1</v>
      </c>
      <c r="G767" s="1872" t="s">
        <v>4556</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c r="C768" s="1861" t="s">
        <v>4557</v>
      </c>
      <c r="D768" s="1858">
        <v>0</v>
      </c>
      <c r="E768" s="1858">
        <v>0</v>
      </c>
      <c r="F768" s="1859">
        <v>0</v>
      </c>
      <c r="G768" s="1872" t="s">
        <v>4557</v>
      </c>
      <c r="H768" s="1856">
        <v>0</v>
      </c>
      <c r="I768" s="1856" t="s">
        <v>3908</v>
      </c>
      <c r="J768" s="1873">
        <v>0</v>
      </c>
      <c r="K768" s="1860"/>
      <c r="L768" s="1854">
        <v>13067030800</v>
      </c>
      <c r="M768" s="1855">
        <v>0</v>
      </c>
      <c r="N768" s="1855">
        <v>0</v>
      </c>
      <c r="O768" s="1855">
        <v>0</v>
      </c>
      <c r="T768" s="457"/>
      <c r="U768" s="457"/>
      <c r="AA768" s="27"/>
      <c r="AB768" s="27"/>
      <c r="AC768" s="523"/>
      <c r="AD768" s="523"/>
    </row>
    <row r="769" spans="3:30">
      <c r="C769" s="1861" t="s">
        <v>4558</v>
      </c>
      <c r="D769" s="1858">
        <v>1</v>
      </c>
      <c r="E769" s="1858">
        <v>1</v>
      </c>
      <c r="F769" s="1859">
        <v>2</v>
      </c>
      <c r="G769" s="1872" t="s">
        <v>4558</v>
      </c>
      <c r="H769" s="1856">
        <v>1</v>
      </c>
      <c r="I769" s="1856">
        <v>1</v>
      </c>
      <c r="J769" s="1873">
        <v>2</v>
      </c>
      <c r="K769" s="1860"/>
      <c r="L769" s="1854">
        <v>13067030901</v>
      </c>
      <c r="M769" s="1855">
        <v>1</v>
      </c>
      <c r="N769" s="1855">
        <v>1</v>
      </c>
      <c r="O769" s="1855">
        <v>2</v>
      </c>
      <c r="T769" s="457"/>
      <c r="U769" s="457"/>
      <c r="AA769" s="27"/>
      <c r="AB769" s="27"/>
      <c r="AC769" s="523"/>
      <c r="AD769" s="523"/>
    </row>
    <row r="770" spans="3:30">
      <c r="C770" s="1861" t="s">
        <v>4559</v>
      </c>
      <c r="D770" s="1858">
        <v>1</v>
      </c>
      <c r="E770" s="1858">
        <v>0</v>
      </c>
      <c r="F770" s="1859">
        <v>1</v>
      </c>
      <c r="G770" s="1872" t="s">
        <v>4559</v>
      </c>
      <c r="H770" s="1856">
        <v>1</v>
      </c>
      <c r="I770" s="1856">
        <v>0</v>
      </c>
      <c r="J770" s="1873">
        <v>1</v>
      </c>
      <c r="K770" s="1860"/>
      <c r="L770" s="1854">
        <v>13067030902</v>
      </c>
      <c r="M770" s="1855">
        <v>1</v>
      </c>
      <c r="N770" s="1855">
        <v>0</v>
      </c>
      <c r="O770" s="1855">
        <v>1</v>
      </c>
      <c r="T770" s="457"/>
      <c r="U770" s="457"/>
      <c r="AA770" s="27"/>
      <c r="AB770" s="27"/>
      <c r="AC770" s="523"/>
      <c r="AD770" s="523"/>
    </row>
    <row r="771" spans="3:30">
      <c r="C771" s="1861" t="s">
        <v>4560</v>
      </c>
      <c r="D771" s="1858">
        <v>0</v>
      </c>
      <c r="E771" s="1858">
        <v>0</v>
      </c>
      <c r="F771" s="1859">
        <v>0</v>
      </c>
      <c r="G771" s="1872" t="s">
        <v>4560</v>
      </c>
      <c r="H771" s="1856">
        <v>0</v>
      </c>
      <c r="I771" s="1856">
        <v>0</v>
      </c>
      <c r="J771" s="1873">
        <v>0</v>
      </c>
      <c r="K771" s="1860"/>
      <c r="L771" s="1854">
        <v>13067030904</v>
      </c>
      <c r="M771" s="1855">
        <v>0</v>
      </c>
      <c r="N771" s="1855">
        <v>0</v>
      </c>
      <c r="O771" s="1855">
        <v>0</v>
      </c>
      <c r="T771" s="457"/>
      <c r="U771" s="457"/>
      <c r="AA771" s="27"/>
      <c r="AB771" s="27"/>
      <c r="AC771" s="523"/>
      <c r="AD771" s="523"/>
    </row>
    <row r="772" spans="3:30">
      <c r="C772" s="1861" t="s">
        <v>4561</v>
      </c>
      <c r="D772" s="1858">
        <v>0</v>
      </c>
      <c r="E772" s="1858">
        <v>0</v>
      </c>
      <c r="F772" s="1859">
        <v>0</v>
      </c>
      <c r="G772" s="1872" t="s">
        <v>4561</v>
      </c>
      <c r="H772" s="1856">
        <v>0</v>
      </c>
      <c r="I772" s="1856">
        <v>0</v>
      </c>
      <c r="J772" s="1873">
        <v>0</v>
      </c>
      <c r="K772" s="1860"/>
      <c r="L772" s="1854">
        <v>13067030905</v>
      </c>
      <c r="M772" s="1855">
        <v>0</v>
      </c>
      <c r="N772" s="1855">
        <v>0</v>
      </c>
      <c r="O772" s="1855">
        <v>0</v>
      </c>
      <c r="AA772" s="27"/>
      <c r="AB772" s="27"/>
      <c r="AC772" s="523"/>
      <c r="AD772" s="523"/>
    </row>
    <row r="773" spans="3:30">
      <c r="C773" s="1861" t="s">
        <v>4562</v>
      </c>
      <c r="D773" s="1858">
        <v>0</v>
      </c>
      <c r="E773" s="1858">
        <v>0</v>
      </c>
      <c r="F773" s="1859">
        <v>0</v>
      </c>
      <c r="G773" s="1872" t="s">
        <v>4562</v>
      </c>
      <c r="H773" s="1856">
        <v>0</v>
      </c>
      <c r="I773" s="1856">
        <v>0</v>
      </c>
      <c r="J773" s="1873">
        <v>0</v>
      </c>
      <c r="K773" s="1860"/>
      <c r="L773" s="1854">
        <v>13067031001</v>
      </c>
      <c r="M773" s="1855">
        <v>0</v>
      </c>
      <c r="N773" s="1855">
        <v>0</v>
      </c>
      <c r="O773" s="1855">
        <v>0</v>
      </c>
      <c r="AA773" s="27"/>
      <c r="AB773" s="27"/>
      <c r="AC773" s="523"/>
      <c r="AD773" s="523"/>
    </row>
    <row r="774" spans="3:30">
      <c r="C774" s="1861" t="s">
        <v>4563</v>
      </c>
      <c r="D774" s="1858">
        <v>0</v>
      </c>
      <c r="E774" s="1858">
        <v>0</v>
      </c>
      <c r="F774" s="1859">
        <v>0</v>
      </c>
      <c r="G774" s="1872" t="s">
        <v>4563</v>
      </c>
      <c r="H774" s="1856">
        <v>0</v>
      </c>
      <c r="I774" s="1856">
        <v>0</v>
      </c>
      <c r="J774" s="1873">
        <v>0</v>
      </c>
      <c r="K774" s="1860"/>
      <c r="L774" s="1854">
        <v>13067031002</v>
      </c>
      <c r="M774" s="1855">
        <v>0</v>
      </c>
      <c r="N774" s="1855">
        <v>0</v>
      </c>
      <c r="O774" s="1855">
        <v>0</v>
      </c>
      <c r="AA774" s="27"/>
      <c r="AB774" s="27"/>
      <c r="AC774" s="523"/>
      <c r="AD774" s="523"/>
    </row>
    <row r="775" spans="3:30">
      <c r="C775" s="1861" t="s">
        <v>4564</v>
      </c>
      <c r="D775" s="1858">
        <v>0</v>
      </c>
      <c r="E775" s="1858">
        <v>0</v>
      </c>
      <c r="F775" s="1859">
        <v>0</v>
      </c>
      <c r="G775" s="1872" t="s">
        <v>4564</v>
      </c>
      <c r="H775" s="1856">
        <v>0</v>
      </c>
      <c r="I775" s="1856">
        <v>0</v>
      </c>
      <c r="J775" s="1873">
        <v>0</v>
      </c>
      <c r="K775" s="1860"/>
      <c r="L775" s="1854">
        <v>13067031004</v>
      </c>
      <c r="M775" s="1855">
        <v>0</v>
      </c>
      <c r="N775" s="1855">
        <v>0</v>
      </c>
      <c r="O775" s="1855">
        <v>0</v>
      </c>
      <c r="AA775" s="27"/>
      <c r="AB775" s="27"/>
      <c r="AC775" s="523"/>
      <c r="AD775" s="523"/>
    </row>
    <row r="776" spans="3:30">
      <c r="C776" s="1861" t="s">
        <v>4565</v>
      </c>
      <c r="D776" s="1858">
        <v>0</v>
      </c>
      <c r="E776" s="1858">
        <v>0</v>
      </c>
      <c r="F776" s="1859">
        <v>0</v>
      </c>
      <c r="G776" s="1872" t="s">
        <v>4565</v>
      </c>
      <c r="H776" s="1856">
        <v>0</v>
      </c>
      <c r="I776" s="1856">
        <v>0</v>
      </c>
      <c r="J776" s="1873">
        <v>0</v>
      </c>
      <c r="K776" s="1860"/>
      <c r="L776" s="1854">
        <v>13067031005</v>
      </c>
      <c r="M776" s="1855">
        <v>0</v>
      </c>
      <c r="N776" s="1855">
        <v>0</v>
      </c>
      <c r="O776" s="1855">
        <v>0</v>
      </c>
      <c r="AA776" s="27"/>
      <c r="AB776" s="27"/>
      <c r="AC776" s="523"/>
      <c r="AD776" s="523"/>
    </row>
    <row r="777" spans="3:30">
      <c r="C777" s="1861" t="s">
        <v>4566</v>
      </c>
      <c r="D777" s="1858">
        <v>0</v>
      </c>
      <c r="E777" s="1858">
        <v>0</v>
      </c>
      <c r="F777" s="1859">
        <v>0</v>
      </c>
      <c r="G777" s="1872" t="s">
        <v>4566</v>
      </c>
      <c r="H777" s="1856">
        <v>0</v>
      </c>
      <c r="I777" s="1856">
        <v>0</v>
      </c>
      <c r="J777" s="1873">
        <v>0</v>
      </c>
      <c r="K777" s="1860"/>
      <c r="L777" s="1854">
        <v>13067031101</v>
      </c>
      <c r="M777" s="1855">
        <v>0</v>
      </c>
      <c r="N777" s="1855">
        <v>0</v>
      </c>
      <c r="O777" s="1855">
        <v>0</v>
      </c>
      <c r="AA777" s="27"/>
      <c r="AB777" s="27"/>
      <c r="AC777" s="523"/>
      <c r="AD777" s="523"/>
    </row>
    <row r="778" spans="3:30">
      <c r="C778" s="1861" t="s">
        <v>4567</v>
      </c>
      <c r="D778" s="1858">
        <v>1</v>
      </c>
      <c r="E778" s="1858">
        <v>0</v>
      </c>
      <c r="F778" s="1859">
        <v>1</v>
      </c>
      <c r="G778" s="1872" t="s">
        <v>4567</v>
      </c>
      <c r="H778" s="1856">
        <v>1</v>
      </c>
      <c r="I778" s="1856">
        <v>1</v>
      </c>
      <c r="J778" s="1873">
        <v>2</v>
      </c>
      <c r="K778" s="1860"/>
      <c r="L778" s="1854">
        <v>13067031106</v>
      </c>
      <c r="M778" s="1855">
        <v>1</v>
      </c>
      <c r="N778" s="1855">
        <v>1</v>
      </c>
      <c r="O778" s="1855">
        <v>2</v>
      </c>
      <c r="AA778" s="27"/>
      <c r="AB778" s="27"/>
      <c r="AC778" s="523"/>
      <c r="AD778" s="523"/>
    </row>
    <row r="779" spans="3:30">
      <c r="C779" s="1861" t="s">
        <v>4568</v>
      </c>
      <c r="D779" s="1858">
        <v>1</v>
      </c>
      <c r="E779" s="1858">
        <v>0</v>
      </c>
      <c r="F779" s="1859">
        <v>1</v>
      </c>
      <c r="G779" s="1872" t="s">
        <v>4568</v>
      </c>
      <c r="H779" s="1856">
        <v>1</v>
      </c>
      <c r="I779" s="1856">
        <v>1</v>
      </c>
      <c r="J779" s="1873">
        <v>2</v>
      </c>
      <c r="K779" s="1860"/>
      <c r="L779" s="1854">
        <v>13067031108</v>
      </c>
      <c r="M779" s="1855">
        <v>1</v>
      </c>
      <c r="N779" s="1855">
        <v>1</v>
      </c>
      <c r="O779" s="1855">
        <v>2</v>
      </c>
      <c r="AA779" s="27"/>
      <c r="AB779" s="27"/>
      <c r="AC779" s="523"/>
      <c r="AD779" s="523"/>
    </row>
    <row r="780" spans="3:30">
      <c r="C780" s="1861" t="s">
        <v>4569</v>
      </c>
      <c r="D780" s="1858">
        <v>1</v>
      </c>
      <c r="E780" s="1858">
        <v>0</v>
      </c>
      <c r="F780" s="1859">
        <v>1</v>
      </c>
      <c r="G780" s="1872" t="s">
        <v>4569</v>
      </c>
      <c r="H780" s="1856">
        <v>1</v>
      </c>
      <c r="I780" s="1856">
        <v>0</v>
      </c>
      <c r="J780" s="1873">
        <v>1</v>
      </c>
      <c r="K780" s="1860"/>
      <c r="L780" s="1854">
        <v>13067031110</v>
      </c>
      <c r="M780" s="1855">
        <v>1</v>
      </c>
      <c r="N780" s="1855">
        <v>0</v>
      </c>
      <c r="O780" s="1855">
        <v>1</v>
      </c>
      <c r="AA780" s="27"/>
      <c r="AB780" s="27"/>
      <c r="AC780" s="523"/>
      <c r="AD780" s="523"/>
    </row>
    <row r="781" spans="3:30">
      <c r="C781" s="1861" t="s">
        <v>4570</v>
      </c>
      <c r="D781" s="1858">
        <v>1</v>
      </c>
      <c r="E781" s="1858">
        <v>1</v>
      </c>
      <c r="F781" s="1859">
        <v>2</v>
      </c>
      <c r="G781" s="1872" t="s">
        <v>4570</v>
      </c>
      <c r="H781" s="1856">
        <v>1</v>
      </c>
      <c r="I781" s="1856">
        <v>1</v>
      </c>
      <c r="J781" s="1873">
        <v>2</v>
      </c>
      <c r="K781" s="1860"/>
      <c r="L781" s="1854">
        <v>13067031111</v>
      </c>
      <c r="M781" s="1855">
        <v>1</v>
      </c>
      <c r="N781" s="1855">
        <v>1</v>
      </c>
      <c r="O781" s="1855">
        <v>2</v>
      </c>
      <c r="AA781" s="27"/>
      <c r="AB781" s="27"/>
      <c r="AC781" s="523"/>
      <c r="AD781" s="523"/>
    </row>
    <row r="782" spans="3:30">
      <c r="C782" s="1861" t="s">
        <v>4571</v>
      </c>
      <c r="D782" s="1858">
        <v>1</v>
      </c>
      <c r="E782" s="1858">
        <v>1</v>
      </c>
      <c r="F782" s="1859">
        <v>2</v>
      </c>
      <c r="G782" s="1872" t="s">
        <v>4571</v>
      </c>
      <c r="H782" s="1856">
        <v>1</v>
      </c>
      <c r="I782" s="1856">
        <v>1</v>
      </c>
      <c r="J782" s="1873">
        <v>2</v>
      </c>
      <c r="K782" s="1860"/>
      <c r="L782" s="1854">
        <v>13067031112</v>
      </c>
      <c r="M782" s="1855">
        <v>1</v>
      </c>
      <c r="N782" s="1855">
        <v>1</v>
      </c>
      <c r="O782" s="1855">
        <v>2</v>
      </c>
      <c r="AA782" s="27"/>
      <c r="AB782" s="27"/>
      <c r="AC782" s="523"/>
      <c r="AD782" s="523"/>
    </row>
    <row r="783" spans="3:30">
      <c r="C783" s="1861" t="s">
        <v>4572</v>
      </c>
      <c r="D783" s="1858">
        <v>0</v>
      </c>
      <c r="E783" s="1858">
        <v>0</v>
      </c>
      <c r="F783" s="1859">
        <v>0</v>
      </c>
      <c r="G783" s="1872" t="s">
        <v>4572</v>
      </c>
      <c r="H783" s="1856">
        <v>1</v>
      </c>
      <c r="I783" s="1856" t="s">
        <v>3908</v>
      </c>
      <c r="J783" s="1873">
        <v>1</v>
      </c>
      <c r="K783" s="1860"/>
      <c r="L783" s="1854">
        <v>13067031113</v>
      </c>
      <c r="M783" s="1855">
        <v>1</v>
      </c>
      <c r="N783" s="1855">
        <v>0</v>
      </c>
      <c r="O783" s="1855">
        <v>1</v>
      </c>
      <c r="AA783" s="27"/>
      <c r="AB783" s="27"/>
      <c r="AC783" s="523"/>
      <c r="AD783" s="523"/>
    </row>
    <row r="784" spans="3:30">
      <c r="C784" s="1861" t="s">
        <v>4573</v>
      </c>
      <c r="D784" s="1858">
        <v>0</v>
      </c>
      <c r="E784" s="1858">
        <v>0</v>
      </c>
      <c r="F784" s="1859">
        <v>0</v>
      </c>
      <c r="G784" s="1872" t="s">
        <v>4573</v>
      </c>
      <c r="H784" s="1856">
        <v>1</v>
      </c>
      <c r="I784" s="1856">
        <v>0</v>
      </c>
      <c r="J784" s="1873">
        <v>1</v>
      </c>
      <c r="K784" s="1860"/>
      <c r="L784" s="1854">
        <v>13067031114</v>
      </c>
      <c r="M784" s="1855">
        <v>1</v>
      </c>
      <c r="N784" s="1855">
        <v>0</v>
      </c>
      <c r="O784" s="1855">
        <v>1</v>
      </c>
      <c r="AA784" s="27"/>
      <c r="AB784" s="27"/>
      <c r="AC784" s="523"/>
      <c r="AD784" s="523"/>
    </row>
    <row r="785" spans="3:30">
      <c r="C785" s="1861" t="s">
        <v>4574</v>
      </c>
      <c r="D785" s="1858">
        <v>1</v>
      </c>
      <c r="E785" s="1858">
        <v>0</v>
      </c>
      <c r="F785" s="1859">
        <v>1</v>
      </c>
      <c r="G785" s="1872" t="s">
        <v>4574</v>
      </c>
      <c r="H785" s="1856">
        <v>1</v>
      </c>
      <c r="I785" s="1856">
        <v>0</v>
      </c>
      <c r="J785" s="1873">
        <v>1</v>
      </c>
      <c r="K785" s="1860"/>
      <c r="L785" s="1854">
        <v>13067031115</v>
      </c>
      <c r="M785" s="1855">
        <v>1</v>
      </c>
      <c r="N785" s="1855">
        <v>0</v>
      </c>
      <c r="O785" s="1855">
        <v>1</v>
      </c>
      <c r="AA785" s="27"/>
      <c r="AB785" s="27"/>
      <c r="AC785" s="523"/>
      <c r="AD785" s="523"/>
    </row>
    <row r="786" spans="3:30">
      <c r="C786" s="1861" t="s">
        <v>4575</v>
      </c>
      <c r="D786" s="1858">
        <v>0</v>
      </c>
      <c r="E786" s="1858">
        <v>0</v>
      </c>
      <c r="F786" s="1859">
        <v>0</v>
      </c>
      <c r="G786" s="1872" t="s">
        <v>4575</v>
      </c>
      <c r="H786" s="1856">
        <v>0</v>
      </c>
      <c r="I786" s="1856" t="s">
        <v>3908</v>
      </c>
      <c r="J786" s="1873">
        <v>0</v>
      </c>
      <c r="K786" s="1860"/>
      <c r="L786" s="1854">
        <v>13067031116</v>
      </c>
      <c r="M786" s="1855">
        <v>0</v>
      </c>
      <c r="N786" s="1855">
        <v>0</v>
      </c>
      <c r="O786" s="1855">
        <v>0</v>
      </c>
      <c r="AA786" s="27"/>
      <c r="AB786" s="27"/>
      <c r="AC786" s="523"/>
      <c r="AD786" s="523"/>
    </row>
    <row r="787" spans="3:30">
      <c r="C787" s="1861" t="s">
        <v>4576</v>
      </c>
      <c r="D787" s="1858">
        <v>1</v>
      </c>
      <c r="E787" s="1858">
        <v>1</v>
      </c>
      <c r="F787" s="1859">
        <v>2</v>
      </c>
      <c r="G787" s="1872" t="s">
        <v>4576</v>
      </c>
      <c r="H787" s="1856">
        <v>1</v>
      </c>
      <c r="I787" s="1856">
        <v>1</v>
      </c>
      <c r="J787" s="1873">
        <v>2</v>
      </c>
      <c r="K787" s="1860"/>
      <c r="L787" s="1854">
        <v>13067031117</v>
      </c>
      <c r="M787" s="1855">
        <v>1</v>
      </c>
      <c r="N787" s="1855">
        <v>1</v>
      </c>
      <c r="O787" s="1855">
        <v>2</v>
      </c>
      <c r="AA787" s="27"/>
      <c r="AB787" s="27"/>
      <c r="AC787" s="523"/>
      <c r="AD787" s="523"/>
    </row>
    <row r="788" spans="3:30">
      <c r="C788" s="1861" t="s">
        <v>4577</v>
      </c>
      <c r="D788" s="1858">
        <v>1</v>
      </c>
      <c r="E788" s="1858">
        <v>1</v>
      </c>
      <c r="F788" s="1859">
        <v>2</v>
      </c>
      <c r="G788" s="1872" t="s">
        <v>4577</v>
      </c>
      <c r="H788" s="1856">
        <v>1</v>
      </c>
      <c r="I788" s="1856">
        <v>1</v>
      </c>
      <c r="J788" s="1873">
        <v>2</v>
      </c>
      <c r="K788" s="1860"/>
      <c r="L788" s="1854">
        <v>13067031118</v>
      </c>
      <c r="M788" s="1855">
        <v>1</v>
      </c>
      <c r="N788" s="1855">
        <v>1</v>
      </c>
      <c r="O788" s="1855">
        <v>2</v>
      </c>
      <c r="AA788" s="27"/>
      <c r="AB788" s="27"/>
      <c r="AC788" s="523"/>
      <c r="AD788" s="523"/>
    </row>
    <row r="789" spans="3:30">
      <c r="C789" s="1861" t="s">
        <v>4578</v>
      </c>
      <c r="D789" s="1858">
        <v>1</v>
      </c>
      <c r="E789" s="1858">
        <v>1</v>
      </c>
      <c r="F789" s="1859">
        <v>2</v>
      </c>
      <c r="G789" s="1872" t="s">
        <v>4578</v>
      </c>
      <c r="H789" s="1856">
        <v>1</v>
      </c>
      <c r="I789" s="1856">
        <v>1</v>
      </c>
      <c r="J789" s="1873">
        <v>2</v>
      </c>
      <c r="K789" s="1860"/>
      <c r="L789" s="1854">
        <v>13067031205</v>
      </c>
      <c r="M789" s="1855">
        <v>1</v>
      </c>
      <c r="N789" s="1855">
        <v>1</v>
      </c>
      <c r="O789" s="1855">
        <v>2</v>
      </c>
      <c r="AA789" s="27"/>
      <c r="AB789" s="27"/>
      <c r="AC789" s="523"/>
      <c r="AD789" s="523"/>
    </row>
    <row r="790" spans="3:30">
      <c r="C790" s="1861" t="s">
        <v>4579</v>
      </c>
      <c r="D790" s="1858">
        <v>1</v>
      </c>
      <c r="E790" s="1858">
        <v>1</v>
      </c>
      <c r="F790" s="1859">
        <v>2</v>
      </c>
      <c r="G790" s="1872" t="s">
        <v>4579</v>
      </c>
      <c r="H790" s="1856">
        <v>1</v>
      </c>
      <c r="I790" s="1856">
        <v>1</v>
      </c>
      <c r="J790" s="1873">
        <v>2</v>
      </c>
      <c r="K790" s="1860"/>
      <c r="L790" s="1854">
        <v>13067031206</v>
      </c>
      <c r="M790" s="1855">
        <v>1</v>
      </c>
      <c r="N790" s="1855">
        <v>1</v>
      </c>
      <c r="O790" s="1855">
        <v>2</v>
      </c>
      <c r="AA790" s="27"/>
      <c r="AB790" s="27"/>
      <c r="AC790" s="523"/>
      <c r="AD790" s="523"/>
    </row>
    <row r="791" spans="3:30">
      <c r="C791" s="1861" t="s">
        <v>4580</v>
      </c>
      <c r="D791" s="1858">
        <v>1</v>
      </c>
      <c r="E791" s="1858">
        <v>1</v>
      </c>
      <c r="F791" s="1859">
        <v>2</v>
      </c>
      <c r="G791" s="1872" t="s">
        <v>4580</v>
      </c>
      <c r="H791" s="1856">
        <v>1</v>
      </c>
      <c r="I791" s="1856" t="s">
        <v>3908</v>
      </c>
      <c r="J791" s="1873">
        <v>1</v>
      </c>
      <c r="K791" s="1860"/>
      <c r="L791" s="1854">
        <v>13067031207</v>
      </c>
      <c r="M791" s="1855">
        <v>1</v>
      </c>
      <c r="N791" s="1855">
        <v>1</v>
      </c>
      <c r="O791" s="1855">
        <v>2</v>
      </c>
      <c r="AA791" s="27"/>
      <c r="AB791" s="27"/>
      <c r="AC791" s="523"/>
      <c r="AD791" s="523"/>
    </row>
    <row r="792" spans="3:30">
      <c r="C792" s="1861" t="s">
        <v>4581</v>
      </c>
      <c r="D792" s="1858">
        <v>1</v>
      </c>
      <c r="E792" s="1858">
        <v>1</v>
      </c>
      <c r="F792" s="1859">
        <v>2</v>
      </c>
      <c r="G792" s="1872" t="s">
        <v>4581</v>
      </c>
      <c r="H792" s="1856">
        <v>1</v>
      </c>
      <c r="I792" s="1856">
        <v>1</v>
      </c>
      <c r="J792" s="1873">
        <v>2</v>
      </c>
      <c r="K792" s="1860"/>
      <c r="L792" s="1854">
        <v>13067031208</v>
      </c>
      <c r="M792" s="1855">
        <v>1</v>
      </c>
      <c r="N792" s="1855">
        <v>1</v>
      </c>
      <c r="O792" s="1855">
        <v>2</v>
      </c>
      <c r="AA792" s="27"/>
      <c r="AB792" s="27"/>
      <c r="AC792" s="523"/>
      <c r="AD792" s="523"/>
    </row>
    <row r="793" spans="3:30">
      <c r="C793" s="1861" t="s">
        <v>4582</v>
      </c>
      <c r="D793" s="1858">
        <v>1</v>
      </c>
      <c r="E793" s="1858">
        <v>1</v>
      </c>
      <c r="F793" s="1859">
        <v>2</v>
      </c>
      <c r="G793" s="1872" t="s">
        <v>4582</v>
      </c>
      <c r="H793" s="1856">
        <v>1</v>
      </c>
      <c r="I793" s="1856">
        <v>1</v>
      </c>
      <c r="J793" s="1873">
        <v>2</v>
      </c>
      <c r="K793" s="1860"/>
      <c r="L793" s="1854">
        <v>13067031209</v>
      </c>
      <c r="M793" s="1855">
        <v>1</v>
      </c>
      <c r="N793" s="1855">
        <v>1</v>
      </c>
      <c r="O793" s="1855">
        <v>2</v>
      </c>
      <c r="AA793" s="27"/>
      <c r="AB793" s="27"/>
      <c r="AC793" s="523"/>
      <c r="AD793" s="523"/>
    </row>
    <row r="794" spans="3:30">
      <c r="C794" s="1861" t="s">
        <v>4583</v>
      </c>
      <c r="D794" s="1858">
        <v>1</v>
      </c>
      <c r="E794" s="1858">
        <v>1</v>
      </c>
      <c r="F794" s="1859">
        <v>2</v>
      </c>
      <c r="G794" s="1872" t="s">
        <v>4583</v>
      </c>
      <c r="H794" s="1856">
        <v>1</v>
      </c>
      <c r="I794" s="1856">
        <v>1</v>
      </c>
      <c r="J794" s="1873">
        <v>2</v>
      </c>
      <c r="K794" s="1860"/>
      <c r="L794" s="1854">
        <v>13067031211</v>
      </c>
      <c r="M794" s="1855">
        <v>1</v>
      </c>
      <c r="N794" s="1855">
        <v>1</v>
      </c>
      <c r="O794" s="1855">
        <v>2</v>
      </c>
      <c r="AA794" s="27"/>
      <c r="AB794" s="27"/>
      <c r="AC794" s="523"/>
      <c r="AD794" s="523"/>
    </row>
    <row r="795" spans="3:30">
      <c r="C795" s="1861" t="s">
        <v>4584</v>
      </c>
      <c r="D795" s="1858">
        <v>1</v>
      </c>
      <c r="E795" s="1858">
        <v>1</v>
      </c>
      <c r="F795" s="1859">
        <v>2</v>
      </c>
      <c r="G795" s="1872" t="s">
        <v>4584</v>
      </c>
      <c r="H795" s="1856">
        <v>1</v>
      </c>
      <c r="I795" s="1856">
        <v>1</v>
      </c>
      <c r="J795" s="1873">
        <v>2</v>
      </c>
      <c r="K795" s="1860"/>
      <c r="L795" s="1854">
        <v>13067031212</v>
      </c>
      <c r="M795" s="1855">
        <v>1</v>
      </c>
      <c r="N795" s="1855">
        <v>1</v>
      </c>
      <c r="O795" s="1855">
        <v>2</v>
      </c>
      <c r="AA795" s="27"/>
      <c r="AB795" s="27"/>
      <c r="AC795" s="523"/>
      <c r="AD795" s="523"/>
    </row>
    <row r="796" spans="3:30">
      <c r="C796" s="1861" t="s">
        <v>4585</v>
      </c>
      <c r="D796" s="1858">
        <v>1</v>
      </c>
      <c r="E796" s="1858">
        <v>0</v>
      </c>
      <c r="F796" s="1859">
        <v>1</v>
      </c>
      <c r="G796" s="1872" t="s">
        <v>4585</v>
      </c>
      <c r="H796" s="1856">
        <v>1</v>
      </c>
      <c r="I796" s="1856">
        <v>0</v>
      </c>
      <c r="J796" s="1873">
        <v>1</v>
      </c>
      <c r="K796" s="1860"/>
      <c r="L796" s="1854">
        <v>13067031306</v>
      </c>
      <c r="M796" s="1855">
        <v>1</v>
      </c>
      <c r="N796" s="1855">
        <v>0</v>
      </c>
      <c r="O796" s="1855">
        <v>1</v>
      </c>
      <c r="AA796" s="27"/>
      <c r="AB796" s="27"/>
      <c r="AC796" s="523"/>
      <c r="AD796" s="523"/>
    </row>
    <row r="797" spans="3:30">
      <c r="C797" s="1861" t="s">
        <v>4586</v>
      </c>
      <c r="D797" s="1858">
        <v>1</v>
      </c>
      <c r="E797" s="1858">
        <v>1</v>
      </c>
      <c r="F797" s="1859">
        <v>2</v>
      </c>
      <c r="G797" s="1872" t="s">
        <v>4586</v>
      </c>
      <c r="H797" s="1856">
        <v>1</v>
      </c>
      <c r="I797" s="1856">
        <v>1</v>
      </c>
      <c r="J797" s="1873">
        <v>2</v>
      </c>
      <c r="K797" s="1860"/>
      <c r="L797" s="1854">
        <v>13067031307</v>
      </c>
      <c r="M797" s="1855">
        <v>1</v>
      </c>
      <c r="N797" s="1855">
        <v>1</v>
      </c>
      <c r="O797" s="1855">
        <v>2</v>
      </c>
      <c r="AA797" s="27"/>
      <c r="AB797" s="27"/>
      <c r="AC797" s="523"/>
      <c r="AD797" s="523"/>
    </row>
    <row r="798" spans="3:30">
      <c r="C798" s="1861" t="s">
        <v>4587</v>
      </c>
      <c r="D798" s="1858">
        <v>0</v>
      </c>
      <c r="E798" s="1858">
        <v>0</v>
      </c>
      <c r="F798" s="1859">
        <v>0</v>
      </c>
      <c r="G798" s="1872" t="s">
        <v>4587</v>
      </c>
      <c r="H798" s="1856">
        <v>0</v>
      </c>
      <c r="I798" s="1856">
        <v>0</v>
      </c>
      <c r="J798" s="1873">
        <v>0</v>
      </c>
      <c r="K798" s="1860"/>
      <c r="L798" s="1854">
        <v>13067031308</v>
      </c>
      <c r="M798" s="1855">
        <v>0</v>
      </c>
      <c r="N798" s="1855">
        <v>0</v>
      </c>
      <c r="O798" s="1855">
        <v>0</v>
      </c>
      <c r="AA798" s="27"/>
      <c r="AB798" s="27"/>
      <c r="AC798" s="523"/>
      <c r="AD798" s="523"/>
    </row>
    <row r="799" spans="3:30">
      <c r="C799" s="1861" t="s">
        <v>4588</v>
      </c>
      <c r="D799" s="1858">
        <v>0</v>
      </c>
      <c r="E799" s="1858">
        <v>0</v>
      </c>
      <c r="F799" s="1859">
        <v>0</v>
      </c>
      <c r="G799" s="1872" t="s">
        <v>4588</v>
      </c>
      <c r="H799" s="1856">
        <v>1</v>
      </c>
      <c r="I799" s="1856">
        <v>0</v>
      </c>
      <c r="J799" s="1873">
        <v>1</v>
      </c>
      <c r="K799" s="1860"/>
      <c r="L799" s="1854">
        <v>13067031309</v>
      </c>
      <c r="M799" s="1855">
        <v>1</v>
      </c>
      <c r="N799" s="1855">
        <v>0</v>
      </c>
      <c r="O799" s="1855">
        <v>1</v>
      </c>
      <c r="AA799" s="27"/>
      <c r="AB799" s="27"/>
      <c r="AC799" s="523"/>
      <c r="AD799" s="523"/>
    </row>
    <row r="800" spans="3:30">
      <c r="C800" s="1861" t="s">
        <v>4589</v>
      </c>
      <c r="D800" s="1858">
        <v>0</v>
      </c>
      <c r="E800" s="1858">
        <v>0</v>
      </c>
      <c r="F800" s="1859">
        <v>0</v>
      </c>
      <c r="G800" s="1872" t="s">
        <v>4589</v>
      </c>
      <c r="H800" s="1856">
        <v>0</v>
      </c>
      <c r="I800" s="1856">
        <v>0</v>
      </c>
      <c r="J800" s="1873">
        <v>0</v>
      </c>
      <c r="K800" s="1860"/>
      <c r="L800" s="1854">
        <v>13067031310</v>
      </c>
      <c r="M800" s="1855">
        <v>0</v>
      </c>
      <c r="N800" s="1855">
        <v>0</v>
      </c>
      <c r="O800" s="1855">
        <v>0</v>
      </c>
      <c r="AA800" s="27"/>
      <c r="AC800" s="523"/>
    </row>
    <row r="801" spans="3:29">
      <c r="C801" s="1861" t="s">
        <v>4590</v>
      </c>
      <c r="D801" s="1858">
        <v>0</v>
      </c>
      <c r="E801" s="1858">
        <v>0</v>
      </c>
      <c r="F801" s="1859">
        <v>0</v>
      </c>
      <c r="G801" s="1872" t="s">
        <v>4590</v>
      </c>
      <c r="H801" s="1856">
        <v>0</v>
      </c>
      <c r="I801" s="1856">
        <v>0</v>
      </c>
      <c r="J801" s="1873">
        <v>0</v>
      </c>
      <c r="K801" s="1860"/>
      <c r="L801" s="1854">
        <v>13067031311</v>
      </c>
      <c r="M801" s="1855">
        <v>0</v>
      </c>
      <c r="N801" s="1855">
        <v>0</v>
      </c>
      <c r="O801" s="1855">
        <v>0</v>
      </c>
      <c r="AA801" s="27"/>
      <c r="AC801" s="523"/>
    </row>
    <row r="802" spans="3:29">
      <c r="C802" s="1861" t="s">
        <v>4591</v>
      </c>
      <c r="D802" s="1858">
        <v>1</v>
      </c>
      <c r="E802" s="1858">
        <v>1</v>
      </c>
      <c r="F802" s="1859">
        <v>2</v>
      </c>
      <c r="G802" s="1872" t="s">
        <v>4591</v>
      </c>
      <c r="H802" s="1856">
        <v>1</v>
      </c>
      <c r="I802" s="1856">
        <v>1</v>
      </c>
      <c r="J802" s="1873">
        <v>2</v>
      </c>
      <c r="K802" s="1860"/>
      <c r="L802" s="1854">
        <v>13067031312</v>
      </c>
      <c r="M802" s="1855">
        <v>1</v>
      </c>
      <c r="N802" s="1855">
        <v>1</v>
      </c>
      <c r="O802" s="1855">
        <v>2</v>
      </c>
      <c r="AA802" s="27"/>
      <c r="AC802" s="523"/>
    </row>
    <row r="803" spans="3:29">
      <c r="C803" s="1861" t="s">
        <v>4592</v>
      </c>
      <c r="D803" s="1858">
        <v>1</v>
      </c>
      <c r="E803" s="1858">
        <v>1</v>
      </c>
      <c r="F803" s="1859">
        <v>2</v>
      </c>
      <c r="G803" s="1872" t="s">
        <v>4592</v>
      </c>
      <c r="H803" s="1856">
        <v>1</v>
      </c>
      <c r="I803" s="1856">
        <v>1</v>
      </c>
      <c r="J803" s="1873">
        <v>2</v>
      </c>
      <c r="K803" s="1860"/>
      <c r="L803" s="1854">
        <v>13067031313</v>
      </c>
      <c r="M803" s="1855">
        <v>1</v>
      </c>
      <c r="N803" s="1855">
        <v>1</v>
      </c>
      <c r="O803" s="1855">
        <v>2</v>
      </c>
      <c r="AA803" s="27"/>
      <c r="AC803" s="523"/>
    </row>
    <row r="804" spans="3:29">
      <c r="C804" s="1861" t="s">
        <v>4593</v>
      </c>
      <c r="D804" s="1858">
        <v>1</v>
      </c>
      <c r="E804" s="1858">
        <v>1</v>
      </c>
      <c r="F804" s="1859">
        <v>2</v>
      </c>
      <c r="G804" s="1872" t="s">
        <v>4593</v>
      </c>
      <c r="H804" s="1856">
        <v>1</v>
      </c>
      <c r="I804" s="1856">
        <v>1</v>
      </c>
      <c r="J804" s="1873">
        <v>2</v>
      </c>
      <c r="K804" s="1860"/>
      <c r="L804" s="1854">
        <v>13067031404</v>
      </c>
      <c r="M804" s="1855">
        <v>1</v>
      </c>
      <c r="N804" s="1855">
        <v>1</v>
      </c>
      <c r="O804" s="1855">
        <v>2</v>
      </c>
      <c r="AA804" s="27"/>
      <c r="AC804" s="523"/>
    </row>
    <row r="805" spans="3:29">
      <c r="C805" s="1861" t="s">
        <v>4594</v>
      </c>
      <c r="D805" s="1858">
        <v>0</v>
      </c>
      <c r="E805" s="1858">
        <v>1</v>
      </c>
      <c r="F805" s="1859">
        <v>1</v>
      </c>
      <c r="G805" s="1872" t="s">
        <v>4594</v>
      </c>
      <c r="H805" s="1856">
        <v>1</v>
      </c>
      <c r="I805" s="1856">
        <v>0</v>
      </c>
      <c r="J805" s="1873">
        <v>1</v>
      </c>
      <c r="K805" s="1860"/>
      <c r="L805" s="1854">
        <v>13067031405</v>
      </c>
      <c r="M805" s="1855">
        <v>1</v>
      </c>
      <c r="N805" s="1855">
        <v>1</v>
      </c>
      <c r="O805" s="1855">
        <v>1</v>
      </c>
      <c r="AA805" s="27"/>
      <c r="AC805" s="523"/>
    </row>
    <row r="806" spans="3:29">
      <c r="C806" s="1861" t="s">
        <v>4595</v>
      </c>
      <c r="D806" s="1858">
        <v>0</v>
      </c>
      <c r="E806" s="1858">
        <v>0</v>
      </c>
      <c r="F806" s="1859">
        <v>0</v>
      </c>
      <c r="G806" s="1872" t="s">
        <v>4595</v>
      </c>
      <c r="H806" s="1856">
        <v>0</v>
      </c>
      <c r="I806" s="1856">
        <v>0</v>
      </c>
      <c r="J806" s="1873">
        <v>0</v>
      </c>
      <c r="K806" s="1860"/>
      <c r="L806" s="1854">
        <v>13067031406</v>
      </c>
      <c r="M806" s="1855">
        <v>0</v>
      </c>
      <c r="N806" s="1855">
        <v>0</v>
      </c>
      <c r="O806" s="1855">
        <v>0</v>
      </c>
      <c r="AA806" s="27"/>
      <c r="AC806" s="523"/>
    </row>
    <row r="807" spans="3:29">
      <c r="C807" s="1861" t="s">
        <v>4596</v>
      </c>
      <c r="D807" s="1858">
        <v>0</v>
      </c>
      <c r="E807" s="1858">
        <v>0</v>
      </c>
      <c r="F807" s="1859">
        <v>0</v>
      </c>
      <c r="G807" s="1872" t="s">
        <v>4596</v>
      </c>
      <c r="H807" s="1856">
        <v>1</v>
      </c>
      <c r="I807" s="1856">
        <v>0</v>
      </c>
      <c r="J807" s="1873">
        <v>0</v>
      </c>
      <c r="K807" s="1860"/>
      <c r="L807" s="1854">
        <v>13067031408</v>
      </c>
      <c r="M807" s="1855">
        <v>1</v>
      </c>
      <c r="N807" s="1855">
        <v>0</v>
      </c>
      <c r="O807" s="1855">
        <v>0</v>
      </c>
      <c r="AA807" s="27"/>
      <c r="AC807" s="523"/>
    </row>
    <row r="808" spans="3:29">
      <c r="C808" s="1861" t="s">
        <v>4597</v>
      </c>
      <c r="D808" s="1858">
        <v>0</v>
      </c>
      <c r="E808" s="1858">
        <v>0</v>
      </c>
      <c r="F808" s="1859">
        <v>0</v>
      </c>
      <c r="G808" s="1872" t="s">
        <v>4597</v>
      </c>
      <c r="H808" s="1856">
        <v>0</v>
      </c>
      <c r="I808" s="1856">
        <v>0</v>
      </c>
      <c r="J808" s="1873">
        <v>0</v>
      </c>
      <c r="K808" s="1860"/>
      <c r="L808" s="1854">
        <v>13067031409</v>
      </c>
      <c r="M808" s="1855">
        <v>0</v>
      </c>
      <c r="N808" s="1855">
        <v>0</v>
      </c>
      <c r="O808" s="1855">
        <v>0</v>
      </c>
      <c r="AA808" s="27"/>
      <c r="AC808" s="523"/>
    </row>
    <row r="809" spans="3:29">
      <c r="C809" s="1861" t="s">
        <v>4598</v>
      </c>
      <c r="D809" s="1858">
        <v>1</v>
      </c>
      <c r="E809" s="1858">
        <v>0</v>
      </c>
      <c r="F809" s="1859">
        <v>1</v>
      </c>
      <c r="G809" s="1872" t="s">
        <v>4598</v>
      </c>
      <c r="H809" s="1856">
        <v>1</v>
      </c>
      <c r="I809" s="1856">
        <v>1</v>
      </c>
      <c r="J809" s="1873">
        <v>2</v>
      </c>
      <c r="K809" s="1860"/>
      <c r="L809" s="1854">
        <v>13067031503</v>
      </c>
      <c r="M809" s="1855">
        <v>1</v>
      </c>
      <c r="N809" s="1855">
        <v>1</v>
      </c>
      <c r="O809" s="1855">
        <v>2</v>
      </c>
      <c r="AA809" s="27"/>
      <c r="AC809" s="523"/>
    </row>
    <row r="810" spans="3:29">
      <c r="C810" s="1861" t="s">
        <v>4599</v>
      </c>
      <c r="D810" s="1858">
        <v>1</v>
      </c>
      <c r="E810" s="1858">
        <v>1</v>
      </c>
      <c r="F810" s="1859">
        <v>2</v>
      </c>
      <c r="G810" s="1872" t="s">
        <v>4599</v>
      </c>
      <c r="H810" s="1856">
        <v>1</v>
      </c>
      <c r="I810" s="1856">
        <v>1</v>
      </c>
      <c r="J810" s="1873">
        <v>2</v>
      </c>
      <c r="K810" s="1860"/>
      <c r="L810" s="1854">
        <v>13067031505</v>
      </c>
      <c r="M810" s="1855">
        <v>1</v>
      </c>
      <c r="N810" s="1855">
        <v>1</v>
      </c>
      <c r="O810" s="1855">
        <v>2</v>
      </c>
      <c r="AA810" s="27"/>
      <c r="AC810" s="523"/>
    </row>
    <row r="811" spans="3:29">
      <c r="C811" s="1861" t="s">
        <v>4600</v>
      </c>
      <c r="D811" s="1858">
        <v>0</v>
      </c>
      <c r="E811" s="1858">
        <v>1</v>
      </c>
      <c r="F811" s="1859">
        <v>1</v>
      </c>
      <c r="G811" s="1872" t="s">
        <v>4600</v>
      </c>
      <c r="H811" s="1856">
        <v>0</v>
      </c>
      <c r="I811" s="1856">
        <v>0</v>
      </c>
      <c r="J811" s="1873">
        <v>0</v>
      </c>
      <c r="K811" s="1860"/>
      <c r="L811" s="1854">
        <v>13067031506</v>
      </c>
      <c r="M811" s="1855">
        <v>0</v>
      </c>
      <c r="N811" s="1855">
        <v>1</v>
      </c>
      <c r="O811" s="1855">
        <v>1</v>
      </c>
      <c r="AA811" s="27"/>
      <c r="AC811" s="523"/>
    </row>
    <row r="812" spans="3:29">
      <c r="C812" s="1861" t="s">
        <v>4601</v>
      </c>
      <c r="D812" s="1858">
        <v>0</v>
      </c>
      <c r="E812" s="1858">
        <v>0</v>
      </c>
      <c r="F812" s="1859">
        <v>0</v>
      </c>
      <c r="G812" s="1872" t="s">
        <v>4601</v>
      </c>
      <c r="H812" s="1856">
        <v>0</v>
      </c>
      <c r="I812" s="1856">
        <v>1</v>
      </c>
      <c r="J812" s="1873">
        <v>1</v>
      </c>
      <c r="K812" s="1860"/>
      <c r="L812" s="1854">
        <v>13067031507</v>
      </c>
      <c r="M812" s="1855">
        <v>0</v>
      </c>
      <c r="N812" s="1855">
        <v>1</v>
      </c>
      <c r="O812" s="1855">
        <v>1</v>
      </c>
      <c r="AA812" s="27"/>
      <c r="AC812" s="523"/>
    </row>
    <row r="813" spans="3:29">
      <c r="C813" s="1861" t="s">
        <v>4602</v>
      </c>
      <c r="D813" s="1858">
        <v>1</v>
      </c>
      <c r="E813" s="1858">
        <v>1</v>
      </c>
      <c r="F813" s="1859">
        <v>2</v>
      </c>
      <c r="G813" s="1872" t="s">
        <v>4602</v>
      </c>
      <c r="H813" s="1856">
        <v>1</v>
      </c>
      <c r="I813" s="1856">
        <v>1</v>
      </c>
      <c r="J813" s="1873">
        <v>2</v>
      </c>
      <c r="K813" s="1860"/>
      <c r="L813" s="1854">
        <v>13067031508</v>
      </c>
      <c r="M813" s="1855">
        <v>1</v>
      </c>
      <c r="N813" s="1855">
        <v>1</v>
      </c>
      <c r="O813" s="1855">
        <v>2</v>
      </c>
      <c r="AA813" s="27"/>
      <c r="AC813" s="523"/>
    </row>
    <row r="814" spans="3:29">
      <c r="C814" s="1861" t="s">
        <v>4603</v>
      </c>
      <c r="D814" s="1858">
        <v>1</v>
      </c>
      <c r="E814" s="1858">
        <v>1</v>
      </c>
      <c r="F814" s="1859">
        <v>2</v>
      </c>
      <c r="G814" s="1872" t="s">
        <v>4603</v>
      </c>
      <c r="H814" s="1856">
        <v>1</v>
      </c>
      <c r="I814" s="1856">
        <v>1</v>
      </c>
      <c r="J814" s="1873">
        <v>2</v>
      </c>
      <c r="K814" s="1860"/>
      <c r="L814" s="1854">
        <v>13067031509</v>
      </c>
      <c r="M814" s="1855">
        <v>1</v>
      </c>
      <c r="N814" s="1855">
        <v>1</v>
      </c>
      <c r="O814" s="1855">
        <v>2</v>
      </c>
      <c r="AA814" s="27"/>
      <c r="AC814" s="523"/>
    </row>
    <row r="815" spans="3:29">
      <c r="C815" s="1861" t="s">
        <v>4604</v>
      </c>
      <c r="D815" s="1858">
        <v>0</v>
      </c>
      <c r="E815" s="1858">
        <v>0</v>
      </c>
      <c r="F815" s="1859">
        <v>0</v>
      </c>
      <c r="G815" s="1872" t="s">
        <v>4604</v>
      </c>
      <c r="H815" s="1856">
        <v>0</v>
      </c>
      <c r="I815" s="1856">
        <v>0</v>
      </c>
      <c r="J815" s="1873">
        <v>0</v>
      </c>
      <c r="K815" s="1860"/>
      <c r="L815" s="1854">
        <v>13069010100</v>
      </c>
      <c r="M815" s="1855">
        <v>0</v>
      </c>
      <c r="N815" s="1855">
        <v>0</v>
      </c>
      <c r="O815" s="1855">
        <v>0</v>
      </c>
      <c r="AA815" s="27"/>
      <c r="AC815" s="523"/>
    </row>
    <row r="816" spans="3:29">
      <c r="C816" s="1861" t="s">
        <v>4605</v>
      </c>
      <c r="D816" s="1858">
        <v>0</v>
      </c>
      <c r="E816" s="1858">
        <v>0</v>
      </c>
      <c r="F816" s="1859">
        <v>0</v>
      </c>
      <c r="G816" s="1872" t="s">
        <v>4605</v>
      </c>
      <c r="H816" s="1856">
        <v>0</v>
      </c>
      <c r="I816" s="1856" t="s">
        <v>3908</v>
      </c>
      <c r="J816" s="1873">
        <v>0</v>
      </c>
      <c r="K816" s="1860"/>
      <c r="L816" s="1854">
        <v>13069010200</v>
      </c>
      <c r="M816" s="1855">
        <v>0</v>
      </c>
      <c r="N816" s="1855">
        <v>0</v>
      </c>
      <c r="O816" s="1855">
        <v>0</v>
      </c>
      <c r="AA816" s="27"/>
      <c r="AC816" s="523"/>
    </row>
    <row r="817" spans="3:29">
      <c r="C817" s="1861" t="s">
        <v>4606</v>
      </c>
      <c r="D817" s="1858">
        <v>0</v>
      </c>
      <c r="E817" s="1858">
        <v>0</v>
      </c>
      <c r="F817" s="1859">
        <v>0</v>
      </c>
      <c r="G817" s="1872" t="s">
        <v>4606</v>
      </c>
      <c r="H817" s="1856">
        <v>0</v>
      </c>
      <c r="I817" s="1856">
        <v>0</v>
      </c>
      <c r="J817" s="1873">
        <v>0</v>
      </c>
      <c r="K817" s="1860"/>
      <c r="L817" s="1854">
        <v>13069010300</v>
      </c>
      <c r="M817" s="1855">
        <v>0</v>
      </c>
      <c r="N817" s="1855">
        <v>0</v>
      </c>
      <c r="O817" s="1855">
        <v>0</v>
      </c>
      <c r="AA817" s="27"/>
      <c r="AC817" s="523"/>
    </row>
    <row r="818" spans="3:29">
      <c r="C818" s="1861" t="s">
        <v>4607</v>
      </c>
      <c r="D818" s="1858">
        <v>0</v>
      </c>
      <c r="E818" s="1858">
        <v>0</v>
      </c>
      <c r="F818" s="1859">
        <v>0</v>
      </c>
      <c r="G818" s="1872" t="s">
        <v>4607</v>
      </c>
      <c r="H818" s="1856">
        <v>0</v>
      </c>
      <c r="I818" s="1856">
        <v>0</v>
      </c>
      <c r="J818" s="1873">
        <v>0</v>
      </c>
      <c r="K818" s="1860"/>
      <c r="L818" s="1854">
        <v>13069010400</v>
      </c>
      <c r="M818" s="1855">
        <v>0</v>
      </c>
      <c r="N818" s="1855">
        <v>0</v>
      </c>
      <c r="O818" s="1855">
        <v>0</v>
      </c>
      <c r="AA818" s="27"/>
      <c r="AC818" s="523"/>
    </row>
    <row r="819" spans="3:29">
      <c r="C819" s="1861" t="s">
        <v>4608</v>
      </c>
      <c r="D819" s="1858">
        <v>0</v>
      </c>
      <c r="E819" s="1858">
        <v>0</v>
      </c>
      <c r="F819" s="1859">
        <v>0</v>
      </c>
      <c r="G819" s="1872" t="s">
        <v>4608</v>
      </c>
      <c r="H819" s="1856">
        <v>0</v>
      </c>
      <c r="I819" s="1856">
        <v>0</v>
      </c>
      <c r="J819" s="1873">
        <v>0</v>
      </c>
      <c r="K819" s="1860"/>
      <c r="L819" s="1854">
        <v>13069010500</v>
      </c>
      <c r="M819" s="1855">
        <v>0</v>
      </c>
      <c r="N819" s="1855">
        <v>0</v>
      </c>
      <c r="O819" s="1855">
        <v>0</v>
      </c>
      <c r="AA819" s="27"/>
      <c r="AC819" s="523"/>
    </row>
    <row r="820" spans="3:29">
      <c r="C820" s="1861" t="s">
        <v>4609</v>
      </c>
      <c r="D820" s="1858">
        <v>1</v>
      </c>
      <c r="E820" s="1858">
        <v>1</v>
      </c>
      <c r="F820" s="1859">
        <v>2</v>
      </c>
      <c r="G820" s="1872" t="s">
        <v>4609</v>
      </c>
      <c r="H820" s="1856">
        <v>0</v>
      </c>
      <c r="I820" s="1856">
        <v>0</v>
      </c>
      <c r="J820" s="1873">
        <v>0</v>
      </c>
      <c r="K820" s="1860"/>
      <c r="L820" s="1854">
        <v>13069010600</v>
      </c>
      <c r="M820" s="1855">
        <v>1</v>
      </c>
      <c r="N820" s="1855">
        <v>1</v>
      </c>
      <c r="O820" s="1855">
        <v>2</v>
      </c>
      <c r="AA820" s="27"/>
      <c r="AC820" s="523"/>
    </row>
    <row r="821" spans="3:29">
      <c r="C821" s="1861" t="s">
        <v>4610</v>
      </c>
      <c r="D821" s="1858">
        <v>0</v>
      </c>
      <c r="E821" s="1858">
        <v>0</v>
      </c>
      <c r="F821" s="1859">
        <v>0</v>
      </c>
      <c r="G821" s="1872" t="s">
        <v>4610</v>
      </c>
      <c r="H821" s="1856">
        <v>0</v>
      </c>
      <c r="I821" s="1856">
        <v>0</v>
      </c>
      <c r="J821" s="1873">
        <v>0</v>
      </c>
      <c r="K821" s="1860"/>
      <c r="L821" s="1854">
        <v>13069010700</v>
      </c>
      <c r="M821" s="1855">
        <v>0</v>
      </c>
      <c r="N821" s="1855">
        <v>0</v>
      </c>
      <c r="O821" s="1855">
        <v>0</v>
      </c>
      <c r="AA821" s="27"/>
      <c r="AC821" s="523"/>
    </row>
    <row r="822" spans="3:29">
      <c r="C822" s="1861" t="s">
        <v>4611</v>
      </c>
      <c r="D822" s="1858">
        <v>0</v>
      </c>
      <c r="E822" s="1858">
        <v>0</v>
      </c>
      <c r="F822" s="1859">
        <v>0</v>
      </c>
      <c r="G822" s="1872" t="s">
        <v>4611</v>
      </c>
      <c r="H822" s="1856">
        <v>0</v>
      </c>
      <c r="I822" s="1856">
        <v>0</v>
      </c>
      <c r="J822" s="1873">
        <v>0</v>
      </c>
      <c r="K822" s="1860"/>
      <c r="L822" s="1854">
        <v>13069010801</v>
      </c>
      <c r="M822" s="1855">
        <v>0</v>
      </c>
      <c r="N822" s="1855">
        <v>0</v>
      </c>
      <c r="O822" s="1855">
        <v>0</v>
      </c>
      <c r="AA822" s="27"/>
      <c r="AC822" s="523"/>
    </row>
    <row r="823" spans="3:29">
      <c r="C823" s="1861" t="s">
        <v>4612</v>
      </c>
      <c r="D823" s="1858">
        <v>0</v>
      </c>
      <c r="E823" s="1858">
        <v>0</v>
      </c>
      <c r="F823" s="1859">
        <v>0</v>
      </c>
      <c r="G823" s="1872" t="s">
        <v>4612</v>
      </c>
      <c r="H823" s="1856">
        <v>0</v>
      </c>
      <c r="I823" s="1856">
        <v>0</v>
      </c>
      <c r="J823" s="1873">
        <v>0</v>
      </c>
      <c r="K823" s="1860"/>
      <c r="L823" s="1854">
        <v>13069010802</v>
      </c>
      <c r="M823" s="1855">
        <v>0</v>
      </c>
      <c r="N823" s="1855">
        <v>0</v>
      </c>
      <c r="O823" s="1855">
        <v>0</v>
      </c>
      <c r="AA823" s="27"/>
      <c r="AC823" s="523"/>
    </row>
    <row r="824" spans="3:29">
      <c r="C824" s="1861" t="s">
        <v>4613</v>
      </c>
      <c r="D824" s="1858">
        <v>0</v>
      </c>
      <c r="E824" s="1858">
        <v>0</v>
      </c>
      <c r="F824" s="1859">
        <v>0</v>
      </c>
      <c r="G824" s="1872" t="s">
        <v>4613</v>
      </c>
      <c r="H824" s="1856">
        <v>0</v>
      </c>
      <c r="I824" s="1856">
        <v>0</v>
      </c>
      <c r="J824" s="1873">
        <v>0</v>
      </c>
      <c r="K824" s="1860"/>
      <c r="L824" s="1854">
        <v>13071970100</v>
      </c>
      <c r="M824" s="1855">
        <v>0</v>
      </c>
      <c r="N824" s="1855">
        <v>0</v>
      </c>
      <c r="O824" s="1855">
        <v>0</v>
      </c>
      <c r="AA824" s="27"/>
      <c r="AC824" s="523"/>
    </row>
    <row r="825" spans="3:29">
      <c r="C825" s="1861" t="s">
        <v>4614</v>
      </c>
      <c r="D825" s="1858">
        <v>0</v>
      </c>
      <c r="E825" s="1858">
        <v>0</v>
      </c>
      <c r="F825" s="1859">
        <v>0</v>
      </c>
      <c r="G825" s="1872" t="s">
        <v>4614</v>
      </c>
      <c r="H825" s="1856">
        <v>0</v>
      </c>
      <c r="I825" s="1856">
        <v>0</v>
      </c>
      <c r="J825" s="1873">
        <v>0</v>
      </c>
      <c r="K825" s="1860"/>
      <c r="L825" s="1854">
        <v>13071970200</v>
      </c>
      <c r="M825" s="1855">
        <v>0</v>
      </c>
      <c r="N825" s="1855">
        <v>0</v>
      </c>
      <c r="O825" s="1855">
        <v>0</v>
      </c>
      <c r="AA825" s="27"/>
      <c r="AC825" s="523"/>
    </row>
    <row r="826" spans="3:29">
      <c r="C826" s="1861" t="s">
        <v>4615</v>
      </c>
      <c r="D826" s="1858">
        <v>0</v>
      </c>
      <c r="E826" s="1858">
        <v>0</v>
      </c>
      <c r="F826" s="1859">
        <v>0</v>
      </c>
      <c r="G826" s="1872" t="s">
        <v>4615</v>
      </c>
      <c r="H826" s="1856">
        <v>0</v>
      </c>
      <c r="I826" s="1856">
        <v>0</v>
      </c>
      <c r="J826" s="1873">
        <v>0</v>
      </c>
      <c r="K826" s="1860"/>
      <c r="L826" s="1854">
        <v>13071970300</v>
      </c>
      <c r="M826" s="1855">
        <v>0</v>
      </c>
      <c r="N826" s="1855">
        <v>0</v>
      </c>
      <c r="O826" s="1855">
        <v>0</v>
      </c>
      <c r="AA826" s="27"/>
      <c r="AC826" s="523"/>
    </row>
    <row r="827" spans="3:29">
      <c r="C827" s="1861" t="s">
        <v>4616</v>
      </c>
      <c r="D827" s="1858">
        <v>0</v>
      </c>
      <c r="E827" s="1858">
        <v>0</v>
      </c>
      <c r="F827" s="1859">
        <v>0</v>
      </c>
      <c r="G827" s="1872" t="s">
        <v>4616</v>
      </c>
      <c r="H827" s="1856">
        <v>0</v>
      </c>
      <c r="I827" s="1856">
        <v>0</v>
      </c>
      <c r="J827" s="1873">
        <v>0</v>
      </c>
      <c r="K827" s="1860"/>
      <c r="L827" s="1854">
        <v>13071970400</v>
      </c>
      <c r="M827" s="1855">
        <v>0</v>
      </c>
      <c r="N827" s="1855">
        <v>0</v>
      </c>
      <c r="O827" s="1855">
        <v>0</v>
      </c>
      <c r="AA827" s="27"/>
      <c r="AC827" s="523"/>
    </row>
    <row r="828" spans="3:29">
      <c r="C828" s="1861" t="s">
        <v>4617</v>
      </c>
      <c r="D828" s="1858">
        <v>0</v>
      </c>
      <c r="E828" s="1858">
        <v>0</v>
      </c>
      <c r="F828" s="1859">
        <v>0</v>
      </c>
      <c r="G828" s="1872" t="s">
        <v>4617</v>
      </c>
      <c r="H828" s="1856">
        <v>0</v>
      </c>
      <c r="I828" s="1856">
        <v>0</v>
      </c>
      <c r="J828" s="1873">
        <v>0</v>
      </c>
      <c r="K828" s="1860"/>
      <c r="L828" s="1854">
        <v>13071970500</v>
      </c>
      <c r="M828" s="1855">
        <v>0</v>
      </c>
      <c r="N828" s="1855">
        <v>0</v>
      </c>
      <c r="O828" s="1855">
        <v>0</v>
      </c>
      <c r="AA828" s="27"/>
      <c r="AC828" s="523"/>
    </row>
    <row r="829" spans="3:29">
      <c r="C829" s="1861" t="s">
        <v>4618</v>
      </c>
      <c r="D829" s="1858">
        <v>0</v>
      </c>
      <c r="E829" s="1858">
        <v>0</v>
      </c>
      <c r="F829" s="1859">
        <v>0</v>
      </c>
      <c r="G829" s="1872" t="s">
        <v>4618</v>
      </c>
      <c r="H829" s="1856">
        <v>0</v>
      </c>
      <c r="I829" s="1856">
        <v>0</v>
      </c>
      <c r="J829" s="1873">
        <v>0</v>
      </c>
      <c r="K829" s="1860"/>
      <c r="L829" s="1854">
        <v>13071970600</v>
      </c>
      <c r="M829" s="1855">
        <v>0</v>
      </c>
      <c r="N829" s="1855">
        <v>0</v>
      </c>
      <c r="O829" s="1855">
        <v>0</v>
      </c>
      <c r="AA829" s="27"/>
      <c r="AC829" s="523"/>
    </row>
    <row r="830" spans="3:29">
      <c r="C830" s="1861" t="s">
        <v>4619</v>
      </c>
      <c r="D830" s="1858">
        <v>0</v>
      </c>
      <c r="E830" s="1858">
        <v>0</v>
      </c>
      <c r="F830" s="1859">
        <v>0</v>
      </c>
      <c r="G830" s="1872" t="s">
        <v>4619</v>
      </c>
      <c r="H830" s="1856">
        <v>0</v>
      </c>
      <c r="I830" s="1856">
        <v>0</v>
      </c>
      <c r="J830" s="1873">
        <v>0</v>
      </c>
      <c r="K830" s="1860"/>
      <c r="L830" s="1854">
        <v>13071970701</v>
      </c>
      <c r="M830" s="1855">
        <v>0</v>
      </c>
      <c r="N830" s="1855">
        <v>0</v>
      </c>
      <c r="O830" s="1855">
        <v>0</v>
      </c>
      <c r="AA830" s="27"/>
      <c r="AC830" s="523"/>
    </row>
    <row r="831" spans="3:29">
      <c r="C831" s="1861" t="s">
        <v>4620</v>
      </c>
      <c r="D831" s="1858">
        <v>0</v>
      </c>
      <c r="E831" s="1858">
        <v>0</v>
      </c>
      <c r="F831" s="1859">
        <v>0</v>
      </c>
      <c r="G831" s="1872" t="s">
        <v>4620</v>
      </c>
      <c r="H831" s="1856">
        <v>0</v>
      </c>
      <c r="I831" s="1856">
        <v>0</v>
      </c>
      <c r="J831" s="1873">
        <v>0</v>
      </c>
      <c r="K831" s="1860"/>
      <c r="L831" s="1854">
        <v>13071970702</v>
      </c>
      <c r="M831" s="1855">
        <v>0</v>
      </c>
      <c r="N831" s="1855">
        <v>0</v>
      </c>
      <c r="O831" s="1855">
        <v>0</v>
      </c>
      <c r="AA831" s="27"/>
      <c r="AC831" s="523"/>
    </row>
    <row r="832" spans="3:29">
      <c r="C832" s="1861" t="s">
        <v>4621</v>
      </c>
      <c r="D832" s="1858">
        <v>0</v>
      </c>
      <c r="E832" s="1858">
        <v>0</v>
      </c>
      <c r="F832" s="1859">
        <v>0</v>
      </c>
      <c r="G832" s="1872" t="s">
        <v>4621</v>
      </c>
      <c r="H832" s="1856">
        <v>0</v>
      </c>
      <c r="I832" s="1856">
        <v>0</v>
      </c>
      <c r="J832" s="1873">
        <v>0</v>
      </c>
      <c r="K832" s="1860"/>
      <c r="L832" s="1854">
        <v>13071970800</v>
      </c>
      <c r="M832" s="1855">
        <v>0</v>
      </c>
      <c r="N832" s="1855">
        <v>0</v>
      </c>
      <c r="O832" s="1855">
        <v>0</v>
      </c>
      <c r="AA832" s="27"/>
      <c r="AC832" s="523"/>
    </row>
    <row r="833" spans="3:29">
      <c r="C833" s="1861" t="s">
        <v>4622</v>
      </c>
      <c r="D833" s="1858">
        <v>0</v>
      </c>
      <c r="E833" s="1858">
        <v>0</v>
      </c>
      <c r="F833" s="1859">
        <v>0</v>
      </c>
      <c r="G833" s="1872" t="s">
        <v>4622</v>
      </c>
      <c r="H833" s="1856">
        <v>0</v>
      </c>
      <c r="I833" s="1856">
        <v>0</v>
      </c>
      <c r="J833" s="1873">
        <v>0</v>
      </c>
      <c r="K833" s="1860"/>
      <c r="L833" s="1854">
        <v>13071970900</v>
      </c>
      <c r="M833" s="1855">
        <v>0</v>
      </c>
      <c r="N833" s="1855">
        <v>0</v>
      </c>
      <c r="O833" s="1855">
        <v>0</v>
      </c>
      <c r="AA833" s="27"/>
      <c r="AC833" s="523"/>
    </row>
    <row r="834" spans="3:29">
      <c r="C834" s="1861" t="s">
        <v>4623</v>
      </c>
      <c r="D834" s="1858">
        <v>1</v>
      </c>
      <c r="E834" s="1858">
        <v>1</v>
      </c>
      <c r="F834" s="1859">
        <v>2</v>
      </c>
      <c r="G834" s="1872" t="s">
        <v>4623</v>
      </c>
      <c r="H834" s="1856">
        <v>1</v>
      </c>
      <c r="I834" s="1856" t="s">
        <v>3908</v>
      </c>
      <c r="J834" s="1873">
        <v>1</v>
      </c>
      <c r="K834" s="1860"/>
      <c r="L834" s="1854">
        <v>13073030102</v>
      </c>
      <c r="M834" s="1855">
        <v>1</v>
      </c>
      <c r="N834" s="1855">
        <v>1</v>
      </c>
      <c r="O834" s="1855">
        <v>2</v>
      </c>
      <c r="AA834" s="27"/>
      <c r="AC834" s="523"/>
    </row>
    <row r="835" spans="3:29">
      <c r="C835" s="1861" t="s">
        <v>4624</v>
      </c>
      <c r="D835" s="1858">
        <v>1</v>
      </c>
      <c r="E835" s="1858">
        <v>1</v>
      </c>
      <c r="F835" s="1859">
        <v>2</v>
      </c>
      <c r="G835" s="1872" t="s">
        <v>4624</v>
      </c>
      <c r="H835" s="1856">
        <v>1</v>
      </c>
      <c r="I835" s="1856">
        <v>1</v>
      </c>
      <c r="J835" s="1873">
        <v>2</v>
      </c>
      <c r="K835" s="1860"/>
      <c r="L835" s="1854">
        <v>13073030103</v>
      </c>
      <c r="M835" s="1855">
        <v>1</v>
      </c>
      <c r="N835" s="1855">
        <v>1</v>
      </c>
      <c r="O835" s="1855">
        <v>2</v>
      </c>
      <c r="AA835" s="27"/>
      <c r="AC835" s="523"/>
    </row>
    <row r="836" spans="3:29">
      <c r="C836" s="1861" t="s">
        <v>4625</v>
      </c>
      <c r="D836" s="1858">
        <v>1</v>
      </c>
      <c r="E836" s="1858">
        <v>1</v>
      </c>
      <c r="F836" s="1859">
        <v>2</v>
      </c>
      <c r="G836" s="1872" t="s">
        <v>4625</v>
      </c>
      <c r="H836" s="1856">
        <v>1</v>
      </c>
      <c r="I836" s="1856">
        <v>1</v>
      </c>
      <c r="J836" s="1873">
        <v>2</v>
      </c>
      <c r="K836" s="1860"/>
      <c r="L836" s="1854">
        <v>13073030105</v>
      </c>
      <c r="M836" s="1855">
        <v>1</v>
      </c>
      <c r="N836" s="1855">
        <v>1</v>
      </c>
      <c r="O836" s="1855">
        <v>2</v>
      </c>
      <c r="AA836" s="27"/>
      <c r="AC836" s="523"/>
    </row>
    <row r="837" spans="3:29">
      <c r="C837" s="1861" t="s">
        <v>4626</v>
      </c>
      <c r="D837" s="1858">
        <v>1</v>
      </c>
      <c r="E837" s="1858">
        <v>1</v>
      </c>
      <c r="F837" s="1859">
        <v>2</v>
      </c>
      <c r="G837" s="1872" t="s">
        <v>4626</v>
      </c>
      <c r="H837" s="1856">
        <v>1</v>
      </c>
      <c r="I837" s="1856">
        <v>1</v>
      </c>
      <c r="J837" s="1873">
        <v>2</v>
      </c>
      <c r="K837" s="1860"/>
      <c r="L837" s="1854">
        <v>13073030106</v>
      </c>
      <c r="M837" s="1855">
        <v>1</v>
      </c>
      <c r="N837" s="1855">
        <v>1</v>
      </c>
      <c r="O837" s="1855">
        <v>2</v>
      </c>
      <c r="AA837" s="27"/>
      <c r="AC837" s="523"/>
    </row>
    <row r="838" spans="3:29">
      <c r="C838" s="1861" t="s">
        <v>4627</v>
      </c>
      <c r="D838" s="1858">
        <v>1</v>
      </c>
      <c r="E838" s="1858">
        <v>1</v>
      </c>
      <c r="F838" s="1859">
        <v>2</v>
      </c>
      <c r="G838" s="1872" t="s">
        <v>4627</v>
      </c>
      <c r="H838" s="1856">
        <v>0</v>
      </c>
      <c r="I838" s="1856">
        <v>1</v>
      </c>
      <c r="J838" s="1873">
        <v>1</v>
      </c>
      <c r="K838" s="1860"/>
      <c r="L838" s="1854">
        <v>13073030201</v>
      </c>
      <c r="M838" s="1855">
        <v>1</v>
      </c>
      <c r="N838" s="1855">
        <v>1</v>
      </c>
      <c r="O838" s="1855">
        <v>2</v>
      </c>
      <c r="AA838" s="27"/>
      <c r="AC838" s="523"/>
    </row>
    <row r="839" spans="3:29">
      <c r="C839" s="1861" t="s">
        <v>4628</v>
      </c>
      <c r="D839" s="1858">
        <v>0</v>
      </c>
      <c r="E839" s="1858">
        <v>1</v>
      </c>
      <c r="F839" s="1859">
        <v>1</v>
      </c>
      <c r="G839" s="1872" t="s">
        <v>4628</v>
      </c>
      <c r="H839" s="1856">
        <v>0</v>
      </c>
      <c r="I839" s="1856">
        <v>1</v>
      </c>
      <c r="J839" s="1873">
        <v>1</v>
      </c>
      <c r="K839" s="1860"/>
      <c r="L839" s="1854">
        <v>13073030202</v>
      </c>
      <c r="M839" s="1855">
        <v>0</v>
      </c>
      <c r="N839" s="1855">
        <v>1</v>
      </c>
      <c r="O839" s="1855">
        <v>1</v>
      </c>
      <c r="AA839" s="27"/>
      <c r="AC839" s="523"/>
    </row>
    <row r="840" spans="3:29">
      <c r="C840" s="1861" t="s">
        <v>4629</v>
      </c>
      <c r="D840" s="1858">
        <v>1</v>
      </c>
      <c r="E840" s="1858">
        <v>1</v>
      </c>
      <c r="F840" s="1859">
        <v>2</v>
      </c>
      <c r="G840" s="1872" t="s">
        <v>4629</v>
      </c>
      <c r="H840" s="1856">
        <v>1</v>
      </c>
      <c r="I840" s="1856">
        <v>1</v>
      </c>
      <c r="J840" s="1873">
        <v>2</v>
      </c>
      <c r="K840" s="1860"/>
      <c r="L840" s="1854">
        <v>13073030203</v>
      </c>
      <c r="M840" s="1855">
        <v>1</v>
      </c>
      <c r="N840" s="1855">
        <v>1</v>
      </c>
      <c r="O840" s="1855">
        <v>2</v>
      </c>
      <c r="AA840" s="27"/>
      <c r="AC840" s="523"/>
    </row>
    <row r="841" spans="3:29">
      <c r="C841" s="1861" t="s">
        <v>4630</v>
      </c>
      <c r="D841" s="1858">
        <v>1</v>
      </c>
      <c r="E841" s="1858">
        <v>1</v>
      </c>
      <c r="F841" s="1859">
        <v>2</v>
      </c>
      <c r="G841" s="1872" t="s">
        <v>4630</v>
      </c>
      <c r="H841" s="1856">
        <v>1</v>
      </c>
      <c r="I841" s="1856">
        <v>1</v>
      </c>
      <c r="J841" s="1873">
        <v>2</v>
      </c>
      <c r="K841" s="1860"/>
      <c r="L841" s="1854">
        <v>13073030302</v>
      </c>
      <c r="M841" s="1855">
        <v>1</v>
      </c>
      <c r="N841" s="1855">
        <v>1</v>
      </c>
      <c r="O841" s="1855">
        <v>2</v>
      </c>
      <c r="AA841" s="27"/>
      <c r="AC841" s="523"/>
    </row>
    <row r="842" spans="3:29">
      <c r="C842" s="1861" t="s">
        <v>4631</v>
      </c>
      <c r="D842" s="1858">
        <v>1</v>
      </c>
      <c r="E842" s="1858">
        <v>1</v>
      </c>
      <c r="F842" s="1859">
        <v>2</v>
      </c>
      <c r="G842" s="1872" t="s">
        <v>4631</v>
      </c>
      <c r="H842" s="1856">
        <v>1</v>
      </c>
      <c r="I842" s="1856">
        <v>1</v>
      </c>
      <c r="J842" s="1873">
        <v>2</v>
      </c>
      <c r="K842" s="1860"/>
      <c r="L842" s="1854">
        <v>13073030304</v>
      </c>
      <c r="M842" s="1855">
        <v>1</v>
      </c>
      <c r="N842" s="1855">
        <v>1</v>
      </c>
      <c r="O842" s="1855">
        <v>2</v>
      </c>
    </row>
    <row r="843" spans="3:29">
      <c r="C843" s="1861" t="s">
        <v>4632</v>
      </c>
      <c r="D843" s="1858">
        <v>1</v>
      </c>
      <c r="E843" s="1858">
        <v>1</v>
      </c>
      <c r="F843" s="1859">
        <v>2</v>
      </c>
      <c r="G843" s="1872" t="s">
        <v>4632</v>
      </c>
      <c r="H843" s="1856">
        <v>1</v>
      </c>
      <c r="I843" s="1856">
        <v>1</v>
      </c>
      <c r="J843" s="1873">
        <v>2</v>
      </c>
      <c r="K843" s="1860"/>
      <c r="L843" s="1854">
        <v>13073030306</v>
      </c>
      <c r="M843" s="1855">
        <v>1</v>
      </c>
      <c r="N843" s="1855">
        <v>1</v>
      </c>
      <c r="O843" s="1855">
        <v>2</v>
      </c>
    </row>
    <row r="844" spans="3:29">
      <c r="C844" s="1861" t="s">
        <v>4633</v>
      </c>
      <c r="D844" s="1858">
        <v>1</v>
      </c>
      <c r="E844" s="1858">
        <v>1</v>
      </c>
      <c r="F844" s="1859">
        <v>2</v>
      </c>
      <c r="G844" s="1872" t="s">
        <v>4633</v>
      </c>
      <c r="H844" s="1856">
        <v>1</v>
      </c>
      <c r="I844" s="1856">
        <v>1</v>
      </c>
      <c r="J844" s="1873">
        <v>2</v>
      </c>
      <c r="K844" s="1860"/>
      <c r="L844" s="1854">
        <v>13073030307</v>
      </c>
      <c r="M844" s="1855">
        <v>1</v>
      </c>
      <c r="N844" s="1855">
        <v>1</v>
      </c>
      <c r="O844" s="1855">
        <v>2</v>
      </c>
    </row>
    <row r="845" spans="3:29">
      <c r="C845" s="1861" t="s">
        <v>4634</v>
      </c>
      <c r="D845" s="1858">
        <v>1</v>
      </c>
      <c r="E845" s="1858">
        <v>1</v>
      </c>
      <c r="F845" s="1859">
        <v>2</v>
      </c>
      <c r="G845" s="1872" t="s">
        <v>4634</v>
      </c>
      <c r="H845" s="1856">
        <v>1</v>
      </c>
      <c r="I845" s="1856">
        <v>1</v>
      </c>
      <c r="J845" s="1873">
        <v>2</v>
      </c>
      <c r="K845" s="1860"/>
      <c r="L845" s="1854">
        <v>13073030308</v>
      </c>
      <c r="M845" s="1855">
        <v>1</v>
      </c>
      <c r="N845" s="1855">
        <v>1</v>
      </c>
      <c r="O845" s="1855">
        <v>2</v>
      </c>
    </row>
    <row r="846" spans="3:29">
      <c r="C846" s="1861" t="s">
        <v>4635</v>
      </c>
      <c r="D846" s="1858">
        <v>1</v>
      </c>
      <c r="E846" s="1858">
        <v>1</v>
      </c>
      <c r="F846" s="1859">
        <v>2</v>
      </c>
      <c r="G846" s="1872" t="s">
        <v>4635</v>
      </c>
      <c r="H846" s="1856">
        <v>1</v>
      </c>
      <c r="I846" s="1856">
        <v>1</v>
      </c>
      <c r="J846" s="1873">
        <v>2</v>
      </c>
      <c r="K846" s="1860"/>
      <c r="L846" s="1854">
        <v>13073030309</v>
      </c>
      <c r="M846" s="1855">
        <v>1</v>
      </c>
      <c r="N846" s="1855">
        <v>1</v>
      </c>
      <c r="O846" s="1855">
        <v>2</v>
      </c>
    </row>
    <row r="847" spans="3:29">
      <c r="C847" s="1861" t="s">
        <v>4636</v>
      </c>
      <c r="D847" s="1858">
        <v>0</v>
      </c>
      <c r="E847" s="1858">
        <v>0</v>
      </c>
      <c r="F847" s="1859">
        <v>0</v>
      </c>
      <c r="G847" s="1872" t="s">
        <v>4636</v>
      </c>
      <c r="H847" s="1856">
        <v>0</v>
      </c>
      <c r="I847" s="1856">
        <v>0</v>
      </c>
      <c r="J847" s="1873">
        <v>0</v>
      </c>
      <c r="K847" s="1860"/>
      <c r="L847" s="1854">
        <v>13073030401</v>
      </c>
      <c r="M847" s="1855">
        <v>0</v>
      </c>
      <c r="N847" s="1855">
        <v>0</v>
      </c>
      <c r="O847" s="1855">
        <v>0</v>
      </c>
    </row>
    <row r="848" spans="3:29">
      <c r="C848" s="1861" t="s">
        <v>4637</v>
      </c>
      <c r="D848" s="1858">
        <v>1</v>
      </c>
      <c r="E848" s="1858">
        <v>1</v>
      </c>
      <c r="F848" s="1859">
        <v>2</v>
      </c>
      <c r="G848" s="1872" t="s">
        <v>4637</v>
      </c>
      <c r="H848" s="1856">
        <v>1</v>
      </c>
      <c r="I848" s="1856">
        <v>1</v>
      </c>
      <c r="J848" s="1873">
        <v>2</v>
      </c>
      <c r="K848" s="1860"/>
      <c r="L848" s="1854">
        <v>13073030402</v>
      </c>
      <c r="M848" s="1855">
        <v>1</v>
      </c>
      <c r="N848" s="1855">
        <v>1</v>
      </c>
      <c r="O848" s="1855">
        <v>2</v>
      </c>
    </row>
    <row r="849" spans="3:15">
      <c r="C849" s="1861" t="s">
        <v>4638</v>
      </c>
      <c r="D849" s="1858">
        <v>1</v>
      </c>
      <c r="E849" s="1858">
        <v>1</v>
      </c>
      <c r="F849" s="1859">
        <v>2</v>
      </c>
      <c r="G849" s="1872" t="s">
        <v>4638</v>
      </c>
      <c r="H849" s="1856">
        <v>1</v>
      </c>
      <c r="I849" s="1856">
        <v>0</v>
      </c>
      <c r="J849" s="1873">
        <v>1</v>
      </c>
      <c r="K849" s="1860"/>
      <c r="L849" s="1854">
        <v>13073030503</v>
      </c>
      <c r="M849" s="1855">
        <v>1</v>
      </c>
      <c r="N849" s="1855">
        <v>1</v>
      </c>
      <c r="O849" s="1855">
        <v>2</v>
      </c>
    </row>
    <row r="850" spans="3:15">
      <c r="C850" s="1861" t="s">
        <v>4639</v>
      </c>
      <c r="D850" s="1858">
        <v>1</v>
      </c>
      <c r="E850" s="1858">
        <v>1</v>
      </c>
      <c r="F850" s="1859">
        <v>2</v>
      </c>
      <c r="G850" s="1872" t="s">
        <v>4639</v>
      </c>
      <c r="H850" s="1856">
        <v>0</v>
      </c>
      <c r="I850" s="1856">
        <v>1</v>
      </c>
      <c r="J850" s="1873">
        <v>1</v>
      </c>
      <c r="K850" s="1860"/>
      <c r="L850" s="1854">
        <v>13073030504</v>
      </c>
      <c r="M850" s="1855">
        <v>1</v>
      </c>
      <c r="N850" s="1855">
        <v>1</v>
      </c>
      <c r="O850" s="1855">
        <v>2</v>
      </c>
    </row>
    <row r="851" spans="3:15">
      <c r="C851" s="1861" t="s">
        <v>4640</v>
      </c>
      <c r="D851" s="1858">
        <v>1</v>
      </c>
      <c r="E851" s="1858">
        <v>1</v>
      </c>
      <c r="F851" s="1859">
        <v>2</v>
      </c>
      <c r="G851" s="1872" t="s">
        <v>4640</v>
      </c>
      <c r="H851" s="1856">
        <v>0</v>
      </c>
      <c r="I851" s="1856" t="s">
        <v>3908</v>
      </c>
      <c r="J851" s="1873">
        <v>0</v>
      </c>
      <c r="K851" s="1860"/>
      <c r="L851" s="1854">
        <v>13073030505</v>
      </c>
      <c r="M851" s="1855">
        <v>1</v>
      </c>
      <c r="N851" s="1855">
        <v>1</v>
      </c>
      <c r="O851" s="1855">
        <v>2</v>
      </c>
    </row>
    <row r="852" spans="3:15">
      <c r="C852" s="1861" t="s">
        <v>4641</v>
      </c>
      <c r="D852" s="1858">
        <v>0</v>
      </c>
      <c r="E852" s="1858">
        <v>1</v>
      </c>
      <c r="F852" s="1859">
        <v>1</v>
      </c>
      <c r="G852" s="1872" t="s">
        <v>4641</v>
      </c>
      <c r="H852" s="1856">
        <v>0</v>
      </c>
      <c r="I852" s="1856">
        <v>0</v>
      </c>
      <c r="J852" s="1873">
        <v>0</v>
      </c>
      <c r="K852" s="1860"/>
      <c r="L852" s="1854">
        <v>13073030506</v>
      </c>
      <c r="M852" s="1855">
        <v>0</v>
      </c>
      <c r="N852" s="1855">
        <v>1</v>
      </c>
      <c r="O852" s="1855">
        <v>1</v>
      </c>
    </row>
    <row r="853" spans="3:15">
      <c r="C853" s="1861" t="s">
        <v>4642</v>
      </c>
      <c r="D853" s="1858">
        <v>0</v>
      </c>
      <c r="E853" s="1858">
        <v>0</v>
      </c>
      <c r="F853" s="1859">
        <v>0</v>
      </c>
      <c r="G853" s="1872" t="s">
        <v>4642</v>
      </c>
      <c r="H853" s="1856">
        <v>0</v>
      </c>
      <c r="I853" s="1856">
        <v>0</v>
      </c>
      <c r="J853" s="1873">
        <v>0</v>
      </c>
      <c r="K853" s="1860"/>
      <c r="L853" s="1854">
        <v>13073030603</v>
      </c>
      <c r="M853" s="1855">
        <v>0</v>
      </c>
      <c r="N853" s="1855">
        <v>0</v>
      </c>
      <c r="O853" s="1855">
        <v>0</v>
      </c>
    </row>
    <row r="854" spans="3:15">
      <c r="C854" s="1861" t="s">
        <v>4643</v>
      </c>
      <c r="D854" s="1858">
        <v>0</v>
      </c>
      <c r="E854" s="1858">
        <v>0</v>
      </c>
      <c r="F854" s="1859">
        <v>0</v>
      </c>
      <c r="G854" s="1872" t="s">
        <v>4643</v>
      </c>
      <c r="H854" s="1856">
        <v>0</v>
      </c>
      <c r="I854" s="1856">
        <v>0</v>
      </c>
      <c r="J854" s="1873">
        <v>0</v>
      </c>
      <c r="K854" s="1860"/>
      <c r="L854" s="1854">
        <v>13075960100</v>
      </c>
      <c r="M854" s="1855">
        <v>0</v>
      </c>
      <c r="N854" s="1855">
        <v>0</v>
      </c>
      <c r="O854" s="1855">
        <v>0</v>
      </c>
    </row>
    <row r="855" spans="3:15">
      <c r="C855" s="1861" t="s">
        <v>4644</v>
      </c>
      <c r="D855" s="1858">
        <v>0</v>
      </c>
      <c r="E855" s="1858">
        <v>0</v>
      </c>
      <c r="F855" s="1859">
        <v>0</v>
      </c>
      <c r="G855" s="1872" t="s">
        <v>4644</v>
      </c>
      <c r="H855" s="1856">
        <v>0</v>
      </c>
      <c r="I855" s="1856">
        <v>0</v>
      </c>
      <c r="J855" s="1873">
        <v>0</v>
      </c>
      <c r="K855" s="1860"/>
      <c r="L855" s="1854">
        <v>13075960200</v>
      </c>
      <c r="M855" s="1855">
        <v>0</v>
      </c>
      <c r="N855" s="1855">
        <v>0</v>
      </c>
      <c r="O855" s="1855">
        <v>0</v>
      </c>
    </row>
    <row r="856" spans="3:15">
      <c r="C856" s="1861" t="s">
        <v>4645</v>
      </c>
      <c r="D856" s="1858">
        <v>0</v>
      </c>
      <c r="E856" s="1858">
        <v>0</v>
      </c>
      <c r="F856" s="1859">
        <v>0</v>
      </c>
      <c r="G856" s="1872" t="s">
        <v>4645</v>
      </c>
      <c r="H856" s="1856">
        <v>0</v>
      </c>
      <c r="I856" s="1856">
        <v>0</v>
      </c>
      <c r="J856" s="1873">
        <v>0</v>
      </c>
      <c r="K856" s="1860"/>
      <c r="L856" s="1854">
        <v>13075960300</v>
      </c>
      <c r="M856" s="1855">
        <v>0</v>
      </c>
      <c r="N856" s="1855">
        <v>0</v>
      </c>
      <c r="O856" s="1855">
        <v>0</v>
      </c>
    </row>
    <row r="857" spans="3:15">
      <c r="C857" s="1861" t="s">
        <v>4646</v>
      </c>
      <c r="D857" s="1858">
        <v>0</v>
      </c>
      <c r="E857" s="1858">
        <v>0</v>
      </c>
      <c r="F857" s="1859">
        <v>0</v>
      </c>
      <c r="G857" s="1872" t="s">
        <v>4646</v>
      </c>
      <c r="H857" s="1856">
        <v>0</v>
      </c>
      <c r="I857" s="1856">
        <v>0</v>
      </c>
      <c r="J857" s="1873">
        <v>0</v>
      </c>
      <c r="K857" s="1860"/>
      <c r="L857" s="1854">
        <v>13075960400</v>
      </c>
      <c r="M857" s="1855">
        <v>0</v>
      </c>
      <c r="N857" s="1855">
        <v>0</v>
      </c>
      <c r="O857" s="1855">
        <v>0</v>
      </c>
    </row>
    <row r="858" spans="3:15">
      <c r="C858" s="1861" t="s">
        <v>4647</v>
      </c>
      <c r="D858" s="1858">
        <v>1</v>
      </c>
      <c r="E858" s="1858">
        <v>1</v>
      </c>
      <c r="F858" s="1859">
        <v>2</v>
      </c>
      <c r="G858" s="1872" t="s">
        <v>4647</v>
      </c>
      <c r="H858" s="1856">
        <v>1</v>
      </c>
      <c r="I858" s="1856">
        <v>0</v>
      </c>
      <c r="J858" s="1873">
        <v>1</v>
      </c>
      <c r="K858" s="1860"/>
      <c r="L858" s="1854">
        <v>13077170100</v>
      </c>
      <c r="M858" s="1855">
        <v>1</v>
      </c>
      <c r="N858" s="1855">
        <v>1</v>
      </c>
      <c r="O858" s="1855">
        <v>2</v>
      </c>
    </row>
    <row r="859" spans="3:15">
      <c r="C859" s="1861" t="s">
        <v>4648</v>
      </c>
      <c r="D859" s="1858">
        <v>1</v>
      </c>
      <c r="E859" s="1858">
        <v>0</v>
      </c>
      <c r="F859" s="1859">
        <v>1</v>
      </c>
      <c r="G859" s="1872" t="s">
        <v>4648</v>
      </c>
      <c r="H859" s="1856">
        <v>1</v>
      </c>
      <c r="I859" s="1856">
        <v>0</v>
      </c>
      <c r="J859" s="1873">
        <v>1</v>
      </c>
      <c r="K859" s="1860"/>
      <c r="L859" s="1854">
        <v>13077170200</v>
      </c>
      <c r="M859" s="1855">
        <v>1</v>
      </c>
      <c r="N859" s="1855">
        <v>0</v>
      </c>
      <c r="O859" s="1855">
        <v>1</v>
      </c>
    </row>
    <row r="860" spans="3:15">
      <c r="C860" s="1861" t="s">
        <v>4649</v>
      </c>
      <c r="D860" s="1858">
        <v>1</v>
      </c>
      <c r="E860" s="1858">
        <v>1</v>
      </c>
      <c r="F860" s="1859">
        <v>2</v>
      </c>
      <c r="G860" s="1872" t="s">
        <v>4649</v>
      </c>
      <c r="H860" s="1856">
        <v>1</v>
      </c>
      <c r="I860" s="1856">
        <v>1</v>
      </c>
      <c r="J860" s="1873">
        <v>2</v>
      </c>
      <c r="K860" s="1860"/>
      <c r="L860" s="1854">
        <v>13077170303</v>
      </c>
      <c r="M860" s="1855">
        <v>1</v>
      </c>
      <c r="N860" s="1855">
        <v>1</v>
      </c>
      <c r="O860" s="1855">
        <v>2</v>
      </c>
    </row>
    <row r="861" spans="3:15">
      <c r="C861" s="1861" t="s">
        <v>4650</v>
      </c>
      <c r="D861" s="1858">
        <v>1</v>
      </c>
      <c r="E861" s="1858">
        <v>1</v>
      </c>
      <c r="F861" s="1859">
        <v>2</v>
      </c>
      <c r="G861" s="1872" t="s">
        <v>4650</v>
      </c>
      <c r="H861" s="1856">
        <v>1</v>
      </c>
      <c r="I861" s="1856">
        <v>1</v>
      </c>
      <c r="J861" s="1873">
        <v>2</v>
      </c>
      <c r="K861" s="1860"/>
      <c r="L861" s="1854">
        <v>13077170304</v>
      </c>
      <c r="M861" s="1855">
        <v>1</v>
      </c>
      <c r="N861" s="1855">
        <v>1</v>
      </c>
      <c r="O861" s="1855">
        <v>2</v>
      </c>
    </row>
    <row r="862" spans="3:15">
      <c r="C862" s="1861" t="s">
        <v>4651</v>
      </c>
      <c r="D862" s="1858">
        <v>0</v>
      </c>
      <c r="E862" s="1858">
        <v>0</v>
      </c>
      <c r="F862" s="1859">
        <v>0</v>
      </c>
      <c r="G862" s="1872" t="s">
        <v>4651</v>
      </c>
      <c r="H862" s="1856">
        <v>0</v>
      </c>
      <c r="I862" s="1856">
        <v>0</v>
      </c>
      <c r="J862" s="1873">
        <v>0</v>
      </c>
      <c r="K862" s="1860"/>
      <c r="L862" s="1854">
        <v>13077170305</v>
      </c>
      <c r="M862" s="1855">
        <v>0</v>
      </c>
      <c r="N862" s="1855">
        <v>0</v>
      </c>
      <c r="O862" s="1855">
        <v>0</v>
      </c>
    </row>
    <row r="863" spans="3:15">
      <c r="C863" s="1861" t="s">
        <v>4652</v>
      </c>
      <c r="D863" s="1858">
        <v>1</v>
      </c>
      <c r="E863" s="1858">
        <v>1</v>
      </c>
      <c r="F863" s="1859">
        <v>2</v>
      </c>
      <c r="G863" s="1872" t="s">
        <v>4652</v>
      </c>
      <c r="H863" s="1856">
        <v>1</v>
      </c>
      <c r="I863" s="1856">
        <v>1</v>
      </c>
      <c r="J863" s="1873">
        <v>2</v>
      </c>
      <c r="K863" s="1860"/>
      <c r="L863" s="1854">
        <v>13077170306</v>
      </c>
      <c r="M863" s="1855">
        <v>1</v>
      </c>
      <c r="N863" s="1855">
        <v>1</v>
      </c>
      <c r="O863" s="1855">
        <v>2</v>
      </c>
    </row>
    <row r="864" spans="3:15">
      <c r="C864" s="1861" t="s">
        <v>4653</v>
      </c>
      <c r="D864" s="1858">
        <v>1</v>
      </c>
      <c r="E864" s="1858">
        <v>1</v>
      </c>
      <c r="F864" s="1859">
        <v>2</v>
      </c>
      <c r="G864" s="1872" t="s">
        <v>4653</v>
      </c>
      <c r="H864" s="1856">
        <v>1</v>
      </c>
      <c r="I864" s="1856">
        <v>1</v>
      </c>
      <c r="J864" s="1873">
        <v>2</v>
      </c>
      <c r="K864" s="1860"/>
      <c r="L864" s="1854">
        <v>13077170402</v>
      </c>
      <c r="M864" s="1855">
        <v>1</v>
      </c>
      <c r="N864" s="1855">
        <v>1</v>
      </c>
      <c r="O864" s="1855">
        <v>2</v>
      </c>
    </row>
    <row r="865" spans="3:15">
      <c r="C865" s="1861" t="s">
        <v>4654</v>
      </c>
      <c r="D865" s="1858">
        <v>1</v>
      </c>
      <c r="E865" s="1858">
        <v>1</v>
      </c>
      <c r="F865" s="1859">
        <v>2</v>
      </c>
      <c r="G865" s="1872" t="s">
        <v>4654</v>
      </c>
      <c r="H865" s="1856">
        <v>1</v>
      </c>
      <c r="I865" s="1856">
        <v>1</v>
      </c>
      <c r="J865" s="1873">
        <v>2</v>
      </c>
      <c r="K865" s="1860"/>
      <c r="L865" s="1854">
        <v>13077170403</v>
      </c>
      <c r="M865" s="1855">
        <v>1</v>
      </c>
      <c r="N865" s="1855">
        <v>1</v>
      </c>
      <c r="O865" s="1855">
        <v>2</v>
      </c>
    </row>
    <row r="866" spans="3:15">
      <c r="C866" s="1861" t="s">
        <v>4655</v>
      </c>
      <c r="D866" s="1858">
        <v>1</v>
      </c>
      <c r="E866" s="1858">
        <v>1</v>
      </c>
      <c r="F866" s="1859">
        <v>2</v>
      </c>
      <c r="G866" s="1872" t="s">
        <v>4655</v>
      </c>
      <c r="H866" s="1856">
        <v>1</v>
      </c>
      <c r="I866" s="1856">
        <v>1</v>
      </c>
      <c r="J866" s="1873">
        <v>2</v>
      </c>
      <c r="K866" s="1860"/>
      <c r="L866" s="1854">
        <v>13077170404</v>
      </c>
      <c r="M866" s="1855">
        <v>1</v>
      </c>
      <c r="N866" s="1855">
        <v>1</v>
      </c>
      <c r="O866" s="1855">
        <v>2</v>
      </c>
    </row>
    <row r="867" spans="3:15">
      <c r="C867" s="1861" t="s">
        <v>4656</v>
      </c>
      <c r="D867" s="1858">
        <v>1</v>
      </c>
      <c r="E867" s="1858">
        <v>1</v>
      </c>
      <c r="F867" s="1859">
        <v>2</v>
      </c>
      <c r="G867" s="1872" t="s">
        <v>4656</v>
      </c>
      <c r="H867" s="1856">
        <v>1</v>
      </c>
      <c r="I867" s="1856">
        <v>1</v>
      </c>
      <c r="J867" s="1873">
        <v>2</v>
      </c>
      <c r="K867" s="1860"/>
      <c r="L867" s="1854">
        <v>13077170405</v>
      </c>
      <c r="M867" s="1855">
        <v>1</v>
      </c>
      <c r="N867" s="1855">
        <v>1</v>
      </c>
      <c r="O867" s="1855">
        <v>2</v>
      </c>
    </row>
    <row r="868" spans="3:15">
      <c r="C868" s="1861" t="s">
        <v>4657</v>
      </c>
      <c r="D868" s="1858">
        <v>1</v>
      </c>
      <c r="E868" s="1858">
        <v>1</v>
      </c>
      <c r="F868" s="1859">
        <v>2</v>
      </c>
      <c r="G868" s="1872" t="s">
        <v>4657</v>
      </c>
      <c r="H868" s="1856">
        <v>1</v>
      </c>
      <c r="I868" s="1856">
        <v>1</v>
      </c>
      <c r="J868" s="1873">
        <v>2</v>
      </c>
      <c r="K868" s="1860"/>
      <c r="L868" s="1854">
        <v>13077170406</v>
      </c>
      <c r="M868" s="1855">
        <v>1</v>
      </c>
      <c r="N868" s="1855">
        <v>1</v>
      </c>
      <c r="O868" s="1855">
        <v>2</v>
      </c>
    </row>
    <row r="869" spans="3:15">
      <c r="C869" s="1861" t="s">
        <v>4658</v>
      </c>
      <c r="D869" s="1858">
        <v>1</v>
      </c>
      <c r="E869" s="1858">
        <v>1</v>
      </c>
      <c r="F869" s="1859">
        <v>2</v>
      </c>
      <c r="G869" s="1872" t="s">
        <v>4658</v>
      </c>
      <c r="H869" s="1856">
        <v>1</v>
      </c>
      <c r="I869" s="1856">
        <v>1</v>
      </c>
      <c r="J869" s="1873">
        <v>2</v>
      </c>
      <c r="K869" s="1860"/>
      <c r="L869" s="1854">
        <v>13077170501</v>
      </c>
      <c r="M869" s="1855">
        <v>1</v>
      </c>
      <c r="N869" s="1855">
        <v>1</v>
      </c>
      <c r="O869" s="1855">
        <v>2</v>
      </c>
    </row>
    <row r="870" spans="3:15">
      <c r="C870" s="1861" t="s">
        <v>4659</v>
      </c>
      <c r="D870" s="1858">
        <v>1</v>
      </c>
      <c r="E870" s="1858">
        <v>1</v>
      </c>
      <c r="F870" s="1859">
        <v>2</v>
      </c>
      <c r="G870" s="1872" t="s">
        <v>4659</v>
      </c>
      <c r="H870" s="1856">
        <v>1</v>
      </c>
      <c r="I870" s="1856">
        <v>1</v>
      </c>
      <c r="J870" s="1873">
        <v>2</v>
      </c>
      <c r="K870" s="1860"/>
      <c r="L870" s="1854">
        <v>13077170502</v>
      </c>
      <c r="M870" s="1855">
        <v>1</v>
      </c>
      <c r="N870" s="1855">
        <v>1</v>
      </c>
      <c r="O870" s="1855">
        <v>2</v>
      </c>
    </row>
    <row r="871" spans="3:15">
      <c r="C871" s="1861" t="s">
        <v>4660</v>
      </c>
      <c r="D871" s="1858">
        <v>1</v>
      </c>
      <c r="E871" s="1858">
        <v>1</v>
      </c>
      <c r="F871" s="1859">
        <v>2</v>
      </c>
      <c r="G871" s="1872" t="s">
        <v>4660</v>
      </c>
      <c r="H871" s="1856">
        <v>1</v>
      </c>
      <c r="I871" s="1856">
        <v>1</v>
      </c>
      <c r="J871" s="1873">
        <v>2</v>
      </c>
      <c r="K871" s="1860"/>
      <c r="L871" s="1854">
        <v>13077170503</v>
      </c>
      <c r="M871" s="1855">
        <v>1</v>
      </c>
      <c r="N871" s="1855">
        <v>1</v>
      </c>
      <c r="O871" s="1855">
        <v>2</v>
      </c>
    </row>
    <row r="872" spans="3:15">
      <c r="C872" s="1861" t="s">
        <v>4661</v>
      </c>
      <c r="D872" s="1858">
        <v>0</v>
      </c>
      <c r="E872" s="1858">
        <v>0</v>
      </c>
      <c r="F872" s="1859">
        <v>0</v>
      </c>
      <c r="G872" s="1872" t="s">
        <v>4661</v>
      </c>
      <c r="H872" s="1856">
        <v>0</v>
      </c>
      <c r="I872" s="1856">
        <v>0</v>
      </c>
      <c r="J872" s="1873">
        <v>0</v>
      </c>
      <c r="K872" s="1860"/>
      <c r="L872" s="1854">
        <v>13077170601</v>
      </c>
      <c r="M872" s="1855">
        <v>0</v>
      </c>
      <c r="N872" s="1855">
        <v>0</v>
      </c>
      <c r="O872" s="1855">
        <v>0</v>
      </c>
    </row>
    <row r="873" spans="3:15">
      <c r="C873" s="1861" t="s">
        <v>4662</v>
      </c>
      <c r="D873" s="1858">
        <v>1</v>
      </c>
      <c r="E873" s="1858">
        <v>1</v>
      </c>
      <c r="F873" s="1859">
        <v>2</v>
      </c>
      <c r="G873" s="1872" t="s">
        <v>4662</v>
      </c>
      <c r="H873" s="1856">
        <v>1</v>
      </c>
      <c r="I873" s="1856" t="s">
        <v>3908</v>
      </c>
      <c r="J873" s="1873">
        <v>1</v>
      </c>
      <c r="K873" s="1860"/>
      <c r="L873" s="1854">
        <v>13077170602</v>
      </c>
      <c r="M873" s="1855">
        <v>1</v>
      </c>
      <c r="N873" s="1855">
        <v>1</v>
      </c>
      <c r="O873" s="1855">
        <v>2</v>
      </c>
    </row>
    <row r="874" spans="3:15">
      <c r="C874" s="1861" t="s">
        <v>4663</v>
      </c>
      <c r="D874" s="1858">
        <v>1</v>
      </c>
      <c r="E874" s="1858">
        <v>1</v>
      </c>
      <c r="F874" s="1859">
        <v>2</v>
      </c>
      <c r="G874" s="1872" t="s">
        <v>4663</v>
      </c>
      <c r="H874" s="1856">
        <v>1</v>
      </c>
      <c r="I874" s="1856">
        <v>1</v>
      </c>
      <c r="J874" s="1873">
        <v>2</v>
      </c>
      <c r="K874" s="1860"/>
      <c r="L874" s="1854">
        <v>13077170603</v>
      </c>
      <c r="M874" s="1855">
        <v>1</v>
      </c>
      <c r="N874" s="1855">
        <v>1</v>
      </c>
      <c r="O874" s="1855">
        <v>2</v>
      </c>
    </row>
    <row r="875" spans="3:15">
      <c r="C875" s="1861" t="s">
        <v>4664</v>
      </c>
      <c r="D875" s="1858">
        <v>0</v>
      </c>
      <c r="E875" s="1858">
        <v>0</v>
      </c>
      <c r="F875" s="1859">
        <v>0</v>
      </c>
      <c r="G875" s="1872" t="s">
        <v>4664</v>
      </c>
      <c r="H875" s="1856">
        <v>0</v>
      </c>
      <c r="I875" s="1856">
        <v>0</v>
      </c>
      <c r="J875" s="1873">
        <v>0</v>
      </c>
      <c r="K875" s="1860"/>
      <c r="L875" s="1854">
        <v>13077170700</v>
      </c>
      <c r="M875" s="1855">
        <v>0</v>
      </c>
      <c r="N875" s="1855">
        <v>0</v>
      </c>
      <c r="O875" s="1855">
        <v>0</v>
      </c>
    </row>
    <row r="876" spans="3:15">
      <c r="C876" s="1861" t="s">
        <v>4665</v>
      </c>
      <c r="D876" s="1858">
        <v>0</v>
      </c>
      <c r="E876" s="1858">
        <v>1</v>
      </c>
      <c r="F876" s="1859">
        <v>1</v>
      </c>
      <c r="G876" s="1872" t="s">
        <v>4665</v>
      </c>
      <c r="H876" s="1856">
        <v>0</v>
      </c>
      <c r="I876" s="1856">
        <v>0</v>
      </c>
      <c r="J876" s="1873">
        <v>0</v>
      </c>
      <c r="K876" s="1860"/>
      <c r="L876" s="1854">
        <v>13077170801</v>
      </c>
      <c r="M876" s="1855">
        <v>0</v>
      </c>
      <c r="N876" s="1855">
        <v>1</v>
      </c>
      <c r="O876" s="1855">
        <v>1</v>
      </c>
    </row>
    <row r="877" spans="3:15">
      <c r="C877" s="1861" t="s">
        <v>4666</v>
      </c>
      <c r="D877" s="1858">
        <v>1</v>
      </c>
      <c r="E877" s="1858">
        <v>1</v>
      </c>
      <c r="F877" s="1859">
        <v>2</v>
      </c>
      <c r="G877" s="1872" t="s">
        <v>4666</v>
      </c>
      <c r="H877" s="1856">
        <v>1</v>
      </c>
      <c r="I877" s="1856">
        <v>1</v>
      </c>
      <c r="J877" s="1873">
        <v>2</v>
      </c>
      <c r="K877" s="1860"/>
      <c r="L877" s="1854">
        <v>13077170802</v>
      </c>
      <c r="M877" s="1855">
        <v>1</v>
      </c>
      <c r="N877" s="1855">
        <v>1</v>
      </c>
      <c r="O877" s="1855">
        <v>2</v>
      </c>
    </row>
    <row r="878" spans="3:15">
      <c r="C878" s="1861" t="s">
        <v>4667</v>
      </c>
      <c r="D878" s="1858">
        <v>0</v>
      </c>
      <c r="E878" s="1858">
        <v>0</v>
      </c>
      <c r="F878" s="1859">
        <v>0</v>
      </c>
      <c r="G878" s="1872" t="s">
        <v>4667</v>
      </c>
      <c r="H878" s="1856">
        <v>0</v>
      </c>
      <c r="I878" s="1856">
        <v>0</v>
      </c>
      <c r="J878" s="1873">
        <v>0</v>
      </c>
      <c r="K878" s="1860"/>
      <c r="L878" s="1854">
        <v>13079070100</v>
      </c>
      <c r="M878" s="1855">
        <v>0</v>
      </c>
      <c r="N878" s="1855">
        <v>0</v>
      </c>
      <c r="O878" s="1855">
        <v>0</v>
      </c>
    </row>
    <row r="879" spans="3:15">
      <c r="C879" s="1861" t="s">
        <v>4668</v>
      </c>
      <c r="D879" s="1858">
        <v>0</v>
      </c>
      <c r="E879" s="1858">
        <v>1</v>
      </c>
      <c r="F879" s="1859">
        <v>1</v>
      </c>
      <c r="G879" s="1872" t="s">
        <v>4668</v>
      </c>
      <c r="H879" s="1856">
        <v>0</v>
      </c>
      <c r="I879" s="1856">
        <v>1</v>
      </c>
      <c r="J879" s="1873">
        <v>1</v>
      </c>
      <c r="K879" s="1860"/>
      <c r="L879" s="1854">
        <v>13079070201</v>
      </c>
      <c r="M879" s="1855">
        <v>0</v>
      </c>
      <c r="N879" s="1855">
        <v>1</v>
      </c>
      <c r="O879" s="1855">
        <v>1</v>
      </c>
    </row>
    <row r="880" spans="3:15">
      <c r="C880" s="1861" t="s">
        <v>4669</v>
      </c>
      <c r="D880" s="1858">
        <v>0</v>
      </c>
      <c r="E880" s="1858">
        <v>1</v>
      </c>
      <c r="F880" s="1859">
        <v>1</v>
      </c>
      <c r="G880" s="1872" t="s">
        <v>4669</v>
      </c>
      <c r="H880" s="1856">
        <v>0</v>
      </c>
      <c r="I880" s="1856">
        <v>0</v>
      </c>
      <c r="J880" s="1873">
        <v>0</v>
      </c>
      <c r="K880" s="1860"/>
      <c r="L880" s="1854">
        <v>13079070202</v>
      </c>
      <c r="M880" s="1855">
        <v>0</v>
      </c>
      <c r="N880" s="1855">
        <v>1</v>
      </c>
      <c r="O880" s="1855">
        <v>1</v>
      </c>
    </row>
    <row r="881" spans="3:15">
      <c r="C881" s="1861" t="s">
        <v>4670</v>
      </c>
      <c r="D881" s="1858">
        <v>0</v>
      </c>
      <c r="E881" s="1858">
        <v>0</v>
      </c>
      <c r="F881" s="1859">
        <v>0</v>
      </c>
      <c r="G881" s="1872" t="s">
        <v>4670</v>
      </c>
      <c r="H881" s="1856">
        <v>0</v>
      </c>
      <c r="I881" s="1856">
        <v>0</v>
      </c>
      <c r="J881" s="1873">
        <v>0</v>
      </c>
      <c r="K881" s="1860"/>
      <c r="L881" s="1854">
        <v>13081010100</v>
      </c>
      <c r="M881" s="1855">
        <v>0</v>
      </c>
      <c r="N881" s="1855">
        <v>0</v>
      </c>
      <c r="O881" s="1855">
        <v>0</v>
      </c>
    </row>
    <row r="882" spans="3:15">
      <c r="C882" s="1861" t="s">
        <v>4671</v>
      </c>
      <c r="D882" s="1858">
        <v>0</v>
      </c>
      <c r="E882" s="1858">
        <v>0</v>
      </c>
      <c r="F882" s="1859">
        <v>0</v>
      </c>
      <c r="G882" s="1872" t="s">
        <v>4671</v>
      </c>
      <c r="H882" s="1856">
        <v>0</v>
      </c>
      <c r="I882" s="1856">
        <v>0</v>
      </c>
      <c r="J882" s="1873">
        <v>0</v>
      </c>
      <c r="K882" s="1860"/>
      <c r="L882" s="1854">
        <v>13081010201</v>
      </c>
      <c r="M882" s="1855">
        <v>0</v>
      </c>
      <c r="N882" s="1855">
        <v>0</v>
      </c>
      <c r="O882" s="1855">
        <v>0</v>
      </c>
    </row>
    <row r="883" spans="3:15">
      <c r="C883" s="1861" t="s">
        <v>4672</v>
      </c>
      <c r="D883" s="1858">
        <v>0</v>
      </c>
      <c r="E883" s="1858">
        <v>0</v>
      </c>
      <c r="F883" s="1859">
        <v>0</v>
      </c>
      <c r="G883" s="1872" t="s">
        <v>4672</v>
      </c>
      <c r="H883" s="1856">
        <v>0</v>
      </c>
      <c r="I883" s="1856">
        <v>0</v>
      </c>
      <c r="J883" s="1873">
        <v>0</v>
      </c>
      <c r="K883" s="1860"/>
      <c r="L883" s="1854">
        <v>13081010202</v>
      </c>
      <c r="M883" s="1855">
        <v>0</v>
      </c>
      <c r="N883" s="1855">
        <v>0</v>
      </c>
      <c r="O883" s="1855">
        <v>0</v>
      </c>
    </row>
    <row r="884" spans="3:15">
      <c r="C884" s="1861" t="s">
        <v>4673</v>
      </c>
      <c r="D884" s="1858">
        <v>0</v>
      </c>
      <c r="E884" s="1858">
        <v>0</v>
      </c>
      <c r="F884" s="1859">
        <v>0</v>
      </c>
      <c r="G884" s="1872" t="s">
        <v>4673</v>
      </c>
      <c r="H884" s="1856">
        <v>0</v>
      </c>
      <c r="I884" s="1856">
        <v>0</v>
      </c>
      <c r="J884" s="1873">
        <v>0</v>
      </c>
      <c r="K884" s="1860"/>
      <c r="L884" s="1854">
        <v>13081010300</v>
      </c>
      <c r="M884" s="1855">
        <v>0</v>
      </c>
      <c r="N884" s="1855">
        <v>0</v>
      </c>
      <c r="O884" s="1855">
        <v>0</v>
      </c>
    </row>
    <row r="885" spans="3:15">
      <c r="C885" s="1861" t="s">
        <v>4674</v>
      </c>
      <c r="D885" s="1858">
        <v>0</v>
      </c>
      <c r="E885" s="1858">
        <v>0</v>
      </c>
      <c r="F885" s="1859">
        <v>0</v>
      </c>
      <c r="G885" s="1872" t="s">
        <v>4674</v>
      </c>
      <c r="H885" s="1856">
        <v>0</v>
      </c>
      <c r="I885" s="1856">
        <v>0</v>
      </c>
      <c r="J885" s="1873">
        <v>0</v>
      </c>
      <c r="K885" s="1860"/>
      <c r="L885" s="1854">
        <v>13081010400</v>
      </c>
      <c r="M885" s="1855">
        <v>0</v>
      </c>
      <c r="N885" s="1855">
        <v>0</v>
      </c>
      <c r="O885" s="1855">
        <v>0</v>
      </c>
    </row>
    <row r="886" spans="3:15">
      <c r="C886" s="1861" t="s">
        <v>4675</v>
      </c>
      <c r="D886" s="1858">
        <v>0</v>
      </c>
      <c r="E886" s="1858">
        <v>0</v>
      </c>
      <c r="F886" s="1859">
        <v>0</v>
      </c>
      <c r="G886" s="1872" t="s">
        <v>4675</v>
      </c>
      <c r="H886" s="1856">
        <v>0</v>
      </c>
      <c r="I886" s="1856">
        <v>0</v>
      </c>
      <c r="J886" s="1873">
        <v>0</v>
      </c>
      <c r="K886" s="1860"/>
      <c r="L886" s="1854">
        <v>13081010500</v>
      </c>
      <c r="M886" s="1855">
        <v>0</v>
      </c>
      <c r="N886" s="1855">
        <v>0</v>
      </c>
      <c r="O886" s="1855">
        <v>0</v>
      </c>
    </row>
    <row r="887" spans="3:15">
      <c r="C887" s="1861" t="s">
        <v>4676</v>
      </c>
      <c r="D887" s="1858">
        <v>0</v>
      </c>
      <c r="E887" s="1858">
        <v>0</v>
      </c>
      <c r="F887" s="1859">
        <v>0</v>
      </c>
      <c r="G887" s="1872" t="s">
        <v>4676</v>
      </c>
      <c r="H887" s="1856">
        <v>0</v>
      </c>
      <c r="I887" s="1856">
        <v>0</v>
      </c>
      <c r="J887" s="1873">
        <v>0</v>
      </c>
      <c r="K887" s="1860"/>
      <c r="L887" s="1854">
        <v>13083040101</v>
      </c>
      <c r="M887" s="1855">
        <v>0</v>
      </c>
      <c r="N887" s="1855">
        <v>0</v>
      </c>
      <c r="O887" s="1855">
        <v>0</v>
      </c>
    </row>
    <row r="888" spans="3:15">
      <c r="C888" s="1861" t="s">
        <v>4677</v>
      </c>
      <c r="D888" s="1858">
        <v>1</v>
      </c>
      <c r="E888" s="1858">
        <v>1</v>
      </c>
      <c r="F888" s="1859">
        <v>2</v>
      </c>
      <c r="G888" s="1872" t="s">
        <v>4677</v>
      </c>
      <c r="H888" s="1856">
        <v>0</v>
      </c>
      <c r="I888" s="1856">
        <v>1</v>
      </c>
      <c r="J888" s="1873">
        <v>1</v>
      </c>
      <c r="K888" s="1860"/>
      <c r="L888" s="1854">
        <v>13083040102</v>
      </c>
      <c r="M888" s="1855">
        <v>1</v>
      </c>
      <c r="N888" s="1855">
        <v>1</v>
      </c>
      <c r="O888" s="1855">
        <v>2</v>
      </c>
    </row>
    <row r="889" spans="3:15">
      <c r="C889" s="1861" t="s">
        <v>4678</v>
      </c>
      <c r="D889" s="1858">
        <v>0</v>
      </c>
      <c r="E889" s="1858">
        <v>0</v>
      </c>
      <c r="F889" s="1859">
        <v>0</v>
      </c>
      <c r="G889" s="1872" t="s">
        <v>4678</v>
      </c>
      <c r="H889" s="1856">
        <v>0</v>
      </c>
      <c r="I889" s="1856">
        <v>0</v>
      </c>
      <c r="J889" s="1873">
        <v>0</v>
      </c>
      <c r="K889" s="1860"/>
      <c r="L889" s="1854">
        <v>13083040200</v>
      </c>
      <c r="M889" s="1855">
        <v>0</v>
      </c>
      <c r="N889" s="1855">
        <v>0</v>
      </c>
      <c r="O889" s="1855">
        <v>0</v>
      </c>
    </row>
    <row r="890" spans="3:15">
      <c r="C890" s="1861" t="s">
        <v>4679</v>
      </c>
      <c r="D890" s="1858">
        <v>1</v>
      </c>
      <c r="E890" s="1858">
        <v>1</v>
      </c>
      <c r="F890" s="1859">
        <v>2</v>
      </c>
      <c r="G890" s="1872" t="s">
        <v>4679</v>
      </c>
      <c r="H890" s="1856">
        <v>0</v>
      </c>
      <c r="I890" s="1856">
        <v>1</v>
      </c>
      <c r="J890" s="1873">
        <v>1</v>
      </c>
      <c r="K890" s="1860"/>
      <c r="L890" s="1854">
        <v>13083040300</v>
      </c>
      <c r="M890" s="1855">
        <v>1</v>
      </c>
      <c r="N890" s="1855">
        <v>1</v>
      </c>
      <c r="O890" s="1855">
        <v>2</v>
      </c>
    </row>
    <row r="891" spans="3:15">
      <c r="C891" s="1861" t="s">
        <v>4680</v>
      </c>
      <c r="D891" s="1858">
        <v>1</v>
      </c>
      <c r="E891" s="1858">
        <v>1</v>
      </c>
      <c r="F891" s="1859">
        <v>2</v>
      </c>
      <c r="G891" s="1872" t="s">
        <v>4680</v>
      </c>
      <c r="H891" s="1856">
        <v>1</v>
      </c>
      <c r="I891" s="1856">
        <v>1</v>
      </c>
      <c r="J891" s="1873">
        <v>2</v>
      </c>
      <c r="K891" s="1860"/>
      <c r="L891" s="1854">
        <v>13085970100</v>
      </c>
      <c r="M891" s="1855">
        <v>1</v>
      </c>
      <c r="N891" s="1855">
        <v>1</v>
      </c>
      <c r="O891" s="1855">
        <v>2</v>
      </c>
    </row>
    <row r="892" spans="3:15">
      <c r="C892" s="1861" t="s">
        <v>4681</v>
      </c>
      <c r="D892" s="1858">
        <v>1</v>
      </c>
      <c r="E892" s="1858">
        <v>1</v>
      </c>
      <c r="F892" s="1859">
        <v>2</v>
      </c>
      <c r="G892" s="1872" t="s">
        <v>4681</v>
      </c>
      <c r="H892" s="1856">
        <v>1</v>
      </c>
      <c r="I892" s="1856">
        <v>1</v>
      </c>
      <c r="J892" s="1873">
        <v>2</v>
      </c>
      <c r="K892" s="1860"/>
      <c r="L892" s="1854">
        <v>13085970201</v>
      </c>
      <c r="M892" s="1855">
        <v>1</v>
      </c>
      <c r="N892" s="1855">
        <v>1</v>
      </c>
      <c r="O892" s="1855">
        <v>2</v>
      </c>
    </row>
    <row r="893" spans="3:15">
      <c r="C893" s="1861" t="s">
        <v>4682</v>
      </c>
      <c r="D893" s="1858">
        <v>0</v>
      </c>
      <c r="E893" s="1858">
        <v>1</v>
      </c>
      <c r="F893" s="1859">
        <v>1</v>
      </c>
      <c r="G893" s="1872" t="s">
        <v>4682</v>
      </c>
      <c r="H893" s="1856">
        <v>1</v>
      </c>
      <c r="I893" s="1856">
        <v>0</v>
      </c>
      <c r="J893" s="1873">
        <v>1</v>
      </c>
      <c r="K893" s="1860"/>
      <c r="L893" s="1854">
        <v>13085970202</v>
      </c>
      <c r="M893" s="1855">
        <v>1</v>
      </c>
      <c r="N893" s="1855">
        <v>1</v>
      </c>
      <c r="O893" s="1855">
        <v>1</v>
      </c>
    </row>
    <row r="894" spans="3:15">
      <c r="C894" s="1861" t="s">
        <v>4683</v>
      </c>
      <c r="D894" s="1858">
        <v>1</v>
      </c>
      <c r="E894" s="1858">
        <v>0</v>
      </c>
      <c r="F894" s="1859">
        <v>1</v>
      </c>
      <c r="G894" s="1872" t="s">
        <v>4683</v>
      </c>
      <c r="H894" s="1856">
        <v>0</v>
      </c>
      <c r="I894" s="1856">
        <v>0</v>
      </c>
      <c r="J894" s="1873">
        <v>0</v>
      </c>
      <c r="K894" s="1860"/>
      <c r="L894" s="1854">
        <v>13087970100</v>
      </c>
      <c r="M894" s="1855">
        <v>1</v>
      </c>
      <c r="N894" s="1855">
        <v>0</v>
      </c>
      <c r="O894" s="1855">
        <v>1</v>
      </c>
    </row>
    <row r="895" spans="3:15">
      <c r="C895" s="1861" t="s">
        <v>4684</v>
      </c>
      <c r="D895" s="1858">
        <v>0</v>
      </c>
      <c r="E895" s="1858">
        <v>0</v>
      </c>
      <c r="F895" s="1859">
        <v>0</v>
      </c>
      <c r="G895" s="1872" t="s">
        <v>4684</v>
      </c>
      <c r="H895" s="1856">
        <v>0</v>
      </c>
      <c r="I895" s="1856">
        <v>0</v>
      </c>
      <c r="J895" s="1873">
        <v>0</v>
      </c>
      <c r="K895" s="1860"/>
      <c r="L895" s="1854">
        <v>13087970200</v>
      </c>
      <c r="M895" s="1855">
        <v>0</v>
      </c>
      <c r="N895" s="1855">
        <v>0</v>
      </c>
      <c r="O895" s="1855">
        <v>0</v>
      </c>
    </row>
    <row r="896" spans="3:15">
      <c r="C896" s="1861" t="s">
        <v>4685</v>
      </c>
      <c r="D896" s="1858">
        <v>0</v>
      </c>
      <c r="E896" s="1858">
        <v>0</v>
      </c>
      <c r="F896" s="1859">
        <v>0</v>
      </c>
      <c r="G896" s="1872" t="s">
        <v>4685</v>
      </c>
      <c r="H896" s="1856">
        <v>0</v>
      </c>
      <c r="I896" s="1856">
        <v>0</v>
      </c>
      <c r="J896" s="1873">
        <v>0</v>
      </c>
      <c r="K896" s="1860"/>
      <c r="L896" s="1854">
        <v>13087970300</v>
      </c>
      <c r="M896" s="1855">
        <v>0</v>
      </c>
      <c r="N896" s="1855">
        <v>0</v>
      </c>
      <c r="O896" s="1855">
        <v>0</v>
      </c>
    </row>
    <row r="897" spans="3:15">
      <c r="C897" s="1861" t="s">
        <v>4686</v>
      </c>
      <c r="D897" s="1858">
        <v>0</v>
      </c>
      <c r="E897" s="1858">
        <v>0</v>
      </c>
      <c r="F897" s="1859">
        <v>0</v>
      </c>
      <c r="G897" s="1872" t="s">
        <v>4686</v>
      </c>
      <c r="H897" s="1856">
        <v>0</v>
      </c>
      <c r="I897" s="1856">
        <v>0</v>
      </c>
      <c r="J897" s="1873">
        <v>0</v>
      </c>
      <c r="K897" s="1860"/>
      <c r="L897" s="1854">
        <v>13087970400</v>
      </c>
      <c r="M897" s="1855">
        <v>0</v>
      </c>
      <c r="N897" s="1855">
        <v>0</v>
      </c>
      <c r="O897" s="1855">
        <v>0</v>
      </c>
    </row>
    <row r="898" spans="3:15">
      <c r="C898" s="1861" t="s">
        <v>4687</v>
      </c>
      <c r="D898" s="1858">
        <v>1</v>
      </c>
      <c r="E898" s="1858">
        <v>0</v>
      </c>
      <c r="F898" s="1859">
        <v>1</v>
      </c>
      <c r="G898" s="1872" t="s">
        <v>4687</v>
      </c>
      <c r="H898" s="1856">
        <v>0</v>
      </c>
      <c r="I898" s="1856">
        <v>1</v>
      </c>
      <c r="J898" s="1873">
        <v>1</v>
      </c>
      <c r="K898" s="1860"/>
      <c r="L898" s="1854">
        <v>13087970600</v>
      </c>
      <c r="M898" s="1855">
        <v>1</v>
      </c>
      <c r="N898" s="1855">
        <v>1</v>
      </c>
      <c r="O898" s="1855">
        <v>1</v>
      </c>
    </row>
    <row r="899" spans="3:15">
      <c r="C899" s="1861" t="s">
        <v>4688</v>
      </c>
      <c r="D899" s="1858">
        <v>0</v>
      </c>
      <c r="E899" s="1858">
        <v>0</v>
      </c>
      <c r="F899" s="1859">
        <v>0</v>
      </c>
      <c r="G899" s="1872" t="s">
        <v>4688</v>
      </c>
      <c r="H899" s="1856">
        <v>0</v>
      </c>
      <c r="I899" s="1856">
        <v>0</v>
      </c>
      <c r="J899" s="1873">
        <v>0</v>
      </c>
      <c r="K899" s="1860"/>
      <c r="L899" s="1854">
        <v>13087970700</v>
      </c>
      <c r="M899" s="1855">
        <v>0</v>
      </c>
      <c r="N899" s="1855">
        <v>0</v>
      </c>
      <c r="O899" s="1855">
        <v>0</v>
      </c>
    </row>
    <row r="900" spans="3:15">
      <c r="C900" s="1861" t="s">
        <v>4689</v>
      </c>
      <c r="D900" s="1858">
        <v>0</v>
      </c>
      <c r="E900" s="1858">
        <v>0</v>
      </c>
      <c r="F900" s="1859">
        <v>0</v>
      </c>
      <c r="G900" s="1872" t="s">
        <v>4689</v>
      </c>
      <c r="H900" s="1856">
        <v>0</v>
      </c>
      <c r="I900" s="1856">
        <v>0</v>
      </c>
      <c r="J900" s="1873">
        <v>0</v>
      </c>
      <c r="K900" s="1860"/>
      <c r="L900" s="1854">
        <v>13087970800</v>
      </c>
      <c r="M900" s="1855">
        <v>0</v>
      </c>
      <c r="N900" s="1855">
        <v>0</v>
      </c>
      <c r="O900" s="1855">
        <v>0</v>
      </c>
    </row>
    <row r="901" spans="3:15">
      <c r="C901" s="1861" t="s">
        <v>4690</v>
      </c>
      <c r="D901" s="1858">
        <v>1</v>
      </c>
      <c r="E901" s="1858">
        <v>1</v>
      </c>
      <c r="F901" s="1859">
        <v>2</v>
      </c>
      <c r="G901" s="1872" t="s">
        <v>4690</v>
      </c>
      <c r="H901" s="1856">
        <v>1</v>
      </c>
      <c r="I901" s="1856">
        <v>1</v>
      </c>
      <c r="J901" s="1873">
        <v>2</v>
      </c>
      <c r="K901" s="1860"/>
      <c r="L901" s="1854">
        <v>13089020100</v>
      </c>
      <c r="M901" s="1855">
        <v>1</v>
      </c>
      <c r="N901" s="1855">
        <v>1</v>
      </c>
      <c r="O901" s="1855">
        <v>2</v>
      </c>
    </row>
    <row r="902" spans="3:15">
      <c r="C902" s="1861" t="s">
        <v>4691</v>
      </c>
      <c r="D902" s="1858">
        <v>1</v>
      </c>
      <c r="E902" s="1858">
        <v>1</v>
      </c>
      <c r="F902" s="1859">
        <v>2</v>
      </c>
      <c r="G902" s="1872" t="s">
        <v>4691</v>
      </c>
      <c r="H902" s="1856">
        <v>1</v>
      </c>
      <c r="I902" s="1856">
        <v>1</v>
      </c>
      <c r="J902" s="1873">
        <v>2</v>
      </c>
      <c r="K902" s="1860"/>
      <c r="L902" s="1854">
        <v>13089020200</v>
      </c>
      <c r="M902" s="1855">
        <v>1</v>
      </c>
      <c r="N902" s="1855">
        <v>1</v>
      </c>
      <c r="O902" s="1855">
        <v>2</v>
      </c>
    </row>
    <row r="903" spans="3:15">
      <c r="C903" s="1861" t="s">
        <v>4692</v>
      </c>
      <c r="D903" s="1858">
        <v>1</v>
      </c>
      <c r="E903" s="1858">
        <v>1</v>
      </c>
      <c r="F903" s="1859">
        <v>2</v>
      </c>
      <c r="G903" s="1872" t="s">
        <v>4692</v>
      </c>
      <c r="H903" s="1856">
        <v>1</v>
      </c>
      <c r="I903" s="1856" t="s">
        <v>3908</v>
      </c>
      <c r="J903" s="1873">
        <v>1</v>
      </c>
      <c r="K903" s="1860"/>
      <c r="L903" s="1854">
        <v>13089020300</v>
      </c>
      <c r="M903" s="1855">
        <v>1</v>
      </c>
      <c r="N903" s="1855">
        <v>1</v>
      </c>
      <c r="O903" s="1855">
        <v>2</v>
      </c>
    </row>
    <row r="904" spans="3:15">
      <c r="C904" s="1861" t="s">
        <v>4693</v>
      </c>
      <c r="D904" s="1858">
        <v>1</v>
      </c>
      <c r="E904" s="1858">
        <v>1</v>
      </c>
      <c r="F904" s="1859">
        <v>2</v>
      </c>
      <c r="G904" s="1872" t="s">
        <v>4693</v>
      </c>
      <c r="H904" s="1856">
        <v>1</v>
      </c>
      <c r="I904" s="1856" t="s">
        <v>3908</v>
      </c>
      <c r="J904" s="1873">
        <v>1</v>
      </c>
      <c r="K904" s="1860"/>
      <c r="L904" s="1854">
        <v>13089020400</v>
      </c>
      <c r="M904" s="1855">
        <v>1</v>
      </c>
      <c r="N904" s="1855">
        <v>1</v>
      </c>
      <c r="O904" s="1855">
        <v>2</v>
      </c>
    </row>
    <row r="905" spans="3:15">
      <c r="C905" s="1861" t="s">
        <v>4694</v>
      </c>
      <c r="D905" s="1858">
        <v>0</v>
      </c>
      <c r="E905" s="1858">
        <v>0</v>
      </c>
      <c r="F905" s="1859">
        <v>0</v>
      </c>
      <c r="G905" s="1872" t="s">
        <v>4694</v>
      </c>
      <c r="H905" s="1856">
        <v>0</v>
      </c>
      <c r="I905" s="1856">
        <v>0</v>
      </c>
      <c r="J905" s="1873">
        <v>0</v>
      </c>
      <c r="K905" s="1860"/>
      <c r="L905" s="1854">
        <v>13089020500</v>
      </c>
      <c r="M905" s="1855">
        <v>0</v>
      </c>
      <c r="N905" s="1855">
        <v>0</v>
      </c>
      <c r="O905" s="1855">
        <v>0</v>
      </c>
    </row>
    <row r="906" spans="3:15">
      <c r="C906" s="1861" t="s">
        <v>4695</v>
      </c>
      <c r="D906" s="1858">
        <v>0</v>
      </c>
      <c r="E906" s="1858">
        <v>0</v>
      </c>
      <c r="F906" s="1859">
        <v>0</v>
      </c>
      <c r="G906" s="1872" t="s">
        <v>4695</v>
      </c>
      <c r="H906" s="1856">
        <v>0</v>
      </c>
      <c r="I906" s="1856">
        <v>0</v>
      </c>
      <c r="J906" s="1873">
        <v>0</v>
      </c>
      <c r="K906" s="1860"/>
      <c r="L906" s="1854">
        <v>13089020600</v>
      </c>
      <c r="M906" s="1855">
        <v>0</v>
      </c>
      <c r="N906" s="1855">
        <v>0</v>
      </c>
      <c r="O906" s="1855">
        <v>0</v>
      </c>
    </row>
    <row r="907" spans="3:15">
      <c r="C907" s="1861" t="s">
        <v>4696</v>
      </c>
      <c r="D907" s="1858">
        <v>1</v>
      </c>
      <c r="E907" s="1858">
        <v>0</v>
      </c>
      <c r="F907" s="1859">
        <v>1</v>
      </c>
      <c r="G907" s="1872" t="s">
        <v>4696</v>
      </c>
      <c r="H907" s="1856">
        <v>1</v>
      </c>
      <c r="I907" s="1856">
        <v>1</v>
      </c>
      <c r="J907" s="1873">
        <v>2</v>
      </c>
      <c r="K907" s="1860"/>
      <c r="L907" s="1854">
        <v>13089020700</v>
      </c>
      <c r="M907" s="1855">
        <v>1</v>
      </c>
      <c r="N907" s="1855">
        <v>1</v>
      </c>
      <c r="O907" s="1855">
        <v>2</v>
      </c>
    </row>
    <row r="908" spans="3:15">
      <c r="C908" s="1861" t="s">
        <v>4697</v>
      </c>
      <c r="D908" s="1858">
        <v>1</v>
      </c>
      <c r="E908" s="1858">
        <v>1</v>
      </c>
      <c r="F908" s="1859">
        <v>2</v>
      </c>
      <c r="G908" s="1872" t="s">
        <v>4697</v>
      </c>
      <c r="H908" s="1856">
        <v>1</v>
      </c>
      <c r="I908" s="1856">
        <v>1</v>
      </c>
      <c r="J908" s="1873">
        <v>2</v>
      </c>
      <c r="K908" s="1860"/>
      <c r="L908" s="1854">
        <v>13089020801</v>
      </c>
      <c r="M908" s="1855">
        <v>1</v>
      </c>
      <c r="N908" s="1855">
        <v>1</v>
      </c>
      <c r="O908" s="1855">
        <v>2</v>
      </c>
    </row>
    <row r="909" spans="3:15">
      <c r="C909" s="1861" t="s">
        <v>4698</v>
      </c>
      <c r="D909" s="1858">
        <v>1</v>
      </c>
      <c r="E909" s="1858">
        <v>0</v>
      </c>
      <c r="F909" s="1859">
        <v>1</v>
      </c>
      <c r="G909" s="1872" t="s">
        <v>4698</v>
      </c>
      <c r="H909" s="1856">
        <v>1</v>
      </c>
      <c r="I909" s="1856">
        <v>0</v>
      </c>
      <c r="J909" s="1873">
        <v>1</v>
      </c>
      <c r="K909" s="1860"/>
      <c r="L909" s="1854">
        <v>13089020802</v>
      </c>
      <c r="M909" s="1855">
        <v>1</v>
      </c>
      <c r="N909" s="1855">
        <v>0</v>
      </c>
      <c r="O909" s="1855">
        <v>1</v>
      </c>
    </row>
    <row r="910" spans="3:15">
      <c r="C910" s="1861" t="s">
        <v>4699</v>
      </c>
      <c r="D910" s="1858">
        <v>1</v>
      </c>
      <c r="E910" s="1858">
        <v>0</v>
      </c>
      <c r="F910" s="1859">
        <v>1</v>
      </c>
      <c r="G910" s="1872" t="s">
        <v>4699</v>
      </c>
      <c r="H910" s="1856">
        <v>1</v>
      </c>
      <c r="I910" s="1856">
        <v>0</v>
      </c>
      <c r="J910" s="1873">
        <v>1</v>
      </c>
      <c r="K910" s="1860"/>
      <c r="L910" s="1854">
        <v>13089020900</v>
      </c>
      <c r="M910" s="1855">
        <v>1</v>
      </c>
      <c r="N910" s="1855">
        <v>0</v>
      </c>
      <c r="O910" s="1855">
        <v>1</v>
      </c>
    </row>
    <row r="911" spans="3:15">
      <c r="C911" s="1861" t="s">
        <v>4700</v>
      </c>
      <c r="D911" s="1858">
        <v>1</v>
      </c>
      <c r="E911" s="1858">
        <v>1</v>
      </c>
      <c r="F911" s="1859">
        <v>2</v>
      </c>
      <c r="G911" s="1872" t="s">
        <v>4700</v>
      </c>
      <c r="H911" s="1856">
        <v>1</v>
      </c>
      <c r="I911" s="1856">
        <v>1</v>
      </c>
      <c r="J911" s="1873">
        <v>2</v>
      </c>
      <c r="K911" s="1860"/>
      <c r="L911" s="1854">
        <v>13089021101</v>
      </c>
      <c r="M911" s="1855">
        <v>1</v>
      </c>
      <c r="N911" s="1855">
        <v>1</v>
      </c>
      <c r="O911" s="1855">
        <v>2</v>
      </c>
    </row>
    <row r="912" spans="3:15">
      <c r="C912" s="1861" t="s">
        <v>4701</v>
      </c>
      <c r="D912" s="1858">
        <v>1</v>
      </c>
      <c r="E912" s="1858">
        <v>1</v>
      </c>
      <c r="F912" s="1859">
        <v>2</v>
      </c>
      <c r="G912" s="1872" t="s">
        <v>4701</v>
      </c>
      <c r="H912" s="1856">
        <v>1</v>
      </c>
      <c r="I912" s="1856">
        <v>1</v>
      </c>
      <c r="J912" s="1873">
        <v>2</v>
      </c>
      <c r="K912" s="1860"/>
      <c r="L912" s="1854">
        <v>13089021102</v>
      </c>
      <c r="M912" s="1855">
        <v>1</v>
      </c>
      <c r="N912" s="1855">
        <v>1</v>
      </c>
      <c r="O912" s="1855">
        <v>2</v>
      </c>
    </row>
    <row r="913" spans="3:15">
      <c r="C913" s="1861" t="s">
        <v>4702</v>
      </c>
      <c r="D913" s="1858">
        <v>1</v>
      </c>
      <c r="E913" s="1858">
        <v>1</v>
      </c>
      <c r="F913" s="1859">
        <v>2</v>
      </c>
      <c r="G913" s="1872" t="s">
        <v>4702</v>
      </c>
      <c r="H913" s="1856">
        <v>1</v>
      </c>
      <c r="I913" s="1856">
        <v>1</v>
      </c>
      <c r="J913" s="1873">
        <v>2</v>
      </c>
      <c r="K913" s="1860"/>
      <c r="L913" s="1854">
        <v>13089021202</v>
      </c>
      <c r="M913" s="1855">
        <v>1</v>
      </c>
      <c r="N913" s="1855">
        <v>1</v>
      </c>
      <c r="O913" s="1855">
        <v>2</v>
      </c>
    </row>
    <row r="914" spans="3:15">
      <c r="C914" s="1861" t="s">
        <v>4703</v>
      </c>
      <c r="D914" s="1858">
        <v>0</v>
      </c>
      <c r="E914" s="1858">
        <v>0</v>
      </c>
      <c r="F914" s="1859">
        <v>0</v>
      </c>
      <c r="G914" s="1872" t="s">
        <v>4703</v>
      </c>
      <c r="H914" s="1856">
        <v>0</v>
      </c>
      <c r="I914" s="1856" t="s">
        <v>3908</v>
      </c>
      <c r="J914" s="1873">
        <v>0</v>
      </c>
      <c r="K914" s="1860"/>
      <c r="L914" s="1854">
        <v>13089021204</v>
      </c>
      <c r="M914" s="1855">
        <v>0</v>
      </c>
      <c r="N914" s="1855">
        <v>0</v>
      </c>
      <c r="O914" s="1855">
        <v>0</v>
      </c>
    </row>
    <row r="915" spans="3:15">
      <c r="C915" s="1861" t="s">
        <v>4704</v>
      </c>
      <c r="D915" s="1858">
        <v>1</v>
      </c>
      <c r="E915" s="1858">
        <v>1</v>
      </c>
      <c r="F915" s="1859">
        <v>2</v>
      </c>
      <c r="G915" s="1872" t="s">
        <v>4704</v>
      </c>
      <c r="H915" s="1856">
        <v>1</v>
      </c>
      <c r="I915" s="1856">
        <v>1</v>
      </c>
      <c r="J915" s="1873">
        <v>2</v>
      </c>
      <c r="K915" s="1860"/>
      <c r="L915" s="1854">
        <v>13089021208</v>
      </c>
      <c r="M915" s="1855">
        <v>1</v>
      </c>
      <c r="N915" s="1855">
        <v>1</v>
      </c>
      <c r="O915" s="1855">
        <v>2</v>
      </c>
    </row>
    <row r="916" spans="3:15">
      <c r="C916" s="1861" t="s">
        <v>4705</v>
      </c>
      <c r="D916" s="1858">
        <v>1</v>
      </c>
      <c r="E916" s="1858">
        <v>1</v>
      </c>
      <c r="F916" s="1859">
        <v>2</v>
      </c>
      <c r="G916" s="1872" t="s">
        <v>4705</v>
      </c>
      <c r="H916" s="1856">
        <v>1</v>
      </c>
      <c r="I916" s="1856">
        <v>1</v>
      </c>
      <c r="J916" s="1873">
        <v>2</v>
      </c>
      <c r="K916" s="1860"/>
      <c r="L916" s="1854">
        <v>13089021209</v>
      </c>
      <c r="M916" s="1855">
        <v>1</v>
      </c>
      <c r="N916" s="1855">
        <v>1</v>
      </c>
      <c r="O916" s="1855">
        <v>2</v>
      </c>
    </row>
    <row r="917" spans="3:15">
      <c r="C917" s="1861" t="s">
        <v>4706</v>
      </c>
      <c r="D917" s="1858">
        <v>1</v>
      </c>
      <c r="E917" s="1858">
        <v>1</v>
      </c>
      <c r="F917" s="1859">
        <v>2</v>
      </c>
      <c r="G917" s="1872" t="s">
        <v>4706</v>
      </c>
      <c r="H917" s="1856">
        <v>1</v>
      </c>
      <c r="I917" s="1856">
        <v>1</v>
      </c>
      <c r="J917" s="1873">
        <v>2</v>
      </c>
      <c r="K917" s="1860"/>
      <c r="L917" s="1854">
        <v>13089021210</v>
      </c>
      <c r="M917" s="1855">
        <v>1</v>
      </c>
      <c r="N917" s="1855">
        <v>1</v>
      </c>
      <c r="O917" s="1855">
        <v>2</v>
      </c>
    </row>
    <row r="918" spans="3:15">
      <c r="C918" s="1861" t="s">
        <v>4707</v>
      </c>
      <c r="D918" s="1858">
        <v>1</v>
      </c>
      <c r="E918" s="1858">
        <v>1</v>
      </c>
      <c r="F918" s="1859">
        <v>2</v>
      </c>
      <c r="G918" s="1872" t="s">
        <v>4707</v>
      </c>
      <c r="H918" s="1856">
        <v>1</v>
      </c>
      <c r="I918" s="1856">
        <v>1</v>
      </c>
      <c r="J918" s="1873">
        <v>2</v>
      </c>
      <c r="K918" s="1860"/>
      <c r="L918" s="1854">
        <v>13089021211</v>
      </c>
      <c r="M918" s="1855">
        <v>1</v>
      </c>
      <c r="N918" s="1855">
        <v>1</v>
      </c>
      <c r="O918" s="1855">
        <v>2</v>
      </c>
    </row>
    <row r="919" spans="3:15">
      <c r="C919" s="1861" t="s">
        <v>4708</v>
      </c>
      <c r="D919" s="1858">
        <v>1</v>
      </c>
      <c r="E919" s="1858">
        <v>1</v>
      </c>
      <c r="F919" s="1859">
        <v>2</v>
      </c>
      <c r="G919" s="1872" t="s">
        <v>4708</v>
      </c>
      <c r="H919" s="1856">
        <v>1</v>
      </c>
      <c r="I919" s="1856">
        <v>1</v>
      </c>
      <c r="J919" s="1873">
        <v>2</v>
      </c>
      <c r="K919" s="1860"/>
      <c r="L919" s="1854">
        <v>13089021213</v>
      </c>
      <c r="M919" s="1855">
        <v>1</v>
      </c>
      <c r="N919" s="1855">
        <v>1</v>
      </c>
      <c r="O919" s="1855">
        <v>2</v>
      </c>
    </row>
    <row r="920" spans="3:15">
      <c r="C920" s="1861" t="s">
        <v>4709</v>
      </c>
      <c r="D920" s="1858">
        <v>1</v>
      </c>
      <c r="E920" s="1858">
        <v>1</v>
      </c>
      <c r="F920" s="1859">
        <v>2</v>
      </c>
      <c r="G920" s="1872" t="s">
        <v>4709</v>
      </c>
      <c r="H920" s="1856">
        <v>1</v>
      </c>
      <c r="I920" s="1856" t="s">
        <v>3908</v>
      </c>
      <c r="J920" s="1873">
        <v>1</v>
      </c>
      <c r="K920" s="1860"/>
      <c r="L920" s="1854">
        <v>13089021214</v>
      </c>
      <c r="M920" s="1855">
        <v>1</v>
      </c>
      <c r="N920" s="1855">
        <v>1</v>
      </c>
      <c r="O920" s="1855">
        <v>2</v>
      </c>
    </row>
    <row r="921" spans="3:15">
      <c r="C921" s="1861" t="s">
        <v>4710</v>
      </c>
      <c r="D921" s="1858">
        <v>1</v>
      </c>
      <c r="E921" s="1858">
        <v>1</v>
      </c>
      <c r="F921" s="1859">
        <v>2</v>
      </c>
      <c r="G921" s="1872" t="s">
        <v>4710</v>
      </c>
      <c r="H921" s="1856">
        <v>1</v>
      </c>
      <c r="I921" s="1856">
        <v>1</v>
      </c>
      <c r="J921" s="1873">
        <v>2</v>
      </c>
      <c r="K921" s="1860"/>
      <c r="L921" s="1854">
        <v>13089021215</v>
      </c>
      <c r="M921" s="1855">
        <v>1</v>
      </c>
      <c r="N921" s="1855">
        <v>1</v>
      </c>
      <c r="O921" s="1855">
        <v>2</v>
      </c>
    </row>
    <row r="922" spans="3:15">
      <c r="C922" s="1861" t="s">
        <v>4711</v>
      </c>
      <c r="D922" s="1858">
        <v>1</v>
      </c>
      <c r="E922" s="1858">
        <v>1</v>
      </c>
      <c r="F922" s="1859">
        <v>2</v>
      </c>
      <c r="G922" s="1872" t="s">
        <v>4711</v>
      </c>
      <c r="H922" s="1856">
        <v>1</v>
      </c>
      <c r="I922" s="1856">
        <v>1</v>
      </c>
      <c r="J922" s="1873">
        <v>2</v>
      </c>
      <c r="K922" s="1860"/>
      <c r="L922" s="1854">
        <v>13089021216</v>
      </c>
      <c r="M922" s="1855">
        <v>1</v>
      </c>
      <c r="N922" s="1855">
        <v>1</v>
      </c>
      <c r="O922" s="1855">
        <v>2</v>
      </c>
    </row>
    <row r="923" spans="3:15">
      <c r="C923" s="1861" t="s">
        <v>4712</v>
      </c>
      <c r="D923" s="1858">
        <v>1</v>
      </c>
      <c r="E923" s="1858">
        <v>1</v>
      </c>
      <c r="F923" s="1859">
        <v>2</v>
      </c>
      <c r="G923" s="1872" t="s">
        <v>4712</v>
      </c>
      <c r="H923" s="1856">
        <v>1</v>
      </c>
      <c r="I923" s="1856">
        <v>1</v>
      </c>
      <c r="J923" s="1873">
        <v>2</v>
      </c>
      <c r="K923" s="1860"/>
      <c r="L923" s="1854">
        <v>13089021217</v>
      </c>
      <c r="M923" s="1855">
        <v>1</v>
      </c>
      <c r="N923" s="1855">
        <v>1</v>
      </c>
      <c r="O923" s="1855">
        <v>2</v>
      </c>
    </row>
    <row r="924" spans="3:15">
      <c r="C924" s="1861" t="s">
        <v>4713</v>
      </c>
      <c r="D924" s="1858">
        <v>1</v>
      </c>
      <c r="E924" s="1858">
        <v>1</v>
      </c>
      <c r="F924" s="1859">
        <v>2</v>
      </c>
      <c r="G924" s="1872" t="s">
        <v>4713</v>
      </c>
      <c r="H924" s="1856">
        <v>1</v>
      </c>
      <c r="I924" s="1856">
        <v>1</v>
      </c>
      <c r="J924" s="1873">
        <v>2</v>
      </c>
      <c r="K924" s="1860"/>
      <c r="L924" s="1854">
        <v>13089021218</v>
      </c>
      <c r="M924" s="1855">
        <v>1</v>
      </c>
      <c r="N924" s="1855">
        <v>1</v>
      </c>
      <c r="O924" s="1855">
        <v>2</v>
      </c>
    </row>
    <row r="925" spans="3:15">
      <c r="C925" s="1861" t="s">
        <v>4714</v>
      </c>
      <c r="D925" s="1858">
        <v>0</v>
      </c>
      <c r="E925" s="1858">
        <v>0</v>
      </c>
      <c r="F925" s="1859">
        <v>0</v>
      </c>
      <c r="G925" s="1872" t="s">
        <v>4714</v>
      </c>
      <c r="H925" s="1856">
        <v>1</v>
      </c>
      <c r="I925" s="1856">
        <v>0</v>
      </c>
      <c r="J925" s="1873">
        <v>1</v>
      </c>
      <c r="K925" s="1860"/>
      <c r="L925" s="1854">
        <v>13089021301</v>
      </c>
      <c r="M925" s="1855">
        <v>1</v>
      </c>
      <c r="N925" s="1855">
        <v>0</v>
      </c>
      <c r="O925" s="1855">
        <v>1</v>
      </c>
    </row>
    <row r="926" spans="3:15">
      <c r="C926" s="1861" t="s">
        <v>4715</v>
      </c>
      <c r="D926" s="1858">
        <v>0</v>
      </c>
      <c r="E926" s="1858">
        <v>0</v>
      </c>
      <c r="F926" s="1859">
        <v>0</v>
      </c>
      <c r="G926" s="1872" t="s">
        <v>4715</v>
      </c>
      <c r="H926" s="1856">
        <v>0</v>
      </c>
      <c r="I926" s="1856">
        <v>0</v>
      </c>
      <c r="J926" s="1873">
        <v>0</v>
      </c>
      <c r="K926" s="1860"/>
      <c r="L926" s="1854">
        <v>13089021303</v>
      </c>
      <c r="M926" s="1855">
        <v>0</v>
      </c>
      <c r="N926" s="1855">
        <v>0</v>
      </c>
      <c r="O926" s="1855">
        <v>0</v>
      </c>
    </row>
    <row r="927" spans="3:15">
      <c r="C927" s="1861" t="s">
        <v>4716</v>
      </c>
      <c r="D927" s="1858">
        <v>0</v>
      </c>
      <c r="E927" s="1858">
        <v>0</v>
      </c>
      <c r="F927" s="1859">
        <v>0</v>
      </c>
      <c r="G927" s="1872" t="s">
        <v>4716</v>
      </c>
      <c r="H927" s="1856">
        <v>1</v>
      </c>
      <c r="I927" s="1856">
        <v>0</v>
      </c>
      <c r="J927" s="1873">
        <v>1</v>
      </c>
      <c r="K927" s="1860"/>
      <c r="L927" s="1854">
        <v>13089021305</v>
      </c>
      <c r="M927" s="1855">
        <v>1</v>
      </c>
      <c r="N927" s="1855">
        <v>0</v>
      </c>
      <c r="O927" s="1855">
        <v>1</v>
      </c>
    </row>
    <row r="928" spans="3:15">
      <c r="C928" s="1861" t="s">
        <v>4717</v>
      </c>
      <c r="D928" s="1858">
        <v>1</v>
      </c>
      <c r="E928" s="1858">
        <v>0</v>
      </c>
      <c r="F928" s="1859">
        <v>1</v>
      </c>
      <c r="G928" s="1872" t="s">
        <v>4717</v>
      </c>
      <c r="H928" s="1856">
        <v>1</v>
      </c>
      <c r="I928" s="1856">
        <v>0</v>
      </c>
      <c r="J928" s="1873">
        <v>1</v>
      </c>
      <c r="K928" s="1860"/>
      <c r="L928" s="1854">
        <v>13089021306</v>
      </c>
      <c r="M928" s="1855">
        <v>1</v>
      </c>
      <c r="N928" s="1855">
        <v>0</v>
      </c>
      <c r="O928" s="1855">
        <v>1</v>
      </c>
    </row>
    <row r="929" spans="3:15">
      <c r="C929" s="1861" t="s">
        <v>4718</v>
      </c>
      <c r="D929" s="1858">
        <v>0</v>
      </c>
      <c r="E929" s="1858">
        <v>0</v>
      </c>
      <c r="F929" s="1859">
        <v>0</v>
      </c>
      <c r="G929" s="1872" t="s">
        <v>4718</v>
      </c>
      <c r="H929" s="1856">
        <v>1</v>
      </c>
      <c r="I929" s="1856">
        <v>0</v>
      </c>
      <c r="J929" s="1873">
        <v>1</v>
      </c>
      <c r="K929" s="1860"/>
      <c r="L929" s="1854">
        <v>13089021307</v>
      </c>
      <c r="M929" s="1855">
        <v>1</v>
      </c>
      <c r="N929" s="1855">
        <v>0</v>
      </c>
      <c r="O929" s="1855">
        <v>1</v>
      </c>
    </row>
    <row r="930" spans="3:15">
      <c r="C930" s="1861" t="s">
        <v>4719</v>
      </c>
      <c r="D930" s="1858">
        <v>1</v>
      </c>
      <c r="E930" s="1858">
        <v>0</v>
      </c>
      <c r="F930" s="1859">
        <v>1</v>
      </c>
      <c r="G930" s="1872" t="s">
        <v>4719</v>
      </c>
      <c r="H930" s="1856">
        <v>1</v>
      </c>
      <c r="I930" s="1856">
        <v>0</v>
      </c>
      <c r="J930" s="1873">
        <v>1</v>
      </c>
      <c r="K930" s="1860"/>
      <c r="L930" s="1854">
        <v>13089021308</v>
      </c>
      <c r="M930" s="1855">
        <v>1</v>
      </c>
      <c r="N930" s="1855">
        <v>0</v>
      </c>
      <c r="O930" s="1855">
        <v>1</v>
      </c>
    </row>
    <row r="931" spans="3:15">
      <c r="C931" s="1861" t="s">
        <v>4720</v>
      </c>
      <c r="D931" s="1858">
        <v>1</v>
      </c>
      <c r="E931" s="1858">
        <v>1</v>
      </c>
      <c r="F931" s="1859">
        <v>2</v>
      </c>
      <c r="G931" s="1872" t="s">
        <v>4720</v>
      </c>
      <c r="H931" s="1856">
        <v>1</v>
      </c>
      <c r="I931" s="1856">
        <v>1</v>
      </c>
      <c r="J931" s="1873">
        <v>2</v>
      </c>
      <c r="K931" s="1860"/>
      <c r="L931" s="1854">
        <v>13089021405</v>
      </c>
      <c r="M931" s="1855">
        <v>1</v>
      </c>
      <c r="N931" s="1855">
        <v>1</v>
      </c>
      <c r="O931" s="1855">
        <v>2</v>
      </c>
    </row>
    <row r="932" spans="3:15">
      <c r="C932" s="1861" t="s">
        <v>4721</v>
      </c>
      <c r="D932" s="1858">
        <v>0</v>
      </c>
      <c r="E932" s="1858">
        <v>0</v>
      </c>
      <c r="F932" s="1859">
        <v>0</v>
      </c>
      <c r="G932" s="1872" t="s">
        <v>4721</v>
      </c>
      <c r="H932" s="1856">
        <v>1</v>
      </c>
      <c r="I932" s="1856" t="s">
        <v>3908</v>
      </c>
      <c r="J932" s="1873">
        <v>1</v>
      </c>
      <c r="K932" s="1860"/>
      <c r="L932" s="1854">
        <v>13089021409</v>
      </c>
      <c r="M932" s="1855">
        <v>1</v>
      </c>
      <c r="N932" s="1855">
        <v>0</v>
      </c>
      <c r="O932" s="1855">
        <v>1</v>
      </c>
    </row>
    <row r="933" spans="3:15">
      <c r="C933" s="1861" t="s">
        <v>4722</v>
      </c>
      <c r="D933" s="1858">
        <v>1</v>
      </c>
      <c r="E933" s="1858">
        <v>0</v>
      </c>
      <c r="F933" s="1859">
        <v>1</v>
      </c>
      <c r="G933" s="1872" t="s">
        <v>4722</v>
      </c>
      <c r="H933" s="1856">
        <v>1</v>
      </c>
      <c r="I933" s="1856" t="s">
        <v>3908</v>
      </c>
      <c r="J933" s="1873">
        <v>1</v>
      </c>
      <c r="K933" s="1860"/>
      <c r="L933" s="1854">
        <v>13089021410</v>
      </c>
      <c r="M933" s="1855">
        <v>1</v>
      </c>
      <c r="N933" s="1855">
        <v>0</v>
      </c>
      <c r="O933" s="1855">
        <v>1</v>
      </c>
    </row>
    <row r="934" spans="3:15">
      <c r="C934" s="1861" t="s">
        <v>4723</v>
      </c>
      <c r="D934" s="1858">
        <v>1</v>
      </c>
      <c r="E934" s="1858">
        <v>1</v>
      </c>
      <c r="F934" s="1859">
        <v>2</v>
      </c>
      <c r="G934" s="1872" t="s">
        <v>4723</v>
      </c>
      <c r="H934" s="1856">
        <v>1</v>
      </c>
      <c r="I934" s="1856">
        <v>1</v>
      </c>
      <c r="J934" s="1873">
        <v>2</v>
      </c>
      <c r="K934" s="1860"/>
      <c r="L934" s="1854">
        <v>13089021411</v>
      </c>
      <c r="M934" s="1855">
        <v>1</v>
      </c>
      <c r="N934" s="1855">
        <v>1</v>
      </c>
      <c r="O934" s="1855">
        <v>2</v>
      </c>
    </row>
    <row r="935" spans="3:15">
      <c r="C935" s="1861" t="s">
        <v>4724</v>
      </c>
      <c r="D935" s="1858">
        <v>1</v>
      </c>
      <c r="E935" s="1858">
        <v>1</v>
      </c>
      <c r="F935" s="1859">
        <v>2</v>
      </c>
      <c r="G935" s="1872" t="s">
        <v>4724</v>
      </c>
      <c r="H935" s="1856">
        <v>1</v>
      </c>
      <c r="I935" s="1856">
        <v>1</v>
      </c>
      <c r="J935" s="1873">
        <v>2</v>
      </c>
      <c r="K935" s="1860"/>
      <c r="L935" s="1854">
        <v>13089021412</v>
      </c>
      <c r="M935" s="1855">
        <v>1</v>
      </c>
      <c r="N935" s="1855">
        <v>1</v>
      </c>
      <c r="O935" s="1855">
        <v>2</v>
      </c>
    </row>
    <row r="936" spans="3:15">
      <c r="C936" s="1861" t="s">
        <v>4725</v>
      </c>
      <c r="D936" s="1858">
        <v>0</v>
      </c>
      <c r="E936" s="1858">
        <v>0</v>
      </c>
      <c r="F936" s="1859">
        <v>0</v>
      </c>
      <c r="G936" s="1872" t="s">
        <v>4725</v>
      </c>
      <c r="H936" s="1856">
        <v>1</v>
      </c>
      <c r="I936" s="1856">
        <v>0</v>
      </c>
      <c r="J936" s="1873">
        <v>1</v>
      </c>
      <c r="K936" s="1860"/>
      <c r="L936" s="1854">
        <v>13089021413</v>
      </c>
      <c r="M936" s="1855">
        <v>1</v>
      </c>
      <c r="N936" s="1855">
        <v>0</v>
      </c>
      <c r="O936" s="1855">
        <v>1</v>
      </c>
    </row>
    <row r="937" spans="3:15">
      <c r="C937" s="1861" t="s">
        <v>4726</v>
      </c>
      <c r="D937" s="1858">
        <v>1</v>
      </c>
      <c r="E937" s="1858">
        <v>0</v>
      </c>
      <c r="F937" s="1859">
        <v>1</v>
      </c>
      <c r="G937" s="1872" t="s">
        <v>4726</v>
      </c>
      <c r="H937" s="1856">
        <v>0</v>
      </c>
      <c r="I937" s="1856">
        <v>0</v>
      </c>
      <c r="J937" s="1873">
        <v>0</v>
      </c>
      <c r="K937" s="1860"/>
      <c r="L937" s="1854">
        <v>13089021414</v>
      </c>
      <c r="M937" s="1855">
        <v>1</v>
      </c>
      <c r="N937" s="1855">
        <v>0</v>
      </c>
      <c r="O937" s="1855">
        <v>1</v>
      </c>
    </row>
    <row r="938" spans="3:15">
      <c r="C938" s="1861" t="s">
        <v>4727</v>
      </c>
      <c r="D938" s="1858">
        <v>1</v>
      </c>
      <c r="E938" s="1858">
        <v>1</v>
      </c>
      <c r="F938" s="1859">
        <v>2</v>
      </c>
      <c r="G938" s="1872" t="s">
        <v>4727</v>
      </c>
      <c r="H938" s="1856">
        <v>1</v>
      </c>
      <c r="I938" s="1856" t="s">
        <v>3908</v>
      </c>
      <c r="J938" s="1873">
        <v>1</v>
      </c>
      <c r="K938" s="1860"/>
      <c r="L938" s="1854">
        <v>13089021415</v>
      </c>
      <c r="M938" s="1855">
        <v>1</v>
      </c>
      <c r="N938" s="1855">
        <v>1</v>
      </c>
      <c r="O938" s="1855">
        <v>2</v>
      </c>
    </row>
    <row r="939" spans="3:15">
      <c r="C939" s="1861" t="s">
        <v>4728</v>
      </c>
      <c r="D939" s="1858">
        <v>1</v>
      </c>
      <c r="E939" s="1858">
        <v>0</v>
      </c>
      <c r="F939" s="1859">
        <v>1</v>
      </c>
      <c r="G939" s="1872" t="s">
        <v>4728</v>
      </c>
      <c r="H939" s="1856">
        <v>1</v>
      </c>
      <c r="I939" s="1856">
        <v>0</v>
      </c>
      <c r="J939" s="1873">
        <v>1</v>
      </c>
      <c r="K939" s="1860"/>
      <c r="L939" s="1854">
        <v>13089021416</v>
      </c>
      <c r="M939" s="1855">
        <v>1</v>
      </c>
      <c r="N939" s="1855">
        <v>0</v>
      </c>
      <c r="O939" s="1855">
        <v>1</v>
      </c>
    </row>
    <row r="940" spans="3:15">
      <c r="C940" s="1861" t="s">
        <v>4729</v>
      </c>
      <c r="D940" s="1858">
        <v>0</v>
      </c>
      <c r="E940" s="1858">
        <v>0</v>
      </c>
      <c r="F940" s="1859">
        <v>0</v>
      </c>
      <c r="G940" s="1872" t="s">
        <v>4729</v>
      </c>
      <c r="H940" s="1856">
        <v>1</v>
      </c>
      <c r="I940" s="1856" t="s">
        <v>3908</v>
      </c>
      <c r="J940" s="1873">
        <v>1</v>
      </c>
      <c r="K940" s="1860"/>
      <c r="L940" s="1854">
        <v>13089021417</v>
      </c>
      <c r="M940" s="1855">
        <v>1</v>
      </c>
      <c r="N940" s="1855">
        <v>0</v>
      </c>
      <c r="O940" s="1855">
        <v>1</v>
      </c>
    </row>
    <row r="941" spans="3:15">
      <c r="C941" s="1861" t="s">
        <v>4730</v>
      </c>
      <c r="D941" s="1858">
        <v>1</v>
      </c>
      <c r="E941" s="1858">
        <v>1</v>
      </c>
      <c r="F941" s="1859">
        <v>2</v>
      </c>
      <c r="G941" s="1872" t="s">
        <v>4730</v>
      </c>
      <c r="H941" s="1856">
        <v>1</v>
      </c>
      <c r="I941" s="1856">
        <v>1</v>
      </c>
      <c r="J941" s="1873">
        <v>2</v>
      </c>
      <c r="K941" s="1860"/>
      <c r="L941" s="1854">
        <v>13089021502</v>
      </c>
      <c r="M941" s="1855">
        <v>1</v>
      </c>
      <c r="N941" s="1855">
        <v>1</v>
      </c>
      <c r="O941" s="1855">
        <v>2</v>
      </c>
    </row>
    <row r="942" spans="3:15">
      <c r="C942" s="1861" t="s">
        <v>4731</v>
      </c>
      <c r="D942" s="1858">
        <v>1</v>
      </c>
      <c r="E942" s="1858">
        <v>0</v>
      </c>
      <c r="F942" s="1859">
        <v>1</v>
      </c>
      <c r="G942" s="1872" t="s">
        <v>4731</v>
      </c>
      <c r="H942" s="1856">
        <v>1</v>
      </c>
      <c r="I942" s="1856">
        <v>1</v>
      </c>
      <c r="J942" s="1873">
        <v>2</v>
      </c>
      <c r="K942" s="1860"/>
      <c r="L942" s="1854">
        <v>13089021503</v>
      </c>
      <c r="M942" s="1855">
        <v>1</v>
      </c>
      <c r="N942" s="1855">
        <v>1</v>
      </c>
      <c r="O942" s="1855">
        <v>2</v>
      </c>
    </row>
    <row r="943" spans="3:15">
      <c r="C943" s="1861" t="s">
        <v>4732</v>
      </c>
      <c r="D943" s="1858">
        <v>1</v>
      </c>
      <c r="E943" s="1858">
        <v>1</v>
      </c>
      <c r="F943" s="1859">
        <v>2</v>
      </c>
      <c r="G943" s="1872" t="s">
        <v>4732</v>
      </c>
      <c r="H943" s="1856">
        <v>1</v>
      </c>
      <c r="I943" s="1856" t="s">
        <v>3908</v>
      </c>
      <c r="J943" s="1873">
        <v>1</v>
      </c>
      <c r="K943" s="1860"/>
      <c r="L943" s="1854">
        <v>13089021504</v>
      </c>
      <c r="M943" s="1855">
        <v>1</v>
      </c>
      <c r="N943" s="1855">
        <v>1</v>
      </c>
      <c r="O943" s="1855">
        <v>2</v>
      </c>
    </row>
    <row r="944" spans="3:15">
      <c r="C944" s="1861" t="s">
        <v>4733</v>
      </c>
      <c r="D944" s="1858">
        <v>1</v>
      </c>
      <c r="E944" s="1858">
        <v>1</v>
      </c>
      <c r="F944" s="1859">
        <v>2</v>
      </c>
      <c r="G944" s="1872" t="s">
        <v>4733</v>
      </c>
      <c r="H944" s="1856">
        <v>1</v>
      </c>
      <c r="I944" s="1856">
        <v>1</v>
      </c>
      <c r="J944" s="1873">
        <v>2</v>
      </c>
      <c r="K944" s="1860"/>
      <c r="L944" s="1854">
        <v>13089021602</v>
      </c>
      <c r="M944" s="1855">
        <v>1</v>
      </c>
      <c r="N944" s="1855">
        <v>1</v>
      </c>
      <c r="O944" s="1855">
        <v>2</v>
      </c>
    </row>
    <row r="945" spans="3:15">
      <c r="C945" s="1861" t="s">
        <v>4734</v>
      </c>
      <c r="D945" s="1858">
        <v>1</v>
      </c>
      <c r="E945" s="1858">
        <v>1</v>
      </c>
      <c r="F945" s="1859">
        <v>2</v>
      </c>
      <c r="G945" s="1872" t="s">
        <v>4734</v>
      </c>
      <c r="H945" s="1856">
        <v>1</v>
      </c>
      <c r="I945" s="1856">
        <v>1</v>
      </c>
      <c r="J945" s="1873">
        <v>2</v>
      </c>
      <c r="K945" s="1860"/>
      <c r="L945" s="1854">
        <v>13089021603</v>
      </c>
      <c r="M945" s="1855">
        <v>1</v>
      </c>
      <c r="N945" s="1855">
        <v>1</v>
      </c>
      <c r="O945" s="1855">
        <v>2</v>
      </c>
    </row>
    <row r="946" spans="3:15">
      <c r="C946" s="1861" t="s">
        <v>4735</v>
      </c>
      <c r="D946" s="1858">
        <v>1</v>
      </c>
      <c r="E946" s="1858">
        <v>1</v>
      </c>
      <c r="F946" s="1859">
        <v>2</v>
      </c>
      <c r="G946" s="1872" t="s">
        <v>4735</v>
      </c>
      <c r="H946" s="1856">
        <v>1</v>
      </c>
      <c r="I946" s="1856">
        <v>1</v>
      </c>
      <c r="J946" s="1873">
        <v>2</v>
      </c>
      <c r="K946" s="1860"/>
      <c r="L946" s="1854">
        <v>13089021604</v>
      </c>
      <c r="M946" s="1855">
        <v>1</v>
      </c>
      <c r="N946" s="1855">
        <v>1</v>
      </c>
      <c r="O946" s="1855">
        <v>2</v>
      </c>
    </row>
    <row r="947" spans="3:15">
      <c r="C947" s="1861" t="s">
        <v>4736</v>
      </c>
      <c r="D947" s="1858">
        <v>1</v>
      </c>
      <c r="E947" s="1858">
        <v>1</v>
      </c>
      <c r="F947" s="1859">
        <v>2</v>
      </c>
      <c r="G947" s="1872" t="s">
        <v>4736</v>
      </c>
      <c r="H947" s="1856">
        <v>1</v>
      </c>
      <c r="I947" s="1856">
        <v>1</v>
      </c>
      <c r="J947" s="1873">
        <v>2</v>
      </c>
      <c r="K947" s="1860"/>
      <c r="L947" s="1854">
        <v>13089021605</v>
      </c>
      <c r="M947" s="1855">
        <v>1</v>
      </c>
      <c r="N947" s="1855">
        <v>1</v>
      </c>
      <c r="O947" s="1855">
        <v>2</v>
      </c>
    </row>
    <row r="948" spans="3:15">
      <c r="C948" s="1861" t="s">
        <v>4737</v>
      </c>
      <c r="D948" s="1858">
        <v>1</v>
      </c>
      <c r="E948" s="1858">
        <v>1</v>
      </c>
      <c r="F948" s="1859">
        <v>2</v>
      </c>
      <c r="G948" s="1872" t="s">
        <v>4737</v>
      </c>
      <c r="H948" s="1856">
        <v>1</v>
      </c>
      <c r="I948" s="1856">
        <v>1</v>
      </c>
      <c r="J948" s="1873">
        <v>2</v>
      </c>
      <c r="K948" s="1860"/>
      <c r="L948" s="1854">
        <v>13089021703</v>
      </c>
      <c r="M948" s="1855">
        <v>1</v>
      </c>
      <c r="N948" s="1855">
        <v>1</v>
      </c>
      <c r="O948" s="1855">
        <v>2</v>
      </c>
    </row>
    <row r="949" spans="3:15">
      <c r="C949" s="1861" t="s">
        <v>4738</v>
      </c>
      <c r="D949" s="1858">
        <v>1</v>
      </c>
      <c r="E949" s="1858">
        <v>1</v>
      </c>
      <c r="F949" s="1859">
        <v>2</v>
      </c>
      <c r="G949" s="1872" t="s">
        <v>4738</v>
      </c>
      <c r="H949" s="1856">
        <v>1</v>
      </c>
      <c r="I949" s="1856">
        <v>1</v>
      </c>
      <c r="J949" s="1873">
        <v>2</v>
      </c>
      <c r="K949" s="1860"/>
      <c r="L949" s="1854">
        <v>13089021704</v>
      </c>
      <c r="M949" s="1855">
        <v>1</v>
      </c>
      <c r="N949" s="1855">
        <v>1</v>
      </c>
      <c r="O949" s="1855">
        <v>2</v>
      </c>
    </row>
    <row r="950" spans="3:15">
      <c r="C950" s="1861" t="s">
        <v>4739</v>
      </c>
      <c r="D950" s="1858">
        <v>1</v>
      </c>
      <c r="E950" s="1858">
        <v>0</v>
      </c>
      <c r="F950" s="1859">
        <v>1</v>
      </c>
      <c r="G950" s="1872" t="s">
        <v>4739</v>
      </c>
      <c r="H950" s="1856">
        <v>1</v>
      </c>
      <c r="I950" s="1856">
        <v>1</v>
      </c>
      <c r="J950" s="1873">
        <v>2</v>
      </c>
      <c r="K950" s="1860"/>
      <c r="L950" s="1854">
        <v>13089021705</v>
      </c>
      <c r="M950" s="1855">
        <v>1</v>
      </c>
      <c r="N950" s="1855">
        <v>1</v>
      </c>
      <c r="O950" s="1855">
        <v>2</v>
      </c>
    </row>
    <row r="951" spans="3:15">
      <c r="C951" s="1861" t="s">
        <v>4740</v>
      </c>
      <c r="D951" s="1858">
        <v>1</v>
      </c>
      <c r="E951" s="1858">
        <v>1</v>
      </c>
      <c r="F951" s="1859">
        <v>2</v>
      </c>
      <c r="G951" s="1872" t="s">
        <v>4740</v>
      </c>
      <c r="H951" s="1856">
        <v>1</v>
      </c>
      <c r="I951" s="1856">
        <v>1</v>
      </c>
      <c r="J951" s="1873">
        <v>2</v>
      </c>
      <c r="K951" s="1860"/>
      <c r="L951" s="1854">
        <v>13089021706</v>
      </c>
      <c r="M951" s="1855">
        <v>1</v>
      </c>
      <c r="N951" s="1855">
        <v>1</v>
      </c>
      <c r="O951" s="1855">
        <v>2</v>
      </c>
    </row>
    <row r="952" spans="3:15">
      <c r="C952" s="1861" t="s">
        <v>4741</v>
      </c>
      <c r="D952" s="1858">
        <v>1</v>
      </c>
      <c r="E952" s="1858">
        <v>0</v>
      </c>
      <c r="F952" s="1859">
        <v>1</v>
      </c>
      <c r="G952" s="1872" t="s">
        <v>4741</v>
      </c>
      <c r="H952" s="1856">
        <v>1</v>
      </c>
      <c r="I952" s="1856">
        <v>0</v>
      </c>
      <c r="J952" s="1873">
        <v>1</v>
      </c>
      <c r="K952" s="1860"/>
      <c r="L952" s="1854">
        <v>13089021805</v>
      </c>
      <c r="M952" s="1855">
        <v>1</v>
      </c>
      <c r="N952" s="1855">
        <v>0</v>
      </c>
      <c r="O952" s="1855">
        <v>1</v>
      </c>
    </row>
    <row r="953" spans="3:15">
      <c r="C953" s="1861" t="s">
        <v>4742</v>
      </c>
      <c r="D953" s="1858">
        <v>1</v>
      </c>
      <c r="E953" s="1858">
        <v>0</v>
      </c>
      <c r="F953" s="1859">
        <v>1</v>
      </c>
      <c r="G953" s="1872" t="s">
        <v>4742</v>
      </c>
      <c r="H953" s="1856">
        <v>1</v>
      </c>
      <c r="I953" s="1856">
        <v>0</v>
      </c>
      <c r="J953" s="1873">
        <v>1</v>
      </c>
      <c r="K953" s="1860"/>
      <c r="L953" s="1854">
        <v>13089021806</v>
      </c>
      <c r="M953" s="1855">
        <v>1</v>
      </c>
      <c r="N953" s="1855">
        <v>0</v>
      </c>
      <c r="O953" s="1855">
        <v>1</v>
      </c>
    </row>
    <row r="954" spans="3:15">
      <c r="C954" s="1861" t="s">
        <v>4743</v>
      </c>
      <c r="D954" s="1858">
        <v>1</v>
      </c>
      <c r="E954" s="1858">
        <v>1</v>
      </c>
      <c r="F954" s="1859">
        <v>2</v>
      </c>
      <c r="G954" s="1872" t="s">
        <v>4743</v>
      </c>
      <c r="H954" s="1856">
        <v>1</v>
      </c>
      <c r="I954" s="1856">
        <v>1</v>
      </c>
      <c r="J954" s="1873">
        <v>2</v>
      </c>
      <c r="K954" s="1860"/>
      <c r="L954" s="1854">
        <v>13089021808</v>
      </c>
      <c r="M954" s="1855">
        <v>1</v>
      </c>
      <c r="N954" s="1855">
        <v>1</v>
      </c>
      <c r="O954" s="1855">
        <v>2</v>
      </c>
    </row>
    <row r="955" spans="3:15">
      <c r="C955" s="1861" t="s">
        <v>4744</v>
      </c>
      <c r="D955" s="1858">
        <v>1</v>
      </c>
      <c r="E955" s="1858">
        <v>1</v>
      </c>
      <c r="F955" s="1859">
        <v>2</v>
      </c>
      <c r="G955" s="1872" t="s">
        <v>4744</v>
      </c>
      <c r="H955" s="1856">
        <v>1</v>
      </c>
      <c r="I955" s="1856">
        <v>1</v>
      </c>
      <c r="J955" s="1873">
        <v>2</v>
      </c>
      <c r="K955" s="1860"/>
      <c r="L955" s="1854">
        <v>13089021809</v>
      </c>
      <c r="M955" s="1855">
        <v>1</v>
      </c>
      <c r="N955" s="1855">
        <v>1</v>
      </c>
      <c r="O955" s="1855">
        <v>2</v>
      </c>
    </row>
    <row r="956" spans="3:15">
      <c r="C956" s="1861" t="s">
        <v>4745</v>
      </c>
      <c r="D956" s="1858">
        <v>1</v>
      </c>
      <c r="E956" s="1858">
        <v>1</v>
      </c>
      <c r="F956" s="1859">
        <v>2</v>
      </c>
      <c r="G956" s="1872" t="s">
        <v>4745</v>
      </c>
      <c r="H956" s="1856">
        <v>1</v>
      </c>
      <c r="I956" s="1856">
        <v>1</v>
      </c>
      <c r="J956" s="1873">
        <v>2</v>
      </c>
      <c r="K956" s="1860"/>
      <c r="L956" s="1854">
        <v>13089021810</v>
      </c>
      <c r="M956" s="1855">
        <v>1</v>
      </c>
      <c r="N956" s="1855">
        <v>1</v>
      </c>
      <c r="O956" s="1855">
        <v>2</v>
      </c>
    </row>
    <row r="957" spans="3:15">
      <c r="C957" s="1861" t="s">
        <v>4746</v>
      </c>
      <c r="D957" s="1858">
        <v>1</v>
      </c>
      <c r="E957" s="1858">
        <v>0</v>
      </c>
      <c r="F957" s="1859">
        <v>1</v>
      </c>
      <c r="G957" s="1872" t="s">
        <v>4746</v>
      </c>
      <c r="H957" s="1856">
        <v>1</v>
      </c>
      <c r="I957" s="1856">
        <v>1</v>
      </c>
      <c r="J957" s="1873">
        <v>2</v>
      </c>
      <c r="K957" s="1860"/>
      <c r="L957" s="1854">
        <v>13089021812</v>
      </c>
      <c r="M957" s="1855">
        <v>1</v>
      </c>
      <c r="N957" s="1855">
        <v>1</v>
      </c>
      <c r="O957" s="1855">
        <v>2</v>
      </c>
    </row>
    <row r="958" spans="3:15">
      <c r="C958" s="1861" t="s">
        <v>4747</v>
      </c>
      <c r="D958" s="1858">
        <v>0</v>
      </c>
      <c r="E958" s="1858">
        <v>0</v>
      </c>
      <c r="F958" s="1859">
        <v>0</v>
      </c>
      <c r="G958" s="1872" t="s">
        <v>4747</v>
      </c>
      <c r="H958" s="1856">
        <v>0</v>
      </c>
      <c r="I958" s="1856" t="s">
        <v>3908</v>
      </c>
      <c r="J958" s="1873">
        <v>0</v>
      </c>
      <c r="K958" s="1860"/>
      <c r="L958" s="1854">
        <v>13089021813</v>
      </c>
      <c r="M958" s="1855">
        <v>0</v>
      </c>
      <c r="N958" s="1855">
        <v>0</v>
      </c>
      <c r="O958" s="1855">
        <v>0</v>
      </c>
    </row>
    <row r="959" spans="3:15">
      <c r="C959" s="1861" t="s">
        <v>4748</v>
      </c>
      <c r="D959" s="1858">
        <v>0</v>
      </c>
      <c r="E959" s="1858">
        <v>0</v>
      </c>
      <c r="F959" s="1859">
        <v>0</v>
      </c>
      <c r="G959" s="1872" t="s">
        <v>4748</v>
      </c>
      <c r="H959" s="1856">
        <v>0</v>
      </c>
      <c r="I959" s="1856">
        <v>0</v>
      </c>
      <c r="J959" s="1873">
        <v>0</v>
      </c>
      <c r="K959" s="1860"/>
      <c r="L959" s="1854">
        <v>13089021814</v>
      </c>
      <c r="M959" s="1855">
        <v>0</v>
      </c>
      <c r="N959" s="1855">
        <v>0</v>
      </c>
      <c r="O959" s="1855">
        <v>0</v>
      </c>
    </row>
    <row r="960" spans="3:15">
      <c r="C960" s="1861" t="s">
        <v>4749</v>
      </c>
      <c r="D960" s="1858">
        <v>0</v>
      </c>
      <c r="E960" s="1858">
        <v>0</v>
      </c>
      <c r="F960" s="1859">
        <v>0</v>
      </c>
      <c r="G960" s="1872" t="s">
        <v>4749</v>
      </c>
      <c r="H960" s="1856">
        <v>0</v>
      </c>
      <c r="I960" s="1856">
        <v>0</v>
      </c>
      <c r="J960" s="1873">
        <v>0</v>
      </c>
      <c r="K960" s="1860"/>
      <c r="L960" s="1854">
        <v>13089021906</v>
      </c>
      <c r="M960" s="1855">
        <v>0</v>
      </c>
      <c r="N960" s="1855">
        <v>0</v>
      </c>
      <c r="O960" s="1855">
        <v>0</v>
      </c>
    </row>
    <row r="961" spans="3:15">
      <c r="C961" s="1861" t="s">
        <v>4750</v>
      </c>
      <c r="D961" s="1858">
        <v>0</v>
      </c>
      <c r="E961" s="1858">
        <v>0</v>
      </c>
      <c r="F961" s="1859">
        <v>0</v>
      </c>
      <c r="G961" s="1872" t="s">
        <v>4750</v>
      </c>
      <c r="H961" s="1856">
        <v>0</v>
      </c>
      <c r="I961" s="1856">
        <v>1</v>
      </c>
      <c r="J961" s="1873">
        <v>1</v>
      </c>
      <c r="K961" s="1860"/>
      <c r="L961" s="1854">
        <v>13089021907</v>
      </c>
      <c r="M961" s="1855">
        <v>0</v>
      </c>
      <c r="N961" s="1855">
        <v>1</v>
      </c>
      <c r="O961" s="1855">
        <v>1</v>
      </c>
    </row>
    <row r="962" spans="3:15">
      <c r="C962" s="1861" t="s">
        <v>4751</v>
      </c>
      <c r="D962" s="1858">
        <v>0</v>
      </c>
      <c r="E962" s="1858">
        <v>0</v>
      </c>
      <c r="F962" s="1859">
        <v>0</v>
      </c>
      <c r="G962" s="1872" t="s">
        <v>4751</v>
      </c>
      <c r="H962" s="1856">
        <v>0</v>
      </c>
      <c r="I962" s="1856">
        <v>0</v>
      </c>
      <c r="J962" s="1873">
        <v>0</v>
      </c>
      <c r="K962" s="1860"/>
      <c r="L962" s="1854">
        <v>13089021908</v>
      </c>
      <c r="M962" s="1855">
        <v>0</v>
      </c>
      <c r="N962" s="1855">
        <v>0</v>
      </c>
      <c r="O962" s="1855">
        <v>0</v>
      </c>
    </row>
    <row r="963" spans="3:15">
      <c r="C963" s="1861" t="s">
        <v>4752</v>
      </c>
      <c r="D963" s="1858">
        <v>0</v>
      </c>
      <c r="E963" s="1858">
        <v>0</v>
      </c>
      <c r="F963" s="1859">
        <v>0</v>
      </c>
      <c r="G963" s="1872" t="s">
        <v>4752</v>
      </c>
      <c r="H963" s="1856">
        <v>0</v>
      </c>
      <c r="I963" s="1856">
        <v>0</v>
      </c>
      <c r="J963" s="1873">
        <v>0</v>
      </c>
      <c r="K963" s="1860"/>
      <c r="L963" s="1854">
        <v>13089021909</v>
      </c>
      <c r="M963" s="1855">
        <v>0</v>
      </c>
      <c r="N963" s="1855">
        <v>0</v>
      </c>
      <c r="O963" s="1855">
        <v>0</v>
      </c>
    </row>
    <row r="964" spans="3:15">
      <c r="C964" s="1861" t="s">
        <v>4753</v>
      </c>
      <c r="D964" s="1858">
        <v>0</v>
      </c>
      <c r="E964" s="1858">
        <v>0</v>
      </c>
      <c r="F964" s="1859">
        <v>0</v>
      </c>
      <c r="G964" s="1872" t="s">
        <v>4753</v>
      </c>
      <c r="H964" s="1856">
        <v>0</v>
      </c>
      <c r="I964" s="1856">
        <v>0</v>
      </c>
      <c r="J964" s="1873">
        <v>0</v>
      </c>
      <c r="K964" s="1860"/>
      <c r="L964" s="1854">
        <v>13089021910</v>
      </c>
      <c r="M964" s="1855">
        <v>0</v>
      </c>
      <c r="N964" s="1855">
        <v>0</v>
      </c>
      <c r="O964" s="1855">
        <v>0</v>
      </c>
    </row>
    <row r="965" spans="3:15">
      <c r="C965" s="1861" t="s">
        <v>4754</v>
      </c>
      <c r="D965" s="1858">
        <v>0</v>
      </c>
      <c r="E965" s="1858">
        <v>0</v>
      </c>
      <c r="F965" s="1859">
        <v>0</v>
      </c>
      <c r="G965" s="1872" t="s">
        <v>4754</v>
      </c>
      <c r="H965" s="1856">
        <v>0</v>
      </c>
      <c r="I965" s="1856" t="s">
        <v>3908</v>
      </c>
      <c r="J965" s="1873">
        <v>0</v>
      </c>
      <c r="K965" s="1860"/>
      <c r="L965" s="1854">
        <v>13089021911</v>
      </c>
      <c r="M965" s="1855">
        <v>0</v>
      </c>
      <c r="N965" s="1855">
        <v>0</v>
      </c>
      <c r="O965" s="1855">
        <v>0</v>
      </c>
    </row>
    <row r="966" spans="3:15">
      <c r="C966" s="1861" t="s">
        <v>4755</v>
      </c>
      <c r="D966" s="1858">
        <v>1</v>
      </c>
      <c r="E966" s="1858">
        <v>1</v>
      </c>
      <c r="F966" s="1859">
        <v>2</v>
      </c>
      <c r="G966" s="1872" t="s">
        <v>4755</v>
      </c>
      <c r="H966" s="1856">
        <v>1</v>
      </c>
      <c r="I966" s="1856">
        <v>1</v>
      </c>
      <c r="J966" s="1873">
        <v>2</v>
      </c>
      <c r="K966" s="1860"/>
      <c r="L966" s="1854">
        <v>13089021912</v>
      </c>
      <c r="M966" s="1855">
        <v>1</v>
      </c>
      <c r="N966" s="1855">
        <v>1</v>
      </c>
      <c r="O966" s="1855">
        <v>2</v>
      </c>
    </row>
    <row r="967" spans="3:15">
      <c r="C967" s="1861" t="s">
        <v>4756</v>
      </c>
      <c r="D967" s="1858">
        <v>0</v>
      </c>
      <c r="E967" s="1858">
        <v>0</v>
      </c>
      <c r="F967" s="1859">
        <v>0</v>
      </c>
      <c r="G967" s="1872" t="s">
        <v>4756</v>
      </c>
      <c r="H967" s="1856">
        <v>0</v>
      </c>
      <c r="I967" s="1856">
        <v>0</v>
      </c>
      <c r="J967" s="1873">
        <v>0</v>
      </c>
      <c r="K967" s="1860"/>
      <c r="L967" s="1854">
        <v>13089021913</v>
      </c>
      <c r="M967" s="1855">
        <v>0</v>
      </c>
      <c r="N967" s="1855">
        <v>0</v>
      </c>
      <c r="O967" s="1855">
        <v>0</v>
      </c>
    </row>
    <row r="968" spans="3:15">
      <c r="C968" s="1861" t="s">
        <v>4757</v>
      </c>
      <c r="D968" s="1858">
        <v>1</v>
      </c>
      <c r="E968" s="1858">
        <v>1</v>
      </c>
      <c r="F968" s="1859">
        <v>2</v>
      </c>
      <c r="G968" s="1872" t="s">
        <v>4757</v>
      </c>
      <c r="H968" s="1856">
        <v>1</v>
      </c>
      <c r="I968" s="1856">
        <v>1</v>
      </c>
      <c r="J968" s="1873">
        <v>2</v>
      </c>
      <c r="K968" s="1860"/>
      <c r="L968" s="1854">
        <v>13089022001</v>
      </c>
      <c r="M968" s="1855">
        <v>1</v>
      </c>
      <c r="N968" s="1855">
        <v>1</v>
      </c>
      <c r="O968" s="1855">
        <v>2</v>
      </c>
    </row>
    <row r="969" spans="3:15">
      <c r="C969" s="1861" t="s">
        <v>4758</v>
      </c>
      <c r="D969" s="1858">
        <v>0</v>
      </c>
      <c r="E969" s="1858">
        <v>0</v>
      </c>
      <c r="F969" s="1859">
        <v>0</v>
      </c>
      <c r="G969" s="1872" t="s">
        <v>4758</v>
      </c>
      <c r="H969" s="1856">
        <v>0</v>
      </c>
      <c r="I969" s="1856">
        <v>1</v>
      </c>
      <c r="J969" s="1873">
        <v>1</v>
      </c>
      <c r="K969" s="1860"/>
      <c r="L969" s="1854">
        <v>13089022004</v>
      </c>
      <c r="M969" s="1855">
        <v>0</v>
      </c>
      <c r="N969" s="1855">
        <v>1</v>
      </c>
      <c r="O969" s="1855">
        <v>1</v>
      </c>
    </row>
    <row r="970" spans="3:15">
      <c r="C970" s="1861" t="s">
        <v>4759</v>
      </c>
      <c r="D970" s="1858">
        <v>0</v>
      </c>
      <c r="E970" s="1858">
        <v>0</v>
      </c>
      <c r="F970" s="1859">
        <v>0</v>
      </c>
      <c r="G970" s="1872" t="s">
        <v>4759</v>
      </c>
      <c r="H970" s="1856">
        <v>0</v>
      </c>
      <c r="I970" s="1856">
        <v>0</v>
      </c>
      <c r="J970" s="1873">
        <v>0</v>
      </c>
      <c r="K970" s="1860"/>
      <c r="L970" s="1854">
        <v>13089022005</v>
      </c>
      <c r="M970" s="1855">
        <v>0</v>
      </c>
      <c r="N970" s="1855">
        <v>0</v>
      </c>
      <c r="O970" s="1855">
        <v>0</v>
      </c>
    </row>
    <row r="971" spans="3:15">
      <c r="C971" s="1861" t="s">
        <v>4760</v>
      </c>
      <c r="D971" s="1858">
        <v>0</v>
      </c>
      <c r="E971" s="1858">
        <v>0</v>
      </c>
      <c r="F971" s="1859">
        <v>0</v>
      </c>
      <c r="G971" s="1872" t="s">
        <v>4760</v>
      </c>
      <c r="H971" s="1856">
        <v>0</v>
      </c>
      <c r="I971" s="1856">
        <v>0</v>
      </c>
      <c r="J971" s="1873">
        <v>0</v>
      </c>
      <c r="K971" s="1860"/>
      <c r="L971" s="1854">
        <v>13089022007</v>
      </c>
      <c r="M971" s="1855">
        <v>0</v>
      </c>
      <c r="N971" s="1855">
        <v>0</v>
      </c>
      <c r="O971" s="1855">
        <v>0</v>
      </c>
    </row>
    <row r="972" spans="3:15">
      <c r="C972" s="1861" t="s">
        <v>4761</v>
      </c>
      <c r="D972" s="1858">
        <v>0</v>
      </c>
      <c r="E972" s="1858">
        <v>0</v>
      </c>
      <c r="F972" s="1859">
        <v>0</v>
      </c>
      <c r="G972" s="1872" t="s">
        <v>4761</v>
      </c>
      <c r="H972" s="1856">
        <v>0</v>
      </c>
      <c r="I972" s="1856">
        <v>0</v>
      </c>
      <c r="J972" s="1873">
        <v>0</v>
      </c>
      <c r="K972" s="1860"/>
      <c r="L972" s="1854">
        <v>13089022008</v>
      </c>
      <c r="M972" s="1855">
        <v>0</v>
      </c>
      <c r="N972" s="1855">
        <v>0</v>
      </c>
      <c r="O972" s="1855">
        <v>0</v>
      </c>
    </row>
    <row r="973" spans="3:15">
      <c r="C973" s="1861" t="s">
        <v>4762</v>
      </c>
      <c r="D973" s="1858">
        <v>0</v>
      </c>
      <c r="E973" s="1858">
        <v>0</v>
      </c>
      <c r="F973" s="1859">
        <v>0</v>
      </c>
      <c r="G973" s="1872" t="s">
        <v>4762</v>
      </c>
      <c r="H973" s="1856">
        <v>0</v>
      </c>
      <c r="I973" s="1856" t="s">
        <v>3908</v>
      </c>
      <c r="J973" s="1873">
        <v>0</v>
      </c>
      <c r="K973" s="1860"/>
      <c r="L973" s="1854">
        <v>13089022009</v>
      </c>
      <c r="M973" s="1855">
        <v>0</v>
      </c>
      <c r="N973" s="1855">
        <v>0</v>
      </c>
      <c r="O973" s="1855">
        <v>0</v>
      </c>
    </row>
    <row r="974" spans="3:15">
      <c r="C974" s="1861" t="s">
        <v>4763</v>
      </c>
      <c r="D974" s="1858">
        <v>0</v>
      </c>
      <c r="E974" s="1858">
        <v>0</v>
      </c>
      <c r="F974" s="1859">
        <v>0</v>
      </c>
      <c r="G974" s="1872" t="s">
        <v>4763</v>
      </c>
      <c r="H974" s="1856">
        <v>0</v>
      </c>
      <c r="I974" s="1856">
        <v>0</v>
      </c>
      <c r="J974" s="1873">
        <v>0</v>
      </c>
      <c r="K974" s="1860"/>
      <c r="L974" s="1854">
        <v>13089022010</v>
      </c>
      <c r="M974" s="1855">
        <v>0</v>
      </c>
      <c r="N974" s="1855">
        <v>0</v>
      </c>
      <c r="O974" s="1855">
        <v>0</v>
      </c>
    </row>
    <row r="975" spans="3:15">
      <c r="C975" s="1861" t="s">
        <v>4764</v>
      </c>
      <c r="D975" s="1858">
        <v>0</v>
      </c>
      <c r="E975" s="1858">
        <v>0</v>
      </c>
      <c r="F975" s="1859">
        <v>0</v>
      </c>
      <c r="G975" s="1872" t="s">
        <v>4764</v>
      </c>
      <c r="H975" s="1856">
        <v>0</v>
      </c>
      <c r="I975" s="1856">
        <v>0</v>
      </c>
      <c r="J975" s="1873">
        <v>0</v>
      </c>
      <c r="K975" s="1860"/>
      <c r="L975" s="1854">
        <v>13089022100</v>
      </c>
      <c r="M975" s="1855">
        <v>0</v>
      </c>
      <c r="N975" s="1855">
        <v>0</v>
      </c>
      <c r="O975" s="1855">
        <v>0</v>
      </c>
    </row>
    <row r="976" spans="3:15">
      <c r="C976" s="1861" t="s">
        <v>4765</v>
      </c>
      <c r="D976" s="1858">
        <v>0</v>
      </c>
      <c r="E976" s="1858">
        <v>0</v>
      </c>
      <c r="F976" s="1859">
        <v>0</v>
      </c>
      <c r="G976" s="1872" t="s">
        <v>4765</v>
      </c>
      <c r="H976" s="1856">
        <v>1</v>
      </c>
      <c r="I976" s="1856">
        <v>0</v>
      </c>
      <c r="J976" s="1873">
        <v>1</v>
      </c>
      <c r="K976" s="1860"/>
      <c r="L976" s="1854">
        <v>13089022203</v>
      </c>
      <c r="M976" s="1855">
        <v>1</v>
      </c>
      <c r="N976" s="1855">
        <v>0</v>
      </c>
      <c r="O976" s="1855">
        <v>1</v>
      </c>
    </row>
    <row r="977" spans="3:15">
      <c r="C977" s="1861" t="s">
        <v>4766</v>
      </c>
      <c r="D977" s="1858">
        <v>0</v>
      </c>
      <c r="E977" s="1858">
        <v>0</v>
      </c>
      <c r="F977" s="1859">
        <v>0</v>
      </c>
      <c r="G977" s="1872" t="s">
        <v>4766</v>
      </c>
      <c r="H977" s="1856">
        <v>1</v>
      </c>
      <c r="I977" s="1856">
        <v>0</v>
      </c>
      <c r="J977" s="1873">
        <v>1</v>
      </c>
      <c r="K977" s="1860"/>
      <c r="L977" s="1854">
        <v>13089022204</v>
      </c>
      <c r="M977" s="1855">
        <v>1</v>
      </c>
      <c r="N977" s="1855">
        <v>0</v>
      </c>
      <c r="O977" s="1855">
        <v>1</v>
      </c>
    </row>
    <row r="978" spans="3:15">
      <c r="C978" s="1861" t="s">
        <v>4767</v>
      </c>
      <c r="D978" s="1858">
        <v>1</v>
      </c>
      <c r="E978" s="1858">
        <v>1</v>
      </c>
      <c r="F978" s="1859">
        <v>2</v>
      </c>
      <c r="G978" s="1872" t="s">
        <v>4767</v>
      </c>
      <c r="H978" s="1856">
        <v>1</v>
      </c>
      <c r="I978" s="1856">
        <v>1</v>
      </c>
      <c r="J978" s="1873">
        <v>2</v>
      </c>
      <c r="K978" s="1860"/>
      <c r="L978" s="1854">
        <v>13089022301</v>
      </c>
      <c r="M978" s="1855">
        <v>1</v>
      </c>
      <c r="N978" s="1855">
        <v>1</v>
      </c>
      <c r="O978" s="1855">
        <v>2</v>
      </c>
    </row>
    <row r="979" spans="3:15">
      <c r="C979" s="1861" t="s">
        <v>4768</v>
      </c>
      <c r="D979" s="1858">
        <v>1</v>
      </c>
      <c r="E979" s="1858">
        <v>1</v>
      </c>
      <c r="F979" s="1859">
        <v>2</v>
      </c>
      <c r="G979" s="1872" t="s">
        <v>4768</v>
      </c>
      <c r="H979" s="1856">
        <v>1</v>
      </c>
      <c r="I979" s="1856">
        <v>1</v>
      </c>
      <c r="J979" s="1873">
        <v>2</v>
      </c>
      <c r="K979" s="1860"/>
      <c r="L979" s="1854">
        <v>13089022302</v>
      </c>
      <c r="M979" s="1855">
        <v>1</v>
      </c>
      <c r="N979" s="1855">
        <v>1</v>
      </c>
      <c r="O979" s="1855">
        <v>2</v>
      </c>
    </row>
    <row r="980" spans="3:15">
      <c r="C980" s="1861" t="s">
        <v>4769</v>
      </c>
      <c r="D980" s="1858">
        <v>1</v>
      </c>
      <c r="E980" s="1858">
        <v>1</v>
      </c>
      <c r="F980" s="1859">
        <v>2</v>
      </c>
      <c r="G980" s="1872" t="s">
        <v>4769</v>
      </c>
      <c r="H980" s="1856">
        <v>1</v>
      </c>
      <c r="I980" s="1856">
        <v>1</v>
      </c>
      <c r="J980" s="1873">
        <v>2</v>
      </c>
      <c r="K980" s="1860"/>
      <c r="L980" s="1854">
        <v>13089022401</v>
      </c>
      <c r="M980" s="1855">
        <v>1</v>
      </c>
      <c r="N980" s="1855">
        <v>1</v>
      </c>
      <c r="O980" s="1855">
        <v>2</v>
      </c>
    </row>
    <row r="981" spans="3:15">
      <c r="C981" s="1861" t="s">
        <v>4770</v>
      </c>
      <c r="D981" s="1858">
        <v>0</v>
      </c>
      <c r="E981" s="1858">
        <v>0</v>
      </c>
      <c r="F981" s="1859">
        <v>0</v>
      </c>
      <c r="G981" s="1872" t="s">
        <v>4770</v>
      </c>
      <c r="H981" s="1856">
        <v>0</v>
      </c>
      <c r="I981" s="1856" t="s">
        <v>3908</v>
      </c>
      <c r="J981" s="1873">
        <v>0</v>
      </c>
      <c r="K981" s="1860"/>
      <c r="L981" s="1854">
        <v>13089022402</v>
      </c>
      <c r="M981" s="1855">
        <v>0</v>
      </c>
      <c r="N981" s="1855">
        <v>0</v>
      </c>
      <c r="O981" s="1855">
        <v>0</v>
      </c>
    </row>
    <row r="982" spans="3:15">
      <c r="C982" s="1861" t="s">
        <v>4771</v>
      </c>
      <c r="D982" s="1858">
        <v>1</v>
      </c>
      <c r="E982" s="1858">
        <v>1</v>
      </c>
      <c r="F982" s="1859">
        <v>2</v>
      </c>
      <c r="G982" s="1872" t="s">
        <v>4771</v>
      </c>
      <c r="H982" s="1856">
        <v>1</v>
      </c>
      <c r="I982" s="1856">
        <v>1</v>
      </c>
      <c r="J982" s="1873">
        <v>2</v>
      </c>
      <c r="K982" s="1860"/>
      <c r="L982" s="1854">
        <v>13089022403</v>
      </c>
      <c r="M982" s="1855">
        <v>1</v>
      </c>
      <c r="N982" s="1855">
        <v>1</v>
      </c>
      <c r="O982" s="1855">
        <v>2</v>
      </c>
    </row>
    <row r="983" spans="3:15">
      <c r="C983" s="1861" t="s">
        <v>4772</v>
      </c>
      <c r="D983" s="1858">
        <v>1</v>
      </c>
      <c r="E983" s="1858">
        <v>1</v>
      </c>
      <c r="F983" s="1859">
        <v>2</v>
      </c>
      <c r="G983" s="1872" t="s">
        <v>4772</v>
      </c>
      <c r="H983" s="1856">
        <v>1</v>
      </c>
      <c r="I983" s="1856">
        <v>1</v>
      </c>
      <c r="J983" s="1873">
        <v>2</v>
      </c>
      <c r="K983" s="1860"/>
      <c r="L983" s="1854">
        <v>13089022500</v>
      </c>
      <c r="M983" s="1855">
        <v>1</v>
      </c>
      <c r="N983" s="1855">
        <v>1</v>
      </c>
      <c r="O983" s="1855">
        <v>2</v>
      </c>
    </row>
    <row r="984" spans="3:15">
      <c r="C984" s="1861" t="s">
        <v>4773</v>
      </c>
      <c r="D984" s="1858">
        <v>1</v>
      </c>
      <c r="E984" s="1858">
        <v>1</v>
      </c>
      <c r="F984" s="1859">
        <v>2</v>
      </c>
      <c r="G984" s="1872" t="s">
        <v>4773</v>
      </c>
      <c r="H984" s="1856">
        <v>1</v>
      </c>
      <c r="I984" s="1856">
        <v>1</v>
      </c>
      <c r="J984" s="1873">
        <v>2</v>
      </c>
      <c r="K984" s="1860"/>
      <c r="L984" s="1854">
        <v>13089022600</v>
      </c>
      <c r="M984" s="1855">
        <v>1</v>
      </c>
      <c r="N984" s="1855">
        <v>1</v>
      </c>
      <c r="O984" s="1855">
        <v>2</v>
      </c>
    </row>
    <row r="985" spans="3:15">
      <c r="C985" s="1861" t="s">
        <v>4774</v>
      </c>
      <c r="D985" s="1858">
        <v>1</v>
      </c>
      <c r="E985" s="1858">
        <v>1</v>
      </c>
      <c r="F985" s="1859">
        <v>2</v>
      </c>
      <c r="G985" s="1872" t="s">
        <v>4774</v>
      </c>
      <c r="H985" s="1856">
        <v>1</v>
      </c>
      <c r="I985" s="1856">
        <v>1</v>
      </c>
      <c r="J985" s="1873">
        <v>2</v>
      </c>
      <c r="K985" s="1860"/>
      <c r="L985" s="1854">
        <v>13089022700</v>
      </c>
      <c r="M985" s="1855">
        <v>1</v>
      </c>
      <c r="N985" s="1855">
        <v>1</v>
      </c>
      <c r="O985" s="1855">
        <v>2</v>
      </c>
    </row>
    <row r="986" spans="3:15">
      <c r="C986" s="1861" t="s">
        <v>4775</v>
      </c>
      <c r="D986" s="1858">
        <v>1</v>
      </c>
      <c r="E986" s="1858">
        <v>1</v>
      </c>
      <c r="F986" s="1859">
        <v>2</v>
      </c>
      <c r="G986" s="1872" t="s">
        <v>4775</v>
      </c>
      <c r="H986" s="1856">
        <v>1</v>
      </c>
      <c r="I986" s="1856">
        <v>1</v>
      </c>
      <c r="J986" s="1873">
        <v>2</v>
      </c>
      <c r="K986" s="1860"/>
      <c r="L986" s="1854">
        <v>13089022800</v>
      </c>
      <c r="M986" s="1855">
        <v>1</v>
      </c>
      <c r="N986" s="1855">
        <v>1</v>
      </c>
      <c r="O986" s="1855">
        <v>2</v>
      </c>
    </row>
    <row r="987" spans="3:15">
      <c r="C987" s="1861" t="s">
        <v>4776</v>
      </c>
      <c r="D987" s="1858">
        <v>1</v>
      </c>
      <c r="E987" s="1858">
        <v>1</v>
      </c>
      <c r="F987" s="1859">
        <v>2</v>
      </c>
      <c r="G987" s="1872" t="s">
        <v>4776</v>
      </c>
      <c r="H987" s="1856">
        <v>1</v>
      </c>
      <c r="I987" s="1856">
        <v>1</v>
      </c>
      <c r="J987" s="1873">
        <v>2</v>
      </c>
      <c r="K987" s="1860"/>
      <c r="L987" s="1854">
        <v>13089022900</v>
      </c>
      <c r="M987" s="1855">
        <v>1</v>
      </c>
      <c r="N987" s="1855">
        <v>1</v>
      </c>
      <c r="O987" s="1855">
        <v>2</v>
      </c>
    </row>
    <row r="988" spans="3:15">
      <c r="C988" s="1861" t="s">
        <v>4777</v>
      </c>
      <c r="D988" s="1858">
        <v>1</v>
      </c>
      <c r="E988" s="1858">
        <v>1</v>
      </c>
      <c r="F988" s="1859">
        <v>2</v>
      </c>
      <c r="G988" s="1872" t="s">
        <v>4777</v>
      </c>
      <c r="H988" s="1856">
        <v>1</v>
      </c>
      <c r="I988" s="1856">
        <v>1</v>
      </c>
      <c r="J988" s="1873">
        <v>2</v>
      </c>
      <c r="K988" s="1860"/>
      <c r="L988" s="1854">
        <v>13089023000</v>
      </c>
      <c r="M988" s="1855">
        <v>1</v>
      </c>
      <c r="N988" s="1855">
        <v>1</v>
      </c>
      <c r="O988" s="1855">
        <v>2</v>
      </c>
    </row>
    <row r="989" spans="3:15">
      <c r="C989" s="1861" t="s">
        <v>4778</v>
      </c>
      <c r="D989" s="1858">
        <v>0</v>
      </c>
      <c r="E989" s="1858">
        <v>0</v>
      </c>
      <c r="F989" s="1859">
        <v>0</v>
      </c>
      <c r="G989" s="1872" t="s">
        <v>4778</v>
      </c>
      <c r="H989" s="1856">
        <v>0</v>
      </c>
      <c r="I989" s="1856">
        <v>0</v>
      </c>
      <c r="J989" s="1873">
        <v>0</v>
      </c>
      <c r="K989" s="1860"/>
      <c r="L989" s="1854">
        <v>13089023101</v>
      </c>
      <c r="M989" s="1855">
        <v>0</v>
      </c>
      <c r="N989" s="1855">
        <v>0</v>
      </c>
      <c r="O989" s="1855">
        <v>0</v>
      </c>
    </row>
    <row r="990" spans="3:15">
      <c r="C990" s="1861" t="s">
        <v>4779</v>
      </c>
      <c r="D990" s="1858">
        <v>0</v>
      </c>
      <c r="E990" s="1858">
        <v>0</v>
      </c>
      <c r="F990" s="1859">
        <v>0</v>
      </c>
      <c r="G990" s="1872" t="s">
        <v>4779</v>
      </c>
      <c r="H990" s="1856">
        <v>1</v>
      </c>
      <c r="I990" s="1856">
        <v>0</v>
      </c>
      <c r="J990" s="1873">
        <v>1</v>
      </c>
      <c r="K990" s="1860"/>
      <c r="L990" s="1854">
        <v>13089023102</v>
      </c>
      <c r="M990" s="1855">
        <v>1</v>
      </c>
      <c r="N990" s="1855">
        <v>0</v>
      </c>
      <c r="O990" s="1855">
        <v>1</v>
      </c>
    </row>
    <row r="991" spans="3:15">
      <c r="C991" s="1861" t="s">
        <v>4780</v>
      </c>
      <c r="D991" s="1858">
        <v>0</v>
      </c>
      <c r="E991" s="1858">
        <v>0</v>
      </c>
      <c r="F991" s="1859">
        <v>0</v>
      </c>
      <c r="G991" s="1872" t="s">
        <v>4780</v>
      </c>
      <c r="H991" s="1856">
        <v>0</v>
      </c>
      <c r="I991" s="1856">
        <v>0</v>
      </c>
      <c r="J991" s="1873">
        <v>0</v>
      </c>
      <c r="K991" s="1860"/>
      <c r="L991" s="1854">
        <v>13089023107</v>
      </c>
      <c r="M991" s="1855">
        <v>0</v>
      </c>
      <c r="N991" s="1855">
        <v>0</v>
      </c>
      <c r="O991" s="1855">
        <v>0</v>
      </c>
    </row>
    <row r="992" spans="3:15">
      <c r="C992" s="1861" t="s">
        <v>4781</v>
      </c>
      <c r="D992" s="1858">
        <v>0</v>
      </c>
      <c r="E992" s="1858">
        <v>0</v>
      </c>
      <c r="F992" s="1859">
        <v>0</v>
      </c>
      <c r="G992" s="1872" t="s">
        <v>4781</v>
      </c>
      <c r="H992" s="1856">
        <v>0</v>
      </c>
      <c r="I992" s="1856">
        <v>0</v>
      </c>
      <c r="J992" s="1873">
        <v>0</v>
      </c>
      <c r="K992" s="1860"/>
      <c r="L992" s="1854">
        <v>13089023108</v>
      </c>
      <c r="M992" s="1855">
        <v>0</v>
      </c>
      <c r="N992" s="1855">
        <v>0</v>
      </c>
      <c r="O992" s="1855">
        <v>0</v>
      </c>
    </row>
    <row r="993" spans="3:15">
      <c r="C993" s="1861" t="s">
        <v>4782</v>
      </c>
      <c r="D993" s="1858">
        <v>0</v>
      </c>
      <c r="E993" s="1858">
        <v>0</v>
      </c>
      <c r="F993" s="1859">
        <v>0</v>
      </c>
      <c r="G993" s="1872" t="s">
        <v>4782</v>
      </c>
      <c r="H993" s="1856">
        <v>0</v>
      </c>
      <c r="I993" s="1856">
        <v>0</v>
      </c>
      <c r="J993" s="1873">
        <v>0</v>
      </c>
      <c r="K993" s="1860"/>
      <c r="L993" s="1854">
        <v>13089023111</v>
      </c>
      <c r="M993" s="1855">
        <v>0</v>
      </c>
      <c r="N993" s="1855">
        <v>0</v>
      </c>
      <c r="O993" s="1855">
        <v>0</v>
      </c>
    </row>
    <row r="994" spans="3:15">
      <c r="C994" s="1861" t="s">
        <v>4783</v>
      </c>
      <c r="D994" s="1858">
        <v>0</v>
      </c>
      <c r="E994" s="1858">
        <v>0</v>
      </c>
      <c r="F994" s="1859">
        <v>0</v>
      </c>
      <c r="G994" s="1872" t="s">
        <v>4783</v>
      </c>
      <c r="H994" s="1856">
        <v>0</v>
      </c>
      <c r="I994" s="1856" t="s">
        <v>3908</v>
      </c>
      <c r="J994" s="1873">
        <v>0</v>
      </c>
      <c r="K994" s="1860"/>
      <c r="L994" s="1854">
        <v>13089023112</v>
      </c>
      <c r="M994" s="1855">
        <v>0</v>
      </c>
      <c r="N994" s="1855">
        <v>0</v>
      </c>
      <c r="O994" s="1855">
        <v>0</v>
      </c>
    </row>
    <row r="995" spans="3:15">
      <c r="C995" s="1861" t="s">
        <v>4784</v>
      </c>
      <c r="D995" s="1858">
        <v>0</v>
      </c>
      <c r="E995" s="1858">
        <v>0</v>
      </c>
      <c r="F995" s="1859">
        <v>0</v>
      </c>
      <c r="G995" s="1872" t="s">
        <v>4784</v>
      </c>
      <c r="H995" s="1856">
        <v>0</v>
      </c>
      <c r="I995" s="1856">
        <v>0</v>
      </c>
      <c r="J995" s="1873">
        <v>0</v>
      </c>
      <c r="K995" s="1860"/>
      <c r="L995" s="1854">
        <v>13089023113</v>
      </c>
      <c r="M995" s="1855">
        <v>0</v>
      </c>
      <c r="N995" s="1855">
        <v>0</v>
      </c>
      <c r="O995" s="1855">
        <v>0</v>
      </c>
    </row>
    <row r="996" spans="3:15">
      <c r="C996" s="1861" t="s">
        <v>4785</v>
      </c>
      <c r="D996" s="1858">
        <v>0</v>
      </c>
      <c r="E996" s="1858">
        <v>0</v>
      </c>
      <c r="F996" s="1859">
        <v>0</v>
      </c>
      <c r="G996" s="1872" t="s">
        <v>4785</v>
      </c>
      <c r="H996" s="1856">
        <v>0</v>
      </c>
      <c r="I996" s="1856">
        <v>0</v>
      </c>
      <c r="J996" s="1873">
        <v>0</v>
      </c>
      <c r="K996" s="1860"/>
      <c r="L996" s="1854">
        <v>13089023114</v>
      </c>
      <c r="M996" s="1855">
        <v>0</v>
      </c>
      <c r="N996" s="1855">
        <v>0</v>
      </c>
      <c r="O996" s="1855">
        <v>0</v>
      </c>
    </row>
    <row r="997" spans="3:15">
      <c r="C997" s="1861" t="s">
        <v>4786</v>
      </c>
      <c r="D997" s="1858" t="s">
        <v>3908</v>
      </c>
      <c r="E997" s="1858" t="s">
        <v>3908</v>
      </c>
      <c r="F997" s="1859">
        <v>0</v>
      </c>
      <c r="G997" s="1872" t="s">
        <v>4786</v>
      </c>
      <c r="H997" s="1856" t="s">
        <v>3908</v>
      </c>
      <c r="I997" s="1856" t="s">
        <v>3908</v>
      </c>
      <c r="J997" s="1873">
        <v>0</v>
      </c>
      <c r="K997" s="1860"/>
      <c r="L997" s="1854">
        <v>13089023115</v>
      </c>
      <c r="M997" s="1855">
        <v>0</v>
      </c>
      <c r="N997" s="1855">
        <v>0</v>
      </c>
      <c r="O997" s="1855">
        <v>0</v>
      </c>
    </row>
    <row r="998" spans="3:15">
      <c r="C998" s="1861" t="s">
        <v>4787</v>
      </c>
      <c r="D998" s="1858">
        <v>0</v>
      </c>
      <c r="E998" s="1858">
        <v>0</v>
      </c>
      <c r="F998" s="1859">
        <v>0</v>
      </c>
      <c r="G998" s="1872" t="s">
        <v>4787</v>
      </c>
      <c r="H998" s="1856">
        <v>0</v>
      </c>
      <c r="I998" s="1856">
        <v>0</v>
      </c>
      <c r="J998" s="1873">
        <v>0</v>
      </c>
      <c r="K998" s="1860"/>
      <c r="L998" s="1854">
        <v>13089023204</v>
      </c>
      <c r="M998" s="1855">
        <v>0</v>
      </c>
      <c r="N998" s="1855">
        <v>0</v>
      </c>
      <c r="O998" s="1855">
        <v>0</v>
      </c>
    </row>
    <row r="999" spans="3:15">
      <c r="C999" s="1861" t="s">
        <v>4788</v>
      </c>
      <c r="D999" s="1858">
        <v>0</v>
      </c>
      <c r="E999" s="1858">
        <v>0</v>
      </c>
      <c r="F999" s="1859">
        <v>0</v>
      </c>
      <c r="G999" s="1872" t="s">
        <v>4788</v>
      </c>
      <c r="H999" s="1856">
        <v>0</v>
      </c>
      <c r="I999" s="1856">
        <v>1</v>
      </c>
      <c r="J999" s="1873">
        <v>1</v>
      </c>
      <c r="K999" s="1860"/>
      <c r="L999" s="1854">
        <v>13089023206</v>
      </c>
      <c r="M999" s="1855">
        <v>0</v>
      </c>
      <c r="N999" s="1855">
        <v>1</v>
      </c>
      <c r="O999" s="1855">
        <v>1</v>
      </c>
    </row>
    <row r="1000" spans="3:15">
      <c r="C1000" s="1861" t="s">
        <v>4789</v>
      </c>
      <c r="D1000" s="1858">
        <v>0</v>
      </c>
      <c r="E1000" s="1858">
        <v>0</v>
      </c>
      <c r="F1000" s="1859">
        <v>0</v>
      </c>
      <c r="G1000" s="1872" t="s">
        <v>4789</v>
      </c>
      <c r="H1000" s="1856">
        <v>0</v>
      </c>
      <c r="I1000" s="1856">
        <v>0</v>
      </c>
      <c r="J1000" s="1873">
        <v>0</v>
      </c>
      <c r="K1000" s="1860"/>
      <c r="L1000" s="1854">
        <v>13089023208</v>
      </c>
      <c r="M1000" s="1855">
        <v>0</v>
      </c>
      <c r="N1000" s="1855">
        <v>0</v>
      </c>
      <c r="O1000" s="1855">
        <v>0</v>
      </c>
    </row>
    <row r="1001" spans="3:15">
      <c r="C1001" s="1861" t="s">
        <v>4790</v>
      </c>
      <c r="D1001" s="1858">
        <v>0</v>
      </c>
      <c r="E1001" s="1858">
        <v>0</v>
      </c>
      <c r="F1001" s="1859">
        <v>0</v>
      </c>
      <c r="G1001" s="1872" t="s">
        <v>4790</v>
      </c>
      <c r="H1001" s="1856">
        <v>0</v>
      </c>
      <c r="I1001" s="1856">
        <v>0</v>
      </c>
      <c r="J1001" s="1873">
        <v>0</v>
      </c>
      <c r="K1001" s="1860"/>
      <c r="L1001" s="1854">
        <v>13089023209</v>
      </c>
      <c r="M1001" s="1855">
        <v>0</v>
      </c>
      <c r="N1001" s="1855">
        <v>0</v>
      </c>
      <c r="O1001" s="1855">
        <v>0</v>
      </c>
    </row>
    <row r="1002" spans="3:15">
      <c r="C1002" s="1861" t="s">
        <v>4791</v>
      </c>
      <c r="D1002" s="1858">
        <v>0</v>
      </c>
      <c r="E1002" s="1858">
        <v>0</v>
      </c>
      <c r="F1002" s="1859">
        <v>0</v>
      </c>
      <c r="G1002" s="1872" t="s">
        <v>4791</v>
      </c>
      <c r="H1002" s="1856">
        <v>0</v>
      </c>
      <c r="I1002" s="1856">
        <v>0</v>
      </c>
      <c r="J1002" s="1873">
        <v>0</v>
      </c>
      <c r="K1002" s="1860"/>
      <c r="L1002" s="1854">
        <v>13089023210</v>
      </c>
      <c r="M1002" s="1855">
        <v>0</v>
      </c>
      <c r="N1002" s="1855">
        <v>0</v>
      </c>
      <c r="O1002" s="1855">
        <v>0</v>
      </c>
    </row>
    <row r="1003" spans="3:15">
      <c r="C1003" s="1861" t="s">
        <v>4792</v>
      </c>
      <c r="D1003" s="1858">
        <v>0</v>
      </c>
      <c r="E1003" s="1858">
        <v>0</v>
      </c>
      <c r="F1003" s="1859">
        <v>0</v>
      </c>
      <c r="G1003" s="1872" t="s">
        <v>4792</v>
      </c>
      <c r="H1003" s="1856">
        <v>0</v>
      </c>
      <c r="I1003" s="1856">
        <v>0</v>
      </c>
      <c r="J1003" s="1873">
        <v>0</v>
      </c>
      <c r="K1003" s="1860"/>
      <c r="L1003" s="1854">
        <v>13089023211</v>
      </c>
      <c r="M1003" s="1855">
        <v>0</v>
      </c>
      <c r="N1003" s="1855">
        <v>0</v>
      </c>
      <c r="O1003" s="1855">
        <v>0</v>
      </c>
    </row>
    <row r="1004" spans="3:15">
      <c r="C1004" s="1861" t="s">
        <v>4793</v>
      </c>
      <c r="D1004" s="1858">
        <v>0</v>
      </c>
      <c r="E1004" s="1858">
        <v>0</v>
      </c>
      <c r="F1004" s="1859">
        <v>0</v>
      </c>
      <c r="G1004" s="1872" t="s">
        <v>4793</v>
      </c>
      <c r="H1004" s="1856">
        <v>0</v>
      </c>
      <c r="I1004" s="1856">
        <v>0</v>
      </c>
      <c r="J1004" s="1873">
        <v>0</v>
      </c>
      <c r="K1004" s="1860"/>
      <c r="L1004" s="1854">
        <v>13089023212</v>
      </c>
      <c r="M1004" s="1855">
        <v>0</v>
      </c>
      <c r="N1004" s="1855">
        <v>0</v>
      </c>
      <c r="O1004" s="1855">
        <v>0</v>
      </c>
    </row>
    <row r="1005" spans="3:15">
      <c r="C1005" s="1861" t="s">
        <v>4794</v>
      </c>
      <c r="D1005" s="1858">
        <v>0</v>
      </c>
      <c r="E1005" s="1858">
        <v>0</v>
      </c>
      <c r="F1005" s="1859">
        <v>0</v>
      </c>
      <c r="G1005" s="1872" t="s">
        <v>4794</v>
      </c>
      <c r="H1005" s="1856">
        <v>0</v>
      </c>
      <c r="I1005" s="1856">
        <v>0</v>
      </c>
      <c r="J1005" s="1873">
        <v>0</v>
      </c>
      <c r="K1005" s="1860"/>
      <c r="L1005" s="1854">
        <v>13089023213</v>
      </c>
      <c r="M1005" s="1855">
        <v>0</v>
      </c>
      <c r="N1005" s="1855">
        <v>0</v>
      </c>
      <c r="O1005" s="1855">
        <v>0</v>
      </c>
    </row>
    <row r="1006" spans="3:15">
      <c r="C1006" s="1861" t="s">
        <v>4795</v>
      </c>
      <c r="D1006" s="1858">
        <v>0</v>
      </c>
      <c r="E1006" s="1858">
        <v>0</v>
      </c>
      <c r="F1006" s="1859">
        <v>0</v>
      </c>
      <c r="G1006" s="1872" t="s">
        <v>4795</v>
      </c>
      <c r="H1006" s="1856">
        <v>0</v>
      </c>
      <c r="I1006" s="1856" t="s">
        <v>3908</v>
      </c>
      <c r="J1006" s="1873">
        <v>0</v>
      </c>
      <c r="K1006" s="1860"/>
      <c r="L1006" s="1854">
        <v>13089023214</v>
      </c>
      <c r="M1006" s="1855">
        <v>0</v>
      </c>
      <c r="N1006" s="1855">
        <v>0</v>
      </c>
      <c r="O1006" s="1855">
        <v>0</v>
      </c>
    </row>
    <row r="1007" spans="3:15">
      <c r="C1007" s="1861" t="s">
        <v>4796</v>
      </c>
      <c r="D1007" s="1858">
        <v>0</v>
      </c>
      <c r="E1007" s="1858">
        <v>0</v>
      </c>
      <c r="F1007" s="1859">
        <v>0</v>
      </c>
      <c r="G1007" s="1872" t="s">
        <v>4796</v>
      </c>
      <c r="H1007" s="1856">
        <v>0</v>
      </c>
      <c r="I1007" s="1856">
        <v>0</v>
      </c>
      <c r="J1007" s="1873">
        <v>0</v>
      </c>
      <c r="K1007" s="1860"/>
      <c r="L1007" s="1854">
        <v>13089023303</v>
      </c>
      <c r="M1007" s="1855">
        <v>0</v>
      </c>
      <c r="N1007" s="1855">
        <v>0</v>
      </c>
      <c r="O1007" s="1855">
        <v>0</v>
      </c>
    </row>
    <row r="1008" spans="3:15">
      <c r="C1008" s="1861" t="s">
        <v>4797</v>
      </c>
      <c r="D1008" s="1858">
        <v>1</v>
      </c>
      <c r="E1008" s="1858">
        <v>1</v>
      </c>
      <c r="F1008" s="1859">
        <v>2</v>
      </c>
      <c r="G1008" s="1872" t="s">
        <v>4797</v>
      </c>
      <c r="H1008" s="1856">
        <v>0</v>
      </c>
      <c r="I1008" s="1856">
        <v>1</v>
      </c>
      <c r="J1008" s="1873">
        <v>1</v>
      </c>
      <c r="K1008" s="1860"/>
      <c r="L1008" s="1854">
        <v>13089023306</v>
      </c>
      <c r="M1008" s="1855">
        <v>1</v>
      </c>
      <c r="N1008" s="1855">
        <v>1</v>
      </c>
      <c r="O1008" s="1855">
        <v>2</v>
      </c>
    </row>
    <row r="1009" spans="3:15">
      <c r="C1009" s="1861" t="s">
        <v>4798</v>
      </c>
      <c r="D1009" s="1858">
        <v>0</v>
      </c>
      <c r="E1009" s="1858">
        <v>0</v>
      </c>
      <c r="F1009" s="1859">
        <v>0</v>
      </c>
      <c r="G1009" s="1872" t="s">
        <v>4798</v>
      </c>
      <c r="H1009" s="1856">
        <v>0</v>
      </c>
      <c r="I1009" s="1856">
        <v>0</v>
      </c>
      <c r="J1009" s="1873">
        <v>0</v>
      </c>
      <c r="K1009" s="1860"/>
      <c r="L1009" s="1854">
        <v>13089023309</v>
      </c>
      <c r="M1009" s="1855">
        <v>0</v>
      </c>
      <c r="N1009" s="1855">
        <v>0</v>
      </c>
      <c r="O1009" s="1855">
        <v>0</v>
      </c>
    </row>
    <row r="1010" spans="3:15">
      <c r="C1010" s="1861" t="s">
        <v>4799</v>
      </c>
      <c r="D1010" s="1858">
        <v>0</v>
      </c>
      <c r="E1010" s="1858">
        <v>0</v>
      </c>
      <c r="F1010" s="1859">
        <v>0</v>
      </c>
      <c r="G1010" s="1872" t="s">
        <v>4799</v>
      </c>
      <c r="H1010" s="1856">
        <v>0</v>
      </c>
      <c r="I1010" s="1856">
        <v>0</v>
      </c>
      <c r="J1010" s="1873">
        <v>0</v>
      </c>
      <c r="K1010" s="1860"/>
      <c r="L1010" s="1854">
        <v>13089023310</v>
      </c>
      <c r="M1010" s="1855">
        <v>0</v>
      </c>
      <c r="N1010" s="1855">
        <v>0</v>
      </c>
      <c r="O1010" s="1855">
        <v>0</v>
      </c>
    </row>
    <row r="1011" spans="3:15">
      <c r="C1011" s="1861" t="s">
        <v>4800</v>
      </c>
      <c r="D1011" s="1858">
        <v>1</v>
      </c>
      <c r="E1011" s="1858">
        <v>0</v>
      </c>
      <c r="F1011" s="1859">
        <v>1</v>
      </c>
      <c r="G1011" s="1872" t="s">
        <v>4800</v>
      </c>
      <c r="H1011" s="1856">
        <v>1</v>
      </c>
      <c r="I1011" s="1856">
        <v>0</v>
      </c>
      <c r="J1011" s="1873">
        <v>1</v>
      </c>
      <c r="K1011" s="1860"/>
      <c r="L1011" s="1854">
        <v>13089023311</v>
      </c>
      <c r="M1011" s="1855">
        <v>1</v>
      </c>
      <c r="N1011" s="1855">
        <v>0</v>
      </c>
      <c r="O1011" s="1855">
        <v>1</v>
      </c>
    </row>
    <row r="1012" spans="3:15">
      <c r="C1012" s="1861" t="s">
        <v>4801</v>
      </c>
      <c r="D1012" s="1858">
        <v>0</v>
      </c>
      <c r="E1012" s="1858">
        <v>0</v>
      </c>
      <c r="F1012" s="1859">
        <v>0</v>
      </c>
      <c r="G1012" s="1872" t="s">
        <v>4801</v>
      </c>
      <c r="H1012" s="1856">
        <v>0</v>
      </c>
      <c r="I1012" s="1856">
        <v>0</v>
      </c>
      <c r="J1012" s="1873">
        <v>0</v>
      </c>
      <c r="K1012" s="1860"/>
      <c r="L1012" s="1854">
        <v>13089023312</v>
      </c>
      <c r="M1012" s="1855">
        <v>0</v>
      </c>
      <c r="N1012" s="1855">
        <v>0</v>
      </c>
      <c r="O1012" s="1855">
        <v>0</v>
      </c>
    </row>
    <row r="1013" spans="3:15">
      <c r="C1013" s="1861" t="s">
        <v>4802</v>
      </c>
      <c r="D1013" s="1858">
        <v>0</v>
      </c>
      <c r="E1013" s="1858">
        <v>0</v>
      </c>
      <c r="F1013" s="1859">
        <v>0</v>
      </c>
      <c r="G1013" s="1872" t="s">
        <v>4802</v>
      </c>
      <c r="H1013" s="1856">
        <v>0</v>
      </c>
      <c r="I1013" s="1856">
        <v>0</v>
      </c>
      <c r="J1013" s="1873">
        <v>0</v>
      </c>
      <c r="K1013" s="1860"/>
      <c r="L1013" s="1854">
        <v>13089023313</v>
      </c>
      <c r="M1013" s="1855">
        <v>0</v>
      </c>
      <c r="N1013" s="1855">
        <v>0</v>
      </c>
      <c r="O1013" s="1855">
        <v>0</v>
      </c>
    </row>
    <row r="1014" spans="3:15">
      <c r="C1014" s="1861" t="s">
        <v>4803</v>
      </c>
      <c r="D1014" s="1858">
        <v>0</v>
      </c>
      <c r="E1014" s="1858">
        <v>0</v>
      </c>
      <c r="F1014" s="1859">
        <v>0</v>
      </c>
      <c r="G1014" s="1872" t="s">
        <v>4803</v>
      </c>
      <c r="H1014" s="1856">
        <v>0</v>
      </c>
      <c r="I1014" s="1856">
        <v>0</v>
      </c>
      <c r="J1014" s="1873">
        <v>0</v>
      </c>
      <c r="K1014" s="1860"/>
      <c r="L1014" s="1854">
        <v>13089023314</v>
      </c>
      <c r="M1014" s="1855">
        <v>0</v>
      </c>
      <c r="N1014" s="1855">
        <v>0</v>
      </c>
      <c r="O1014" s="1855">
        <v>0</v>
      </c>
    </row>
    <row r="1015" spans="3:15">
      <c r="C1015" s="1861" t="s">
        <v>4804</v>
      </c>
      <c r="D1015" s="1858">
        <v>1</v>
      </c>
      <c r="E1015" s="1858">
        <v>1</v>
      </c>
      <c r="F1015" s="1859">
        <v>2</v>
      </c>
      <c r="G1015" s="1872" t="s">
        <v>4804</v>
      </c>
      <c r="H1015" s="1856">
        <v>1</v>
      </c>
      <c r="I1015" s="1856">
        <v>0</v>
      </c>
      <c r="J1015" s="1873">
        <v>1</v>
      </c>
      <c r="K1015" s="1860"/>
      <c r="L1015" s="1854">
        <v>13089023315</v>
      </c>
      <c r="M1015" s="1855">
        <v>1</v>
      </c>
      <c r="N1015" s="1855">
        <v>1</v>
      </c>
      <c r="O1015" s="1855">
        <v>2</v>
      </c>
    </row>
    <row r="1016" spans="3:15">
      <c r="C1016" s="1861" t="s">
        <v>4805</v>
      </c>
      <c r="D1016" s="1858">
        <v>0</v>
      </c>
      <c r="E1016" s="1858">
        <v>0</v>
      </c>
      <c r="F1016" s="1859">
        <v>0</v>
      </c>
      <c r="G1016" s="1872" t="s">
        <v>4805</v>
      </c>
      <c r="H1016" s="1856">
        <v>1</v>
      </c>
      <c r="I1016" s="1856">
        <v>1</v>
      </c>
      <c r="J1016" s="1873">
        <v>1</v>
      </c>
      <c r="K1016" s="1860"/>
      <c r="L1016" s="1854">
        <v>13089023316</v>
      </c>
      <c r="M1016" s="1855">
        <v>1</v>
      </c>
      <c r="N1016" s="1855">
        <v>1</v>
      </c>
      <c r="O1016" s="1855">
        <v>1</v>
      </c>
    </row>
    <row r="1017" spans="3:15">
      <c r="C1017" s="1861" t="s">
        <v>4806</v>
      </c>
      <c r="D1017" s="1858">
        <v>0</v>
      </c>
      <c r="E1017" s="1858">
        <v>0</v>
      </c>
      <c r="F1017" s="1859">
        <v>0</v>
      </c>
      <c r="G1017" s="1872" t="s">
        <v>4806</v>
      </c>
      <c r="H1017" s="1856">
        <v>0</v>
      </c>
      <c r="I1017" s="1856">
        <v>0</v>
      </c>
      <c r="J1017" s="1873">
        <v>0</v>
      </c>
      <c r="K1017" s="1860"/>
      <c r="L1017" s="1854">
        <v>13089023410</v>
      </c>
      <c r="M1017" s="1855">
        <v>0</v>
      </c>
      <c r="N1017" s="1855">
        <v>0</v>
      </c>
      <c r="O1017" s="1855">
        <v>0</v>
      </c>
    </row>
    <row r="1018" spans="3:15">
      <c r="C1018" s="1861" t="s">
        <v>4807</v>
      </c>
      <c r="D1018" s="1858">
        <v>0</v>
      </c>
      <c r="E1018" s="1858">
        <v>0</v>
      </c>
      <c r="F1018" s="1859">
        <v>0</v>
      </c>
      <c r="G1018" s="1872" t="s">
        <v>4807</v>
      </c>
      <c r="H1018" s="1856">
        <v>0</v>
      </c>
      <c r="I1018" s="1856" t="s">
        <v>3908</v>
      </c>
      <c r="J1018" s="1873">
        <v>0</v>
      </c>
      <c r="K1018" s="1860"/>
      <c r="L1018" s="1854">
        <v>13089023411</v>
      </c>
      <c r="M1018" s="1855">
        <v>0</v>
      </c>
      <c r="N1018" s="1855">
        <v>0</v>
      </c>
      <c r="O1018" s="1855">
        <v>0</v>
      </c>
    </row>
    <row r="1019" spans="3:15">
      <c r="C1019" s="1861" t="s">
        <v>4808</v>
      </c>
      <c r="D1019" s="1858">
        <v>0</v>
      </c>
      <c r="E1019" s="1858">
        <v>0</v>
      </c>
      <c r="F1019" s="1859">
        <v>0</v>
      </c>
      <c r="G1019" s="1872" t="s">
        <v>4808</v>
      </c>
      <c r="H1019" s="1856">
        <v>0</v>
      </c>
      <c r="I1019" s="1856">
        <v>0</v>
      </c>
      <c r="J1019" s="1873">
        <v>0</v>
      </c>
      <c r="K1019" s="1860"/>
      <c r="L1019" s="1854">
        <v>13089023412</v>
      </c>
      <c r="M1019" s="1855">
        <v>0</v>
      </c>
      <c r="N1019" s="1855">
        <v>0</v>
      </c>
      <c r="O1019" s="1855">
        <v>0</v>
      </c>
    </row>
    <row r="1020" spans="3:15">
      <c r="C1020" s="1861" t="s">
        <v>4809</v>
      </c>
      <c r="D1020" s="1858">
        <v>0</v>
      </c>
      <c r="E1020" s="1858">
        <v>0</v>
      </c>
      <c r="F1020" s="1859">
        <v>0</v>
      </c>
      <c r="G1020" s="1872" t="s">
        <v>4809</v>
      </c>
      <c r="H1020" s="1856">
        <v>0</v>
      </c>
      <c r="I1020" s="1856">
        <v>1</v>
      </c>
      <c r="J1020" s="1873">
        <v>0</v>
      </c>
      <c r="K1020" s="1860"/>
      <c r="L1020" s="1854">
        <v>13089023413</v>
      </c>
      <c r="M1020" s="1855">
        <v>0</v>
      </c>
      <c r="N1020" s="1855">
        <v>1</v>
      </c>
      <c r="O1020" s="1855">
        <v>0</v>
      </c>
    </row>
    <row r="1021" spans="3:15">
      <c r="C1021" s="1861" t="s">
        <v>4810</v>
      </c>
      <c r="D1021" s="1858">
        <v>0</v>
      </c>
      <c r="E1021" s="1858">
        <v>0</v>
      </c>
      <c r="F1021" s="1859">
        <v>0</v>
      </c>
      <c r="G1021" s="1872" t="s">
        <v>4810</v>
      </c>
      <c r="H1021" s="1856">
        <v>1</v>
      </c>
      <c r="I1021" s="1856">
        <v>1</v>
      </c>
      <c r="J1021" s="1873">
        <v>2</v>
      </c>
      <c r="K1021" s="1860"/>
      <c r="L1021" s="1854">
        <v>13089023414</v>
      </c>
      <c r="M1021" s="1855">
        <v>1</v>
      </c>
      <c r="N1021" s="1855">
        <v>1</v>
      </c>
      <c r="O1021" s="1855">
        <v>2</v>
      </c>
    </row>
    <row r="1022" spans="3:15">
      <c r="C1022" s="1861" t="s">
        <v>4811</v>
      </c>
      <c r="D1022" s="1858">
        <v>0</v>
      </c>
      <c r="E1022" s="1858">
        <v>0</v>
      </c>
      <c r="F1022" s="1859">
        <v>0</v>
      </c>
      <c r="G1022" s="1872" t="s">
        <v>4811</v>
      </c>
      <c r="H1022" s="1856">
        <v>0</v>
      </c>
      <c r="I1022" s="1856">
        <v>1</v>
      </c>
      <c r="J1022" s="1873">
        <v>1</v>
      </c>
      <c r="K1022" s="1860"/>
      <c r="L1022" s="1854">
        <v>13089023416</v>
      </c>
      <c r="M1022" s="1855">
        <v>0</v>
      </c>
      <c r="N1022" s="1855">
        <v>1</v>
      </c>
      <c r="O1022" s="1855">
        <v>1</v>
      </c>
    </row>
    <row r="1023" spans="3:15">
      <c r="C1023" s="1861" t="s">
        <v>4812</v>
      </c>
      <c r="D1023" s="1858">
        <v>0</v>
      </c>
      <c r="E1023" s="1858">
        <v>0</v>
      </c>
      <c r="F1023" s="1859">
        <v>0</v>
      </c>
      <c r="G1023" s="1872" t="s">
        <v>4812</v>
      </c>
      <c r="H1023" s="1856">
        <v>0</v>
      </c>
      <c r="I1023" s="1856">
        <v>0</v>
      </c>
      <c r="J1023" s="1873">
        <v>0</v>
      </c>
      <c r="K1023" s="1860"/>
      <c r="L1023" s="1854">
        <v>13089023418</v>
      </c>
      <c r="M1023" s="1855">
        <v>0</v>
      </c>
      <c r="N1023" s="1855">
        <v>0</v>
      </c>
      <c r="O1023" s="1855">
        <v>0</v>
      </c>
    </row>
    <row r="1024" spans="3:15">
      <c r="C1024" s="1861" t="s">
        <v>4813</v>
      </c>
      <c r="D1024" s="1858">
        <v>0</v>
      </c>
      <c r="E1024" s="1858">
        <v>0</v>
      </c>
      <c r="F1024" s="1859">
        <v>0</v>
      </c>
      <c r="G1024" s="1872" t="s">
        <v>4813</v>
      </c>
      <c r="H1024" s="1856">
        <v>1</v>
      </c>
      <c r="I1024" s="1856">
        <v>1</v>
      </c>
      <c r="J1024" s="1873">
        <v>2</v>
      </c>
      <c r="K1024" s="1860"/>
      <c r="L1024" s="1854">
        <v>13089023419</v>
      </c>
      <c r="M1024" s="1855">
        <v>1</v>
      </c>
      <c r="N1024" s="1855">
        <v>1</v>
      </c>
      <c r="O1024" s="1855">
        <v>2</v>
      </c>
    </row>
    <row r="1025" spans="3:15">
      <c r="C1025" s="1861" t="s">
        <v>4814</v>
      </c>
      <c r="D1025" s="1858">
        <v>0</v>
      </c>
      <c r="E1025" s="1858">
        <v>0</v>
      </c>
      <c r="F1025" s="1859">
        <v>0</v>
      </c>
      <c r="G1025" s="1872" t="s">
        <v>4814</v>
      </c>
      <c r="H1025" s="1856">
        <v>0</v>
      </c>
      <c r="I1025" s="1856">
        <v>0</v>
      </c>
      <c r="J1025" s="1873">
        <v>0</v>
      </c>
      <c r="K1025" s="1860"/>
      <c r="L1025" s="1854">
        <v>13089023421</v>
      </c>
      <c r="M1025" s="1855">
        <v>0</v>
      </c>
      <c r="N1025" s="1855">
        <v>0</v>
      </c>
      <c r="O1025" s="1855">
        <v>0</v>
      </c>
    </row>
    <row r="1026" spans="3:15">
      <c r="C1026" s="1861" t="s">
        <v>4815</v>
      </c>
      <c r="D1026" s="1858">
        <v>0</v>
      </c>
      <c r="E1026" s="1858">
        <v>0</v>
      </c>
      <c r="F1026" s="1859">
        <v>0</v>
      </c>
      <c r="G1026" s="1872" t="s">
        <v>4815</v>
      </c>
      <c r="H1026" s="1856">
        <v>0</v>
      </c>
      <c r="I1026" s="1856">
        <v>0</v>
      </c>
      <c r="J1026" s="1873">
        <v>0</v>
      </c>
      <c r="K1026" s="1860"/>
      <c r="L1026" s="1854">
        <v>13089023422</v>
      </c>
      <c r="M1026" s="1855">
        <v>0</v>
      </c>
      <c r="N1026" s="1855">
        <v>0</v>
      </c>
      <c r="O1026" s="1855">
        <v>0</v>
      </c>
    </row>
    <row r="1027" spans="3:15">
      <c r="C1027" s="1861" t="s">
        <v>4816</v>
      </c>
      <c r="D1027" s="1858">
        <v>0</v>
      </c>
      <c r="E1027" s="1858">
        <v>0</v>
      </c>
      <c r="F1027" s="1859">
        <v>0</v>
      </c>
      <c r="G1027" s="1872" t="s">
        <v>4816</v>
      </c>
      <c r="H1027" s="1856">
        <v>1</v>
      </c>
      <c r="I1027" s="1856">
        <v>0</v>
      </c>
      <c r="J1027" s="1873">
        <v>1</v>
      </c>
      <c r="K1027" s="1860"/>
      <c r="L1027" s="1854">
        <v>13089023423</v>
      </c>
      <c r="M1027" s="1855">
        <v>1</v>
      </c>
      <c r="N1027" s="1855">
        <v>0</v>
      </c>
      <c r="O1027" s="1855">
        <v>1</v>
      </c>
    </row>
    <row r="1028" spans="3:15">
      <c r="C1028" s="1861" t="s">
        <v>4817</v>
      </c>
      <c r="D1028" s="1858">
        <v>0</v>
      </c>
      <c r="E1028" s="1858">
        <v>0</v>
      </c>
      <c r="F1028" s="1859">
        <v>0</v>
      </c>
      <c r="G1028" s="1872" t="s">
        <v>4817</v>
      </c>
      <c r="H1028" s="1856">
        <v>0</v>
      </c>
      <c r="I1028" s="1856">
        <v>1</v>
      </c>
      <c r="J1028" s="1873">
        <v>1</v>
      </c>
      <c r="K1028" s="1860"/>
      <c r="L1028" s="1854">
        <v>13089023424</v>
      </c>
      <c r="M1028" s="1855">
        <v>0</v>
      </c>
      <c r="N1028" s="1855">
        <v>1</v>
      </c>
      <c r="O1028" s="1855">
        <v>1</v>
      </c>
    </row>
    <row r="1029" spans="3:15">
      <c r="C1029" s="1861" t="s">
        <v>4818</v>
      </c>
      <c r="D1029" s="1858">
        <v>0</v>
      </c>
      <c r="E1029" s="1858">
        <v>0</v>
      </c>
      <c r="F1029" s="1859">
        <v>0</v>
      </c>
      <c r="G1029" s="1872" t="s">
        <v>4818</v>
      </c>
      <c r="H1029" s="1856">
        <v>0</v>
      </c>
      <c r="I1029" s="1856">
        <v>1</v>
      </c>
      <c r="J1029" s="1873">
        <v>1</v>
      </c>
      <c r="K1029" s="1860"/>
      <c r="L1029" s="1854">
        <v>13089023425</v>
      </c>
      <c r="M1029" s="1855">
        <v>0</v>
      </c>
      <c r="N1029" s="1855">
        <v>1</v>
      </c>
      <c r="O1029" s="1855">
        <v>1</v>
      </c>
    </row>
    <row r="1030" spans="3:15">
      <c r="C1030" s="1861" t="s">
        <v>4819</v>
      </c>
      <c r="D1030" s="1858">
        <v>1</v>
      </c>
      <c r="E1030" s="1858">
        <v>0</v>
      </c>
      <c r="F1030" s="1859">
        <v>1</v>
      </c>
      <c r="G1030" s="1872" t="s">
        <v>4819</v>
      </c>
      <c r="H1030" s="1856">
        <v>1</v>
      </c>
      <c r="I1030" s="1856">
        <v>1</v>
      </c>
      <c r="J1030" s="1873">
        <v>2</v>
      </c>
      <c r="K1030" s="1860"/>
      <c r="L1030" s="1854">
        <v>13089023426</v>
      </c>
      <c r="M1030" s="1855">
        <v>1</v>
      </c>
      <c r="N1030" s="1855">
        <v>1</v>
      </c>
      <c r="O1030" s="1855">
        <v>2</v>
      </c>
    </row>
    <row r="1031" spans="3:15">
      <c r="C1031" s="1861" t="s">
        <v>4820</v>
      </c>
      <c r="D1031" s="1858">
        <v>1</v>
      </c>
      <c r="E1031" s="1858">
        <v>0</v>
      </c>
      <c r="F1031" s="1859">
        <v>1</v>
      </c>
      <c r="G1031" s="1872" t="s">
        <v>4820</v>
      </c>
      <c r="H1031" s="1856">
        <v>1</v>
      </c>
      <c r="I1031" s="1856">
        <v>0</v>
      </c>
      <c r="J1031" s="1873">
        <v>1</v>
      </c>
      <c r="K1031" s="1860"/>
      <c r="L1031" s="1854">
        <v>13089023427</v>
      </c>
      <c r="M1031" s="1855">
        <v>1</v>
      </c>
      <c r="N1031" s="1855">
        <v>0</v>
      </c>
      <c r="O1031" s="1855">
        <v>1</v>
      </c>
    </row>
    <row r="1032" spans="3:15">
      <c r="C1032" s="1861" t="s">
        <v>4821</v>
      </c>
      <c r="D1032" s="1858">
        <v>0</v>
      </c>
      <c r="E1032" s="1858">
        <v>0</v>
      </c>
      <c r="F1032" s="1859">
        <v>0</v>
      </c>
      <c r="G1032" s="1872" t="s">
        <v>4821</v>
      </c>
      <c r="H1032" s="1856">
        <v>0</v>
      </c>
      <c r="I1032" s="1856">
        <v>0</v>
      </c>
      <c r="J1032" s="1873">
        <v>0</v>
      </c>
      <c r="K1032" s="1860"/>
      <c r="L1032" s="1854">
        <v>13089023428</v>
      </c>
      <c r="M1032" s="1855">
        <v>0</v>
      </c>
      <c r="N1032" s="1855">
        <v>0</v>
      </c>
      <c r="O1032" s="1855">
        <v>0</v>
      </c>
    </row>
    <row r="1033" spans="3:15">
      <c r="C1033" s="1861" t="s">
        <v>4822</v>
      </c>
      <c r="D1033" s="1858">
        <v>0</v>
      </c>
      <c r="E1033" s="1858">
        <v>0</v>
      </c>
      <c r="F1033" s="1859">
        <v>0</v>
      </c>
      <c r="G1033" s="1872" t="s">
        <v>4822</v>
      </c>
      <c r="H1033" s="1856">
        <v>0</v>
      </c>
      <c r="I1033" s="1856">
        <v>0</v>
      </c>
      <c r="J1033" s="1873">
        <v>0</v>
      </c>
      <c r="K1033" s="1860"/>
      <c r="L1033" s="1854">
        <v>13089023501</v>
      </c>
      <c r="M1033" s="1855">
        <v>0</v>
      </c>
      <c r="N1033" s="1855">
        <v>0</v>
      </c>
      <c r="O1033" s="1855">
        <v>0</v>
      </c>
    </row>
    <row r="1034" spans="3:15">
      <c r="C1034" s="1861" t="s">
        <v>4823</v>
      </c>
      <c r="D1034" s="1858">
        <v>0</v>
      </c>
      <c r="E1034" s="1858">
        <v>0</v>
      </c>
      <c r="F1034" s="1859">
        <v>0</v>
      </c>
      <c r="G1034" s="1872" t="s">
        <v>4823</v>
      </c>
      <c r="H1034" s="1856">
        <v>0</v>
      </c>
      <c r="I1034" s="1856">
        <v>0</v>
      </c>
      <c r="J1034" s="1873">
        <v>0</v>
      </c>
      <c r="K1034" s="1860"/>
      <c r="L1034" s="1854">
        <v>13089023504</v>
      </c>
      <c r="M1034" s="1855">
        <v>0</v>
      </c>
      <c r="N1034" s="1855">
        <v>0</v>
      </c>
      <c r="O1034" s="1855">
        <v>0</v>
      </c>
    </row>
    <row r="1035" spans="3:15">
      <c r="C1035" s="1861" t="s">
        <v>4824</v>
      </c>
      <c r="D1035" s="1858">
        <v>0</v>
      </c>
      <c r="E1035" s="1858">
        <v>0</v>
      </c>
      <c r="F1035" s="1859">
        <v>0</v>
      </c>
      <c r="G1035" s="1872" t="s">
        <v>4824</v>
      </c>
      <c r="H1035" s="1856">
        <v>0</v>
      </c>
      <c r="I1035" s="1856">
        <v>0</v>
      </c>
      <c r="J1035" s="1873">
        <v>0</v>
      </c>
      <c r="K1035" s="1860"/>
      <c r="L1035" s="1854">
        <v>13089023505</v>
      </c>
      <c r="M1035" s="1855">
        <v>0</v>
      </c>
      <c r="N1035" s="1855">
        <v>0</v>
      </c>
      <c r="O1035" s="1855">
        <v>0</v>
      </c>
    </row>
    <row r="1036" spans="3:15">
      <c r="C1036" s="1861" t="s">
        <v>4825</v>
      </c>
      <c r="D1036" s="1858">
        <v>0</v>
      </c>
      <c r="E1036" s="1858">
        <v>0</v>
      </c>
      <c r="F1036" s="1859">
        <v>0</v>
      </c>
      <c r="G1036" s="1872" t="s">
        <v>4825</v>
      </c>
      <c r="H1036" s="1856">
        <v>0</v>
      </c>
      <c r="I1036" s="1856">
        <v>0</v>
      </c>
      <c r="J1036" s="1873">
        <v>0</v>
      </c>
      <c r="K1036" s="1860"/>
      <c r="L1036" s="1854">
        <v>13089023506</v>
      </c>
      <c r="M1036" s="1855">
        <v>0</v>
      </c>
      <c r="N1036" s="1855">
        <v>0</v>
      </c>
      <c r="O1036" s="1855">
        <v>0</v>
      </c>
    </row>
    <row r="1037" spans="3:15">
      <c r="C1037" s="1861" t="s">
        <v>4826</v>
      </c>
      <c r="D1037" s="1858">
        <v>0</v>
      </c>
      <c r="E1037" s="1858">
        <v>0</v>
      </c>
      <c r="F1037" s="1859">
        <v>0</v>
      </c>
      <c r="G1037" s="1872" t="s">
        <v>4826</v>
      </c>
      <c r="H1037" s="1856">
        <v>0</v>
      </c>
      <c r="I1037" s="1856">
        <v>1</v>
      </c>
      <c r="J1037" s="1873">
        <v>1</v>
      </c>
      <c r="K1037" s="1860"/>
      <c r="L1037" s="1854">
        <v>13089023507</v>
      </c>
      <c r="M1037" s="1855">
        <v>0</v>
      </c>
      <c r="N1037" s="1855">
        <v>1</v>
      </c>
      <c r="O1037" s="1855">
        <v>1</v>
      </c>
    </row>
    <row r="1038" spans="3:15">
      <c r="C1038" s="1861" t="s">
        <v>4827</v>
      </c>
      <c r="D1038" s="1858">
        <v>0</v>
      </c>
      <c r="E1038" s="1858">
        <v>0</v>
      </c>
      <c r="F1038" s="1859">
        <v>0</v>
      </c>
      <c r="G1038" s="1872" t="s">
        <v>4827</v>
      </c>
      <c r="H1038" s="1856">
        <v>0</v>
      </c>
      <c r="I1038" s="1856">
        <v>0</v>
      </c>
      <c r="J1038" s="1873">
        <v>0</v>
      </c>
      <c r="K1038" s="1860"/>
      <c r="L1038" s="1854">
        <v>13089023601</v>
      </c>
      <c r="M1038" s="1855">
        <v>0</v>
      </c>
      <c r="N1038" s="1855">
        <v>0</v>
      </c>
      <c r="O1038" s="1855">
        <v>0</v>
      </c>
    </row>
    <row r="1039" spans="3:15">
      <c r="C1039" s="1861" t="s">
        <v>4828</v>
      </c>
      <c r="D1039" s="1858">
        <v>0</v>
      </c>
      <c r="E1039" s="1858">
        <v>0</v>
      </c>
      <c r="F1039" s="1859">
        <v>0</v>
      </c>
      <c r="G1039" s="1872" t="s">
        <v>4828</v>
      </c>
      <c r="H1039" s="1856">
        <v>0</v>
      </c>
      <c r="I1039" s="1856">
        <v>0</v>
      </c>
      <c r="J1039" s="1873">
        <v>0</v>
      </c>
      <c r="K1039" s="1860"/>
      <c r="L1039" s="1854">
        <v>13089023602</v>
      </c>
      <c r="M1039" s="1855">
        <v>0</v>
      </c>
      <c r="N1039" s="1855">
        <v>0</v>
      </c>
      <c r="O1039" s="1855">
        <v>0</v>
      </c>
    </row>
    <row r="1040" spans="3:15">
      <c r="C1040" s="1861" t="s">
        <v>4829</v>
      </c>
      <c r="D1040" s="1858">
        <v>0</v>
      </c>
      <c r="E1040" s="1858">
        <v>0</v>
      </c>
      <c r="F1040" s="1859">
        <v>0</v>
      </c>
      <c r="G1040" s="1872" t="s">
        <v>4829</v>
      </c>
      <c r="H1040" s="1856">
        <v>0</v>
      </c>
      <c r="I1040" s="1856">
        <v>0</v>
      </c>
      <c r="J1040" s="1873">
        <v>0</v>
      </c>
      <c r="K1040" s="1860"/>
      <c r="L1040" s="1854">
        <v>13089023603</v>
      </c>
      <c r="M1040" s="1855">
        <v>0</v>
      </c>
      <c r="N1040" s="1855">
        <v>0</v>
      </c>
      <c r="O1040" s="1855">
        <v>0</v>
      </c>
    </row>
    <row r="1041" spans="3:15">
      <c r="C1041" s="1861" t="s">
        <v>4830</v>
      </c>
      <c r="D1041" s="1858">
        <v>0</v>
      </c>
      <c r="E1041" s="1858">
        <v>0</v>
      </c>
      <c r="F1041" s="1859">
        <v>0</v>
      </c>
      <c r="G1041" s="1872" t="s">
        <v>4830</v>
      </c>
      <c r="H1041" s="1856">
        <v>0</v>
      </c>
      <c r="I1041" s="1856" t="s">
        <v>3908</v>
      </c>
      <c r="J1041" s="1873">
        <v>0</v>
      </c>
      <c r="K1041" s="1860"/>
      <c r="L1041" s="1854">
        <v>13089023700</v>
      </c>
      <c r="M1041" s="1855">
        <v>0</v>
      </c>
      <c r="N1041" s="1855">
        <v>0</v>
      </c>
      <c r="O1041" s="1855">
        <v>0</v>
      </c>
    </row>
    <row r="1042" spans="3:15">
      <c r="C1042" s="1861" t="s">
        <v>4831</v>
      </c>
      <c r="D1042" s="1858">
        <v>1</v>
      </c>
      <c r="E1042" s="1858">
        <v>0</v>
      </c>
      <c r="F1042" s="1859">
        <v>1</v>
      </c>
      <c r="G1042" s="1872" t="s">
        <v>4831</v>
      </c>
      <c r="H1042" s="1856">
        <v>1</v>
      </c>
      <c r="I1042" s="1856">
        <v>0</v>
      </c>
      <c r="J1042" s="1873">
        <v>1</v>
      </c>
      <c r="K1042" s="1860"/>
      <c r="L1042" s="1854">
        <v>13089023801</v>
      </c>
      <c r="M1042" s="1855">
        <v>1</v>
      </c>
      <c r="N1042" s="1855">
        <v>0</v>
      </c>
      <c r="O1042" s="1855">
        <v>1</v>
      </c>
    </row>
    <row r="1043" spans="3:15">
      <c r="C1043" s="1861" t="s">
        <v>4832</v>
      </c>
      <c r="D1043" s="1858">
        <v>0</v>
      </c>
      <c r="E1043" s="1858">
        <v>0</v>
      </c>
      <c r="F1043" s="1859">
        <v>0</v>
      </c>
      <c r="G1043" s="1872" t="s">
        <v>4832</v>
      </c>
      <c r="H1043" s="1856">
        <v>0</v>
      </c>
      <c r="I1043" s="1856">
        <v>0</v>
      </c>
      <c r="J1043" s="1873">
        <v>0</v>
      </c>
      <c r="K1043" s="1860"/>
      <c r="L1043" s="1854">
        <v>13089023802</v>
      </c>
      <c r="M1043" s="1855">
        <v>0</v>
      </c>
      <c r="N1043" s="1855">
        <v>0</v>
      </c>
      <c r="O1043" s="1855">
        <v>0</v>
      </c>
    </row>
    <row r="1044" spans="3:15">
      <c r="C1044" s="1861" t="s">
        <v>4833</v>
      </c>
      <c r="D1044" s="1858">
        <v>0</v>
      </c>
      <c r="E1044" s="1858">
        <v>0</v>
      </c>
      <c r="F1044" s="1859">
        <v>0</v>
      </c>
      <c r="G1044" s="1872" t="s">
        <v>4833</v>
      </c>
      <c r="H1044" s="1856">
        <v>0</v>
      </c>
      <c r="I1044" s="1856">
        <v>0</v>
      </c>
      <c r="J1044" s="1873">
        <v>0</v>
      </c>
      <c r="K1044" s="1860"/>
      <c r="L1044" s="1854">
        <v>13089023803</v>
      </c>
      <c r="M1044" s="1855">
        <v>0</v>
      </c>
      <c r="N1044" s="1855">
        <v>0</v>
      </c>
      <c r="O1044" s="1855">
        <v>0</v>
      </c>
    </row>
    <row r="1045" spans="3:15">
      <c r="C1045" s="1861" t="s">
        <v>4834</v>
      </c>
      <c r="D1045" s="1858" t="s">
        <v>3908</v>
      </c>
      <c r="E1045" s="1858" t="s">
        <v>3908</v>
      </c>
      <c r="F1045" s="1859">
        <v>0</v>
      </c>
      <c r="G1045" s="1872" t="s">
        <v>4834</v>
      </c>
      <c r="H1045" s="1856" t="s">
        <v>3908</v>
      </c>
      <c r="I1045" s="1856" t="s">
        <v>3908</v>
      </c>
      <c r="J1045" s="1873">
        <v>0</v>
      </c>
      <c r="K1045" s="1860"/>
      <c r="L1045" s="1854">
        <v>13089980000</v>
      </c>
      <c r="M1045" s="1855">
        <v>0</v>
      </c>
      <c r="N1045" s="1855">
        <v>0</v>
      </c>
      <c r="O1045" s="1855">
        <v>0</v>
      </c>
    </row>
    <row r="1046" spans="3:15">
      <c r="C1046" s="1861" t="s">
        <v>4835</v>
      </c>
      <c r="D1046" s="1858">
        <v>0</v>
      </c>
      <c r="E1046" s="1858">
        <v>0</v>
      </c>
      <c r="F1046" s="1859">
        <v>0</v>
      </c>
      <c r="G1046" s="1872" t="s">
        <v>4835</v>
      </c>
      <c r="H1046" s="1856">
        <v>0</v>
      </c>
      <c r="I1046" s="1856">
        <v>1</v>
      </c>
      <c r="J1046" s="1873">
        <v>1</v>
      </c>
      <c r="K1046" s="1860"/>
      <c r="L1046" s="1854">
        <v>13091960100</v>
      </c>
      <c r="M1046" s="1855">
        <v>0</v>
      </c>
      <c r="N1046" s="1855">
        <v>1</v>
      </c>
      <c r="O1046" s="1855">
        <v>1</v>
      </c>
    </row>
    <row r="1047" spans="3:15">
      <c r="C1047" s="1861" t="s">
        <v>4836</v>
      </c>
      <c r="D1047" s="1858">
        <v>0</v>
      </c>
      <c r="E1047" s="1858">
        <v>0</v>
      </c>
      <c r="F1047" s="1859">
        <v>0</v>
      </c>
      <c r="G1047" s="1872" t="s">
        <v>4836</v>
      </c>
      <c r="H1047" s="1856">
        <v>0</v>
      </c>
      <c r="I1047" s="1856">
        <v>0</v>
      </c>
      <c r="J1047" s="1873">
        <v>0</v>
      </c>
      <c r="K1047" s="1860"/>
      <c r="L1047" s="1854">
        <v>13091960200</v>
      </c>
      <c r="M1047" s="1855">
        <v>0</v>
      </c>
      <c r="N1047" s="1855">
        <v>0</v>
      </c>
      <c r="O1047" s="1855">
        <v>0</v>
      </c>
    </row>
    <row r="1048" spans="3:15">
      <c r="C1048" s="1861" t="s">
        <v>4837</v>
      </c>
      <c r="D1048" s="1858">
        <v>0</v>
      </c>
      <c r="E1048" s="1858">
        <v>1</v>
      </c>
      <c r="F1048" s="1859">
        <v>1</v>
      </c>
      <c r="G1048" s="1872" t="s">
        <v>4837</v>
      </c>
      <c r="H1048" s="1856">
        <v>0</v>
      </c>
      <c r="I1048" s="1856">
        <v>1</v>
      </c>
      <c r="J1048" s="1873">
        <v>1</v>
      </c>
      <c r="K1048" s="1860"/>
      <c r="L1048" s="1854">
        <v>13091960300</v>
      </c>
      <c r="M1048" s="1855">
        <v>0</v>
      </c>
      <c r="N1048" s="1855">
        <v>1</v>
      </c>
      <c r="O1048" s="1855">
        <v>1</v>
      </c>
    </row>
    <row r="1049" spans="3:15">
      <c r="C1049" s="1861" t="s">
        <v>4838</v>
      </c>
      <c r="D1049" s="1858">
        <v>0</v>
      </c>
      <c r="E1049" s="1858">
        <v>0</v>
      </c>
      <c r="F1049" s="1859">
        <v>0</v>
      </c>
      <c r="G1049" s="1872" t="s">
        <v>4838</v>
      </c>
      <c r="H1049" s="1856">
        <v>0</v>
      </c>
      <c r="I1049" s="1856">
        <v>0</v>
      </c>
      <c r="J1049" s="1873">
        <v>0</v>
      </c>
      <c r="K1049" s="1860"/>
      <c r="L1049" s="1854">
        <v>13091960400</v>
      </c>
      <c r="M1049" s="1855">
        <v>0</v>
      </c>
      <c r="N1049" s="1855">
        <v>0</v>
      </c>
      <c r="O1049" s="1855">
        <v>0</v>
      </c>
    </row>
    <row r="1050" spans="3:15">
      <c r="C1050" s="1861" t="s">
        <v>4839</v>
      </c>
      <c r="D1050" s="1858">
        <v>0</v>
      </c>
      <c r="E1050" s="1858">
        <v>0</v>
      </c>
      <c r="F1050" s="1859">
        <v>0</v>
      </c>
      <c r="G1050" s="1872" t="s">
        <v>4839</v>
      </c>
      <c r="H1050" s="1856">
        <v>0</v>
      </c>
      <c r="I1050" s="1856" t="s">
        <v>3908</v>
      </c>
      <c r="J1050" s="1873">
        <v>0</v>
      </c>
      <c r="K1050" s="1860"/>
      <c r="L1050" s="1854">
        <v>13091960500</v>
      </c>
      <c r="M1050" s="1855">
        <v>0</v>
      </c>
      <c r="N1050" s="1855">
        <v>0</v>
      </c>
      <c r="O1050" s="1855">
        <v>0</v>
      </c>
    </row>
    <row r="1051" spans="3:15">
      <c r="C1051" s="1861" t="s">
        <v>4840</v>
      </c>
      <c r="D1051" s="1858">
        <v>0</v>
      </c>
      <c r="E1051" s="1858">
        <v>0</v>
      </c>
      <c r="F1051" s="1859">
        <v>0</v>
      </c>
      <c r="G1051" s="1872" t="s">
        <v>4840</v>
      </c>
      <c r="H1051" s="1856">
        <v>0</v>
      </c>
      <c r="I1051" s="1856">
        <v>0</v>
      </c>
      <c r="J1051" s="1873">
        <v>0</v>
      </c>
      <c r="K1051" s="1860"/>
      <c r="L1051" s="1854">
        <v>13091960600</v>
      </c>
      <c r="M1051" s="1855">
        <v>0</v>
      </c>
      <c r="N1051" s="1855">
        <v>0</v>
      </c>
      <c r="O1051" s="1855">
        <v>0</v>
      </c>
    </row>
    <row r="1052" spans="3:15">
      <c r="C1052" s="1861" t="s">
        <v>4841</v>
      </c>
      <c r="D1052" s="1858">
        <v>0</v>
      </c>
      <c r="E1052" s="1858">
        <v>0</v>
      </c>
      <c r="F1052" s="1859">
        <v>0</v>
      </c>
      <c r="G1052" s="1872" t="s">
        <v>4841</v>
      </c>
      <c r="H1052" s="1856">
        <v>0</v>
      </c>
      <c r="I1052" s="1856">
        <v>1</v>
      </c>
      <c r="J1052" s="1873">
        <v>1</v>
      </c>
      <c r="K1052" s="1860"/>
      <c r="L1052" s="1854">
        <v>13093970100</v>
      </c>
      <c r="M1052" s="1855">
        <v>0</v>
      </c>
      <c r="N1052" s="1855">
        <v>1</v>
      </c>
      <c r="O1052" s="1855">
        <v>1</v>
      </c>
    </row>
    <row r="1053" spans="3:15">
      <c r="C1053" s="1861" t="s">
        <v>4842</v>
      </c>
      <c r="D1053" s="1858">
        <v>0</v>
      </c>
      <c r="E1053" s="1858">
        <v>0</v>
      </c>
      <c r="F1053" s="1859">
        <v>0</v>
      </c>
      <c r="G1053" s="1872" t="s">
        <v>4842</v>
      </c>
      <c r="H1053" s="1856">
        <v>0</v>
      </c>
      <c r="I1053" s="1856">
        <v>0</v>
      </c>
      <c r="J1053" s="1873">
        <v>0</v>
      </c>
      <c r="K1053" s="1860"/>
      <c r="L1053" s="1854">
        <v>13093970200</v>
      </c>
      <c r="M1053" s="1855">
        <v>0</v>
      </c>
      <c r="N1053" s="1855">
        <v>0</v>
      </c>
      <c r="O1053" s="1855">
        <v>0</v>
      </c>
    </row>
    <row r="1054" spans="3:15">
      <c r="C1054" s="1861" t="s">
        <v>4843</v>
      </c>
      <c r="D1054" s="1858">
        <v>0</v>
      </c>
      <c r="E1054" s="1858">
        <v>0</v>
      </c>
      <c r="F1054" s="1859">
        <v>0</v>
      </c>
      <c r="G1054" s="1872" t="s">
        <v>4843</v>
      </c>
      <c r="H1054" s="1856">
        <v>0</v>
      </c>
      <c r="I1054" s="1856">
        <v>1</v>
      </c>
      <c r="J1054" s="1873">
        <v>1</v>
      </c>
      <c r="K1054" s="1860"/>
      <c r="L1054" s="1854">
        <v>13093970300</v>
      </c>
      <c r="M1054" s="1855">
        <v>0</v>
      </c>
      <c r="N1054" s="1855">
        <v>1</v>
      </c>
      <c r="O1054" s="1855">
        <v>1</v>
      </c>
    </row>
    <row r="1055" spans="3:15">
      <c r="C1055" s="1861" t="s">
        <v>4844</v>
      </c>
      <c r="D1055" s="1858">
        <v>0</v>
      </c>
      <c r="E1055" s="1858">
        <v>0</v>
      </c>
      <c r="F1055" s="1859">
        <v>0</v>
      </c>
      <c r="G1055" s="1872" t="s">
        <v>4844</v>
      </c>
      <c r="H1055" s="1856">
        <v>0</v>
      </c>
      <c r="I1055" s="1856">
        <v>0</v>
      </c>
      <c r="J1055" s="1873">
        <v>0</v>
      </c>
      <c r="K1055" s="1860"/>
      <c r="L1055" s="1854">
        <v>13095000100</v>
      </c>
      <c r="M1055" s="1855">
        <v>0</v>
      </c>
      <c r="N1055" s="1855">
        <v>0</v>
      </c>
      <c r="O1055" s="1855">
        <v>0</v>
      </c>
    </row>
    <row r="1056" spans="3:15">
      <c r="C1056" s="1861" t="s">
        <v>4845</v>
      </c>
      <c r="D1056" s="1858">
        <v>0</v>
      </c>
      <c r="E1056" s="1858">
        <v>0</v>
      </c>
      <c r="F1056" s="1859">
        <v>0</v>
      </c>
      <c r="G1056" s="1872" t="s">
        <v>4845</v>
      </c>
      <c r="H1056" s="1856">
        <v>0</v>
      </c>
      <c r="I1056" s="1856">
        <v>0</v>
      </c>
      <c r="J1056" s="1873">
        <v>0</v>
      </c>
      <c r="K1056" s="1860"/>
      <c r="L1056" s="1854">
        <v>13095000200</v>
      </c>
      <c r="M1056" s="1855">
        <v>0</v>
      </c>
      <c r="N1056" s="1855">
        <v>0</v>
      </c>
      <c r="O1056" s="1855">
        <v>0</v>
      </c>
    </row>
    <row r="1057" spans="3:15">
      <c r="C1057" s="1861" t="s">
        <v>4846</v>
      </c>
      <c r="D1057" s="1858">
        <v>0</v>
      </c>
      <c r="E1057" s="1858">
        <v>0</v>
      </c>
      <c r="F1057" s="1859">
        <v>0</v>
      </c>
      <c r="G1057" s="1872" t="s">
        <v>4846</v>
      </c>
      <c r="H1057" s="1856">
        <v>0</v>
      </c>
      <c r="I1057" s="1856">
        <v>1</v>
      </c>
      <c r="J1057" s="1873">
        <v>1</v>
      </c>
      <c r="K1057" s="1860"/>
      <c r="L1057" s="1854">
        <v>13095000400</v>
      </c>
      <c r="M1057" s="1855">
        <v>0</v>
      </c>
      <c r="N1057" s="1855">
        <v>1</v>
      </c>
      <c r="O1057" s="1855">
        <v>1</v>
      </c>
    </row>
    <row r="1058" spans="3:15">
      <c r="C1058" s="1861" t="s">
        <v>4847</v>
      </c>
      <c r="D1058" s="1858">
        <v>1</v>
      </c>
      <c r="E1058" s="1858">
        <v>0</v>
      </c>
      <c r="F1058" s="1859">
        <v>1</v>
      </c>
      <c r="G1058" s="1872" t="s">
        <v>4847</v>
      </c>
      <c r="H1058" s="1856">
        <v>1</v>
      </c>
      <c r="I1058" s="1856">
        <v>1</v>
      </c>
      <c r="J1058" s="1873">
        <v>2</v>
      </c>
      <c r="K1058" s="1860"/>
      <c r="L1058" s="1854">
        <v>13095000501</v>
      </c>
      <c r="M1058" s="1855">
        <v>1</v>
      </c>
      <c r="N1058" s="1855">
        <v>1</v>
      </c>
      <c r="O1058" s="1855">
        <v>2</v>
      </c>
    </row>
    <row r="1059" spans="3:15">
      <c r="C1059" s="1861" t="s">
        <v>4848</v>
      </c>
      <c r="D1059" s="1858">
        <v>1</v>
      </c>
      <c r="E1059" s="1858">
        <v>1</v>
      </c>
      <c r="F1059" s="1859">
        <v>2</v>
      </c>
      <c r="G1059" s="1872" t="s">
        <v>4848</v>
      </c>
      <c r="H1059" s="1856">
        <v>1</v>
      </c>
      <c r="I1059" s="1856">
        <v>1</v>
      </c>
      <c r="J1059" s="1873">
        <v>2</v>
      </c>
      <c r="K1059" s="1860"/>
      <c r="L1059" s="1854">
        <v>13095000502</v>
      </c>
      <c r="M1059" s="1855">
        <v>1</v>
      </c>
      <c r="N1059" s="1855">
        <v>1</v>
      </c>
      <c r="O1059" s="1855">
        <v>2</v>
      </c>
    </row>
    <row r="1060" spans="3:15">
      <c r="C1060" s="1861" t="s">
        <v>4849</v>
      </c>
      <c r="D1060" s="1858">
        <v>0</v>
      </c>
      <c r="E1060" s="1858">
        <v>0</v>
      </c>
      <c r="F1060" s="1859">
        <v>0</v>
      </c>
      <c r="G1060" s="1872" t="s">
        <v>4849</v>
      </c>
      <c r="H1060" s="1856">
        <v>0</v>
      </c>
      <c r="I1060" s="1856">
        <v>0</v>
      </c>
      <c r="J1060" s="1873">
        <v>0</v>
      </c>
      <c r="K1060" s="1860"/>
      <c r="L1060" s="1854">
        <v>13095000600</v>
      </c>
      <c r="M1060" s="1855">
        <v>0</v>
      </c>
      <c r="N1060" s="1855">
        <v>0</v>
      </c>
      <c r="O1060" s="1855">
        <v>0</v>
      </c>
    </row>
    <row r="1061" spans="3:15">
      <c r="C1061" s="1861" t="s">
        <v>4850</v>
      </c>
      <c r="D1061" s="1858">
        <v>0</v>
      </c>
      <c r="E1061" s="1858">
        <v>0</v>
      </c>
      <c r="F1061" s="1859">
        <v>0</v>
      </c>
      <c r="G1061" s="1872" t="s">
        <v>4850</v>
      </c>
      <c r="H1061" s="1856">
        <v>1</v>
      </c>
      <c r="I1061" s="1856">
        <v>0</v>
      </c>
      <c r="J1061" s="1873">
        <v>1</v>
      </c>
      <c r="K1061" s="1860"/>
      <c r="L1061" s="1854">
        <v>13095000700</v>
      </c>
      <c r="M1061" s="1855">
        <v>1</v>
      </c>
      <c r="N1061" s="1855">
        <v>0</v>
      </c>
      <c r="O1061" s="1855">
        <v>1</v>
      </c>
    </row>
    <row r="1062" spans="3:15">
      <c r="C1062" s="1861" t="s">
        <v>4851</v>
      </c>
      <c r="D1062" s="1858">
        <v>0</v>
      </c>
      <c r="E1062" s="1858">
        <v>0</v>
      </c>
      <c r="F1062" s="1859">
        <v>0</v>
      </c>
      <c r="G1062" s="1872" t="s">
        <v>4851</v>
      </c>
      <c r="H1062" s="1856">
        <v>0</v>
      </c>
      <c r="I1062" s="1856">
        <v>0</v>
      </c>
      <c r="J1062" s="1873">
        <v>0</v>
      </c>
      <c r="K1062" s="1860"/>
      <c r="L1062" s="1854">
        <v>13095000800</v>
      </c>
      <c r="M1062" s="1855">
        <v>0</v>
      </c>
      <c r="N1062" s="1855">
        <v>0</v>
      </c>
      <c r="O1062" s="1855">
        <v>0</v>
      </c>
    </row>
    <row r="1063" spans="3:15">
      <c r="C1063" s="1861" t="s">
        <v>4852</v>
      </c>
      <c r="D1063" s="1858">
        <v>0</v>
      </c>
      <c r="E1063" s="1858">
        <v>0</v>
      </c>
      <c r="F1063" s="1859">
        <v>0</v>
      </c>
      <c r="G1063" s="1872" t="s">
        <v>4852</v>
      </c>
      <c r="H1063" s="1856">
        <v>0</v>
      </c>
      <c r="I1063" s="1856">
        <v>0</v>
      </c>
      <c r="J1063" s="1873">
        <v>0</v>
      </c>
      <c r="K1063" s="1860"/>
      <c r="L1063" s="1854">
        <v>13095000900</v>
      </c>
      <c r="M1063" s="1855">
        <v>0</v>
      </c>
      <c r="N1063" s="1855">
        <v>0</v>
      </c>
      <c r="O1063" s="1855">
        <v>0</v>
      </c>
    </row>
    <row r="1064" spans="3:15">
      <c r="C1064" s="1861" t="s">
        <v>4853</v>
      </c>
      <c r="D1064" s="1858">
        <v>0</v>
      </c>
      <c r="E1064" s="1858">
        <v>0</v>
      </c>
      <c r="F1064" s="1859">
        <v>0</v>
      </c>
      <c r="G1064" s="1872" t="s">
        <v>4853</v>
      </c>
      <c r="H1064" s="1856">
        <v>0</v>
      </c>
      <c r="I1064" s="1856">
        <v>0</v>
      </c>
      <c r="J1064" s="1873">
        <v>0</v>
      </c>
      <c r="K1064" s="1860"/>
      <c r="L1064" s="1854">
        <v>13095001000</v>
      </c>
      <c r="M1064" s="1855">
        <v>0</v>
      </c>
      <c r="N1064" s="1855">
        <v>0</v>
      </c>
      <c r="O1064" s="1855">
        <v>0</v>
      </c>
    </row>
    <row r="1065" spans="3:15">
      <c r="C1065" s="1861" t="s">
        <v>4854</v>
      </c>
      <c r="D1065" s="1858">
        <v>0</v>
      </c>
      <c r="E1065" s="1858">
        <v>0</v>
      </c>
      <c r="F1065" s="1859">
        <v>0</v>
      </c>
      <c r="G1065" s="1872" t="s">
        <v>4854</v>
      </c>
      <c r="H1065" s="1856">
        <v>0</v>
      </c>
      <c r="I1065" s="1856">
        <v>0</v>
      </c>
      <c r="J1065" s="1873">
        <v>0</v>
      </c>
      <c r="K1065" s="1860"/>
      <c r="L1065" s="1854">
        <v>13095001100</v>
      </c>
      <c r="M1065" s="1855">
        <v>0</v>
      </c>
      <c r="N1065" s="1855">
        <v>0</v>
      </c>
      <c r="O1065" s="1855">
        <v>0</v>
      </c>
    </row>
    <row r="1066" spans="3:15">
      <c r="C1066" s="1861" t="s">
        <v>4855</v>
      </c>
      <c r="D1066" s="1858">
        <v>0</v>
      </c>
      <c r="E1066" s="1858">
        <v>0</v>
      </c>
      <c r="F1066" s="1859">
        <v>0</v>
      </c>
      <c r="G1066" s="1872" t="s">
        <v>4855</v>
      </c>
      <c r="H1066" s="1856">
        <v>0</v>
      </c>
      <c r="I1066" s="1856" t="s">
        <v>3908</v>
      </c>
      <c r="J1066" s="1873">
        <v>0</v>
      </c>
      <c r="K1066" s="1860"/>
      <c r="L1066" s="1854">
        <v>13095001403</v>
      </c>
      <c r="M1066" s="1855">
        <v>0</v>
      </c>
      <c r="N1066" s="1855">
        <v>0</v>
      </c>
      <c r="O1066" s="1855">
        <v>0</v>
      </c>
    </row>
    <row r="1067" spans="3:15">
      <c r="C1067" s="1861" t="s">
        <v>4856</v>
      </c>
      <c r="D1067" s="1858">
        <v>0</v>
      </c>
      <c r="E1067" s="1858">
        <v>0</v>
      </c>
      <c r="F1067" s="1859">
        <v>0</v>
      </c>
      <c r="G1067" s="1872" t="s">
        <v>4856</v>
      </c>
      <c r="H1067" s="1856">
        <v>0</v>
      </c>
      <c r="I1067" s="1856">
        <v>0</v>
      </c>
      <c r="J1067" s="1873">
        <v>0</v>
      </c>
      <c r="K1067" s="1860"/>
      <c r="L1067" s="1854">
        <v>13095001500</v>
      </c>
      <c r="M1067" s="1855">
        <v>0</v>
      </c>
      <c r="N1067" s="1855">
        <v>0</v>
      </c>
      <c r="O1067" s="1855">
        <v>0</v>
      </c>
    </row>
    <row r="1068" spans="3:15">
      <c r="C1068" s="1861" t="s">
        <v>4857</v>
      </c>
      <c r="D1068" s="1858">
        <v>0</v>
      </c>
      <c r="E1068" s="1858">
        <v>0</v>
      </c>
      <c r="F1068" s="1859">
        <v>0</v>
      </c>
      <c r="G1068" s="1872" t="s">
        <v>4857</v>
      </c>
      <c r="H1068" s="1856">
        <v>0</v>
      </c>
      <c r="I1068" s="1856">
        <v>0</v>
      </c>
      <c r="J1068" s="1873">
        <v>0</v>
      </c>
      <c r="K1068" s="1860"/>
      <c r="L1068" s="1854">
        <v>13095010302</v>
      </c>
      <c r="M1068" s="1855">
        <v>0</v>
      </c>
      <c r="N1068" s="1855">
        <v>0</v>
      </c>
      <c r="O1068" s="1855">
        <v>0</v>
      </c>
    </row>
    <row r="1069" spans="3:15">
      <c r="C1069" s="1861" t="s">
        <v>4858</v>
      </c>
      <c r="D1069" s="1858">
        <v>1</v>
      </c>
      <c r="E1069" s="1858">
        <v>1</v>
      </c>
      <c r="F1069" s="1859">
        <v>2</v>
      </c>
      <c r="G1069" s="1872" t="s">
        <v>4858</v>
      </c>
      <c r="H1069" s="1856">
        <v>1</v>
      </c>
      <c r="I1069" s="1856">
        <v>1</v>
      </c>
      <c r="J1069" s="1873">
        <v>2</v>
      </c>
      <c r="K1069" s="1860"/>
      <c r="L1069" s="1854">
        <v>13095010401</v>
      </c>
      <c r="M1069" s="1855">
        <v>1</v>
      </c>
      <c r="N1069" s="1855">
        <v>1</v>
      </c>
      <c r="O1069" s="1855">
        <v>2</v>
      </c>
    </row>
    <row r="1070" spans="3:15">
      <c r="C1070" s="1861" t="s">
        <v>4859</v>
      </c>
      <c r="D1070" s="1858">
        <v>0</v>
      </c>
      <c r="E1070" s="1858">
        <v>0</v>
      </c>
      <c r="F1070" s="1859">
        <v>0</v>
      </c>
      <c r="G1070" s="1872" t="s">
        <v>4859</v>
      </c>
      <c r="H1070" s="1856">
        <v>0</v>
      </c>
      <c r="I1070" s="1856">
        <v>1</v>
      </c>
      <c r="J1070" s="1873">
        <v>1</v>
      </c>
      <c r="K1070" s="1860"/>
      <c r="L1070" s="1854">
        <v>13095010402</v>
      </c>
      <c r="M1070" s="1855">
        <v>0</v>
      </c>
      <c r="N1070" s="1855">
        <v>1</v>
      </c>
      <c r="O1070" s="1855">
        <v>1</v>
      </c>
    </row>
    <row r="1071" spans="3:15">
      <c r="C1071" s="1861" t="s">
        <v>4860</v>
      </c>
      <c r="D1071" s="1858">
        <v>1</v>
      </c>
      <c r="E1071" s="1858">
        <v>1</v>
      </c>
      <c r="F1071" s="1859">
        <v>2</v>
      </c>
      <c r="G1071" s="1872" t="s">
        <v>4860</v>
      </c>
      <c r="H1071" s="1856">
        <v>1</v>
      </c>
      <c r="I1071" s="1856">
        <v>0</v>
      </c>
      <c r="J1071" s="1873">
        <v>1</v>
      </c>
      <c r="K1071" s="1860"/>
      <c r="L1071" s="1854">
        <v>13095010403</v>
      </c>
      <c r="M1071" s="1855">
        <v>1</v>
      </c>
      <c r="N1071" s="1855">
        <v>1</v>
      </c>
      <c r="O1071" s="1855">
        <v>2</v>
      </c>
    </row>
    <row r="1072" spans="3:15">
      <c r="C1072" s="1861" t="s">
        <v>4861</v>
      </c>
      <c r="D1072" s="1858">
        <v>0</v>
      </c>
      <c r="E1072" s="1858">
        <v>0</v>
      </c>
      <c r="F1072" s="1859">
        <v>0</v>
      </c>
      <c r="G1072" s="1872" t="s">
        <v>4861</v>
      </c>
      <c r="H1072" s="1856">
        <v>0</v>
      </c>
      <c r="I1072" s="1856">
        <v>0</v>
      </c>
      <c r="J1072" s="1873">
        <v>0</v>
      </c>
      <c r="K1072" s="1860"/>
      <c r="L1072" s="1854">
        <v>13095010500</v>
      </c>
      <c r="M1072" s="1855">
        <v>0</v>
      </c>
      <c r="N1072" s="1855">
        <v>0</v>
      </c>
      <c r="O1072" s="1855">
        <v>0</v>
      </c>
    </row>
    <row r="1073" spans="3:15">
      <c r="C1073" s="1861" t="s">
        <v>4862</v>
      </c>
      <c r="D1073" s="1858">
        <v>0</v>
      </c>
      <c r="E1073" s="1858">
        <v>0</v>
      </c>
      <c r="F1073" s="1859">
        <v>0</v>
      </c>
      <c r="G1073" s="1872" t="s">
        <v>4862</v>
      </c>
      <c r="H1073" s="1856">
        <v>0</v>
      </c>
      <c r="I1073" s="1856">
        <v>0</v>
      </c>
      <c r="J1073" s="1873">
        <v>0</v>
      </c>
      <c r="K1073" s="1860"/>
      <c r="L1073" s="1854">
        <v>13095010601</v>
      </c>
      <c r="M1073" s="1855">
        <v>0</v>
      </c>
      <c r="N1073" s="1855">
        <v>0</v>
      </c>
      <c r="O1073" s="1855">
        <v>0</v>
      </c>
    </row>
    <row r="1074" spans="3:15">
      <c r="C1074" s="1861" t="s">
        <v>4863</v>
      </c>
      <c r="D1074" s="1858">
        <v>0</v>
      </c>
      <c r="E1074" s="1858">
        <v>0</v>
      </c>
      <c r="F1074" s="1859">
        <v>0</v>
      </c>
      <c r="G1074" s="1872" t="s">
        <v>4863</v>
      </c>
      <c r="H1074" s="1856">
        <v>0</v>
      </c>
      <c r="I1074" s="1856">
        <v>0</v>
      </c>
      <c r="J1074" s="1873">
        <v>0</v>
      </c>
      <c r="K1074" s="1860"/>
      <c r="L1074" s="1854">
        <v>13095010602</v>
      </c>
      <c r="M1074" s="1855">
        <v>0</v>
      </c>
      <c r="N1074" s="1855">
        <v>0</v>
      </c>
      <c r="O1074" s="1855">
        <v>0</v>
      </c>
    </row>
    <row r="1075" spans="3:15">
      <c r="C1075" s="1861" t="s">
        <v>4864</v>
      </c>
      <c r="D1075" s="1858">
        <v>0</v>
      </c>
      <c r="E1075" s="1858">
        <v>0</v>
      </c>
      <c r="F1075" s="1859">
        <v>0</v>
      </c>
      <c r="G1075" s="1872" t="s">
        <v>4864</v>
      </c>
      <c r="H1075" s="1856">
        <v>0</v>
      </c>
      <c r="I1075" s="1856">
        <v>0</v>
      </c>
      <c r="J1075" s="1873">
        <v>0</v>
      </c>
      <c r="K1075" s="1860"/>
      <c r="L1075" s="1854">
        <v>13095010700</v>
      </c>
      <c r="M1075" s="1855">
        <v>0</v>
      </c>
      <c r="N1075" s="1855">
        <v>0</v>
      </c>
      <c r="O1075" s="1855">
        <v>0</v>
      </c>
    </row>
    <row r="1076" spans="3:15">
      <c r="C1076" s="1861" t="s">
        <v>4865</v>
      </c>
      <c r="D1076" s="1858">
        <v>0</v>
      </c>
      <c r="E1076" s="1858">
        <v>0</v>
      </c>
      <c r="F1076" s="1859">
        <v>0</v>
      </c>
      <c r="G1076" s="1872" t="s">
        <v>4865</v>
      </c>
      <c r="H1076" s="1856">
        <v>0</v>
      </c>
      <c r="I1076" s="1856">
        <v>1</v>
      </c>
      <c r="J1076" s="1873">
        <v>1</v>
      </c>
      <c r="K1076" s="1860"/>
      <c r="L1076" s="1854">
        <v>13095010900</v>
      </c>
      <c r="M1076" s="1855">
        <v>0</v>
      </c>
      <c r="N1076" s="1855">
        <v>1</v>
      </c>
      <c r="O1076" s="1855">
        <v>1</v>
      </c>
    </row>
    <row r="1077" spans="3:15">
      <c r="C1077" s="1861" t="s">
        <v>4866</v>
      </c>
      <c r="D1077" s="1858">
        <v>0</v>
      </c>
      <c r="E1077" s="1858">
        <v>0</v>
      </c>
      <c r="F1077" s="1859">
        <v>0</v>
      </c>
      <c r="G1077" s="1872" t="s">
        <v>4866</v>
      </c>
      <c r="H1077" s="1856">
        <v>0</v>
      </c>
      <c r="I1077" s="1856">
        <v>0</v>
      </c>
      <c r="J1077" s="1873">
        <v>0</v>
      </c>
      <c r="K1077" s="1860"/>
      <c r="L1077" s="1854">
        <v>13095011000</v>
      </c>
      <c r="M1077" s="1855">
        <v>0</v>
      </c>
      <c r="N1077" s="1855">
        <v>0</v>
      </c>
      <c r="O1077" s="1855">
        <v>0</v>
      </c>
    </row>
    <row r="1078" spans="3:15">
      <c r="C1078" s="1861" t="s">
        <v>4867</v>
      </c>
      <c r="D1078" s="1858">
        <v>0</v>
      </c>
      <c r="E1078" s="1858">
        <v>0</v>
      </c>
      <c r="F1078" s="1859">
        <v>0</v>
      </c>
      <c r="G1078" s="1872" t="s">
        <v>4867</v>
      </c>
      <c r="H1078" s="1856">
        <v>0</v>
      </c>
      <c r="I1078" s="1856">
        <v>0</v>
      </c>
      <c r="J1078" s="1873">
        <v>0</v>
      </c>
      <c r="K1078" s="1860"/>
      <c r="L1078" s="1854">
        <v>13095011200</v>
      </c>
      <c r="M1078" s="1855">
        <v>0</v>
      </c>
      <c r="N1078" s="1855">
        <v>0</v>
      </c>
      <c r="O1078" s="1855">
        <v>0</v>
      </c>
    </row>
    <row r="1079" spans="3:15">
      <c r="C1079" s="1861" t="s">
        <v>4868</v>
      </c>
      <c r="D1079" s="1858">
        <v>0</v>
      </c>
      <c r="E1079" s="1858">
        <v>0</v>
      </c>
      <c r="F1079" s="1859">
        <v>0</v>
      </c>
      <c r="G1079" s="1872" t="s">
        <v>4868</v>
      </c>
      <c r="H1079" s="1856">
        <v>0</v>
      </c>
      <c r="I1079" s="1856">
        <v>0</v>
      </c>
      <c r="J1079" s="1873">
        <v>0</v>
      </c>
      <c r="K1079" s="1860"/>
      <c r="L1079" s="1854">
        <v>13095011300</v>
      </c>
      <c r="M1079" s="1855">
        <v>0</v>
      </c>
      <c r="N1079" s="1855">
        <v>0</v>
      </c>
      <c r="O1079" s="1855">
        <v>0</v>
      </c>
    </row>
    <row r="1080" spans="3:15">
      <c r="C1080" s="1861" t="s">
        <v>4869</v>
      </c>
      <c r="D1080" s="1858">
        <v>0</v>
      </c>
      <c r="E1080" s="1858">
        <v>0</v>
      </c>
      <c r="F1080" s="1859">
        <v>0</v>
      </c>
      <c r="G1080" s="1872" t="s">
        <v>4869</v>
      </c>
      <c r="H1080" s="1856">
        <v>0</v>
      </c>
      <c r="I1080" s="1856">
        <v>0</v>
      </c>
      <c r="J1080" s="1873">
        <v>0</v>
      </c>
      <c r="K1080" s="1860"/>
      <c r="L1080" s="1854">
        <v>13095011400</v>
      </c>
      <c r="M1080" s="1855">
        <v>0</v>
      </c>
      <c r="N1080" s="1855">
        <v>0</v>
      </c>
      <c r="O1080" s="1855">
        <v>0</v>
      </c>
    </row>
    <row r="1081" spans="3:15">
      <c r="C1081" s="1861" t="s">
        <v>4870</v>
      </c>
      <c r="D1081" s="1858">
        <v>0</v>
      </c>
      <c r="E1081" s="1858">
        <v>1</v>
      </c>
      <c r="F1081" s="1859">
        <v>1</v>
      </c>
      <c r="G1081" s="1872" t="s">
        <v>4870</v>
      </c>
      <c r="H1081" s="1856">
        <v>0</v>
      </c>
      <c r="I1081" s="1856">
        <v>0</v>
      </c>
      <c r="J1081" s="1873">
        <v>0</v>
      </c>
      <c r="K1081" s="1860"/>
      <c r="L1081" s="1854">
        <v>13095011600</v>
      </c>
      <c r="M1081" s="1855">
        <v>0</v>
      </c>
      <c r="N1081" s="1855">
        <v>1</v>
      </c>
      <c r="O1081" s="1855">
        <v>1</v>
      </c>
    </row>
    <row r="1082" spans="3:15">
      <c r="C1082" s="1861" t="s">
        <v>4871</v>
      </c>
      <c r="D1082" s="1858">
        <v>0</v>
      </c>
      <c r="E1082" s="1858">
        <v>1</v>
      </c>
      <c r="F1082" s="1859">
        <v>1</v>
      </c>
      <c r="G1082" s="1872" t="s">
        <v>4871</v>
      </c>
      <c r="H1082" s="1856">
        <v>1</v>
      </c>
      <c r="I1082" s="1856">
        <v>1</v>
      </c>
      <c r="J1082" s="1873">
        <v>2</v>
      </c>
      <c r="K1082" s="1860"/>
      <c r="L1082" s="1854">
        <v>13097080102</v>
      </c>
      <c r="M1082" s="1855">
        <v>1</v>
      </c>
      <c r="N1082" s="1855">
        <v>1</v>
      </c>
      <c r="O1082" s="1855">
        <v>2</v>
      </c>
    </row>
    <row r="1083" spans="3:15">
      <c r="C1083" s="1861" t="s">
        <v>4872</v>
      </c>
      <c r="D1083" s="1858">
        <v>0</v>
      </c>
      <c r="E1083" s="1858">
        <v>0</v>
      </c>
      <c r="F1083" s="1859">
        <v>0</v>
      </c>
      <c r="G1083" s="1872" t="s">
        <v>4872</v>
      </c>
      <c r="H1083" s="1856">
        <v>1</v>
      </c>
      <c r="I1083" s="1856">
        <v>0</v>
      </c>
      <c r="J1083" s="1873">
        <v>1</v>
      </c>
      <c r="K1083" s="1860"/>
      <c r="L1083" s="1854">
        <v>13097080103</v>
      </c>
      <c r="M1083" s="1855">
        <v>1</v>
      </c>
      <c r="N1083" s="1855">
        <v>0</v>
      </c>
      <c r="O1083" s="1855">
        <v>1</v>
      </c>
    </row>
    <row r="1084" spans="3:15">
      <c r="C1084" s="1861" t="s">
        <v>4873</v>
      </c>
      <c r="D1084" s="1858">
        <v>0</v>
      </c>
      <c r="E1084" s="1858">
        <v>1</v>
      </c>
      <c r="F1084" s="1859">
        <v>1</v>
      </c>
      <c r="G1084" s="1872" t="s">
        <v>4873</v>
      </c>
      <c r="H1084" s="1856">
        <v>0</v>
      </c>
      <c r="I1084" s="1856">
        <v>0</v>
      </c>
      <c r="J1084" s="1873">
        <v>0</v>
      </c>
      <c r="K1084" s="1860"/>
      <c r="L1084" s="1854">
        <v>13097080201</v>
      </c>
      <c r="M1084" s="1855">
        <v>0</v>
      </c>
      <c r="N1084" s="1855">
        <v>1</v>
      </c>
      <c r="O1084" s="1855">
        <v>1</v>
      </c>
    </row>
    <row r="1085" spans="3:15">
      <c r="C1085" s="1861" t="s">
        <v>4874</v>
      </c>
      <c r="D1085" s="1858">
        <v>0</v>
      </c>
      <c r="E1085" s="1858">
        <v>0</v>
      </c>
      <c r="F1085" s="1859">
        <v>0</v>
      </c>
      <c r="G1085" s="1872" t="s">
        <v>4874</v>
      </c>
      <c r="H1085" s="1856">
        <v>0</v>
      </c>
      <c r="I1085" s="1856">
        <v>0</v>
      </c>
      <c r="J1085" s="1873">
        <v>0</v>
      </c>
      <c r="K1085" s="1860"/>
      <c r="L1085" s="1854">
        <v>13097080202</v>
      </c>
      <c r="M1085" s="1855">
        <v>0</v>
      </c>
      <c r="N1085" s="1855">
        <v>0</v>
      </c>
      <c r="O1085" s="1855">
        <v>0</v>
      </c>
    </row>
    <row r="1086" spans="3:15">
      <c r="C1086" s="1861" t="s">
        <v>4875</v>
      </c>
      <c r="D1086" s="1858">
        <v>0</v>
      </c>
      <c r="E1086" s="1858">
        <v>0</v>
      </c>
      <c r="F1086" s="1859">
        <v>0</v>
      </c>
      <c r="G1086" s="1872" t="s">
        <v>4875</v>
      </c>
      <c r="H1086" s="1856">
        <v>0</v>
      </c>
      <c r="I1086" s="1856">
        <v>0</v>
      </c>
      <c r="J1086" s="1873">
        <v>0</v>
      </c>
      <c r="K1086" s="1860"/>
      <c r="L1086" s="1854">
        <v>13097080301</v>
      </c>
      <c r="M1086" s="1855">
        <v>0</v>
      </c>
      <c r="N1086" s="1855">
        <v>0</v>
      </c>
      <c r="O1086" s="1855">
        <v>0</v>
      </c>
    </row>
    <row r="1087" spans="3:15">
      <c r="C1087" s="1861" t="s">
        <v>4876</v>
      </c>
      <c r="D1087" s="1858">
        <v>0</v>
      </c>
      <c r="E1087" s="1858">
        <v>0</v>
      </c>
      <c r="F1087" s="1859">
        <v>0</v>
      </c>
      <c r="G1087" s="1872" t="s">
        <v>4876</v>
      </c>
      <c r="H1087" s="1856">
        <v>1</v>
      </c>
      <c r="I1087" s="1856">
        <v>0</v>
      </c>
      <c r="J1087" s="1873">
        <v>1</v>
      </c>
      <c r="K1087" s="1860"/>
      <c r="L1087" s="1854">
        <v>13097080303</v>
      </c>
      <c r="M1087" s="1855">
        <v>1</v>
      </c>
      <c r="N1087" s="1855">
        <v>0</v>
      </c>
      <c r="O1087" s="1855">
        <v>1</v>
      </c>
    </row>
    <row r="1088" spans="3:15">
      <c r="C1088" s="1861" t="s">
        <v>4877</v>
      </c>
      <c r="D1088" s="1858">
        <v>0</v>
      </c>
      <c r="E1088" s="1858">
        <v>0</v>
      </c>
      <c r="F1088" s="1859">
        <v>0</v>
      </c>
      <c r="G1088" s="1872" t="s">
        <v>4877</v>
      </c>
      <c r="H1088" s="1856">
        <v>0</v>
      </c>
      <c r="I1088" s="1856">
        <v>0</v>
      </c>
      <c r="J1088" s="1873">
        <v>0</v>
      </c>
      <c r="K1088" s="1860"/>
      <c r="L1088" s="1854">
        <v>13097080304</v>
      </c>
      <c r="M1088" s="1855">
        <v>0</v>
      </c>
      <c r="N1088" s="1855">
        <v>0</v>
      </c>
      <c r="O1088" s="1855">
        <v>0</v>
      </c>
    </row>
    <row r="1089" spans="3:15">
      <c r="C1089" s="1861" t="s">
        <v>4878</v>
      </c>
      <c r="D1089" s="1858">
        <v>1</v>
      </c>
      <c r="E1089" s="1858">
        <v>1</v>
      </c>
      <c r="F1089" s="1859">
        <v>2</v>
      </c>
      <c r="G1089" s="1872" t="s">
        <v>4878</v>
      </c>
      <c r="H1089" s="1856">
        <v>1</v>
      </c>
      <c r="I1089" s="1856">
        <v>1</v>
      </c>
      <c r="J1089" s="1873">
        <v>2</v>
      </c>
      <c r="K1089" s="1860"/>
      <c r="L1089" s="1854">
        <v>13097080402</v>
      </c>
      <c r="M1089" s="1855">
        <v>1</v>
      </c>
      <c r="N1089" s="1855">
        <v>1</v>
      </c>
      <c r="O1089" s="1855">
        <v>2</v>
      </c>
    </row>
    <row r="1090" spans="3:15">
      <c r="C1090" s="1861" t="s">
        <v>4879</v>
      </c>
      <c r="D1090" s="1858">
        <v>1</v>
      </c>
      <c r="E1090" s="1858">
        <v>1</v>
      </c>
      <c r="F1090" s="1859">
        <v>2</v>
      </c>
      <c r="G1090" s="1872" t="s">
        <v>4879</v>
      </c>
      <c r="H1090" s="1856">
        <v>1</v>
      </c>
      <c r="I1090" s="1856">
        <v>1</v>
      </c>
      <c r="J1090" s="1873">
        <v>2</v>
      </c>
      <c r="K1090" s="1860"/>
      <c r="L1090" s="1854">
        <v>13097080403</v>
      </c>
      <c r="M1090" s="1855">
        <v>1</v>
      </c>
      <c r="N1090" s="1855">
        <v>1</v>
      </c>
      <c r="O1090" s="1855">
        <v>2</v>
      </c>
    </row>
    <row r="1091" spans="3:15">
      <c r="C1091" s="1861" t="s">
        <v>4880</v>
      </c>
      <c r="D1091" s="1858">
        <v>0</v>
      </c>
      <c r="E1091" s="1858">
        <v>0</v>
      </c>
      <c r="F1091" s="1859">
        <v>0</v>
      </c>
      <c r="G1091" s="1872" t="s">
        <v>4880</v>
      </c>
      <c r="H1091" s="1856">
        <v>0</v>
      </c>
      <c r="I1091" s="1856">
        <v>0</v>
      </c>
      <c r="J1091" s="1873">
        <v>0</v>
      </c>
      <c r="K1091" s="1860"/>
      <c r="L1091" s="1854">
        <v>13097080404</v>
      </c>
      <c r="M1091" s="1855">
        <v>0</v>
      </c>
      <c r="N1091" s="1855">
        <v>0</v>
      </c>
      <c r="O1091" s="1855">
        <v>0</v>
      </c>
    </row>
    <row r="1092" spans="3:15">
      <c r="C1092" s="1861" t="s">
        <v>4881</v>
      </c>
      <c r="D1092" s="1858">
        <v>0</v>
      </c>
      <c r="E1092" s="1858">
        <v>1</v>
      </c>
      <c r="F1092" s="1859">
        <v>1</v>
      </c>
      <c r="G1092" s="1872" t="s">
        <v>4881</v>
      </c>
      <c r="H1092" s="1856">
        <v>0</v>
      </c>
      <c r="I1092" s="1856">
        <v>0</v>
      </c>
      <c r="J1092" s="1873">
        <v>0</v>
      </c>
      <c r="K1092" s="1860"/>
      <c r="L1092" s="1854">
        <v>13097080505</v>
      </c>
      <c r="M1092" s="1855">
        <v>0</v>
      </c>
      <c r="N1092" s="1855">
        <v>1</v>
      </c>
      <c r="O1092" s="1855">
        <v>1</v>
      </c>
    </row>
    <row r="1093" spans="3:15">
      <c r="C1093" s="1861" t="s">
        <v>4882</v>
      </c>
      <c r="D1093" s="1858">
        <v>1</v>
      </c>
      <c r="E1093" s="1858">
        <v>1</v>
      </c>
      <c r="F1093" s="1859">
        <v>2</v>
      </c>
      <c r="G1093" s="1872" t="s">
        <v>4882</v>
      </c>
      <c r="H1093" s="1856">
        <v>0</v>
      </c>
      <c r="I1093" s="1856">
        <v>0</v>
      </c>
      <c r="J1093" s="1873">
        <v>0</v>
      </c>
      <c r="K1093" s="1860"/>
      <c r="L1093" s="1854">
        <v>13097080506</v>
      </c>
      <c r="M1093" s="1855">
        <v>1</v>
      </c>
      <c r="N1093" s="1855">
        <v>1</v>
      </c>
      <c r="O1093" s="1855">
        <v>2</v>
      </c>
    </row>
    <row r="1094" spans="3:15">
      <c r="C1094" s="1861" t="s">
        <v>4883</v>
      </c>
      <c r="D1094" s="1858">
        <v>1</v>
      </c>
      <c r="E1094" s="1858">
        <v>1</v>
      </c>
      <c r="F1094" s="1859">
        <v>2</v>
      </c>
      <c r="G1094" s="1872" t="s">
        <v>4883</v>
      </c>
      <c r="H1094" s="1856">
        <v>1</v>
      </c>
      <c r="I1094" s="1856">
        <v>0</v>
      </c>
      <c r="J1094" s="1873">
        <v>1</v>
      </c>
      <c r="K1094" s="1860"/>
      <c r="L1094" s="1854">
        <v>13097080507</v>
      </c>
      <c r="M1094" s="1855">
        <v>1</v>
      </c>
      <c r="N1094" s="1855">
        <v>1</v>
      </c>
      <c r="O1094" s="1855">
        <v>2</v>
      </c>
    </row>
    <row r="1095" spans="3:15">
      <c r="C1095" s="1861" t="s">
        <v>4884</v>
      </c>
      <c r="D1095" s="1858">
        <v>0</v>
      </c>
      <c r="E1095" s="1858">
        <v>1</v>
      </c>
      <c r="F1095" s="1859">
        <v>1</v>
      </c>
      <c r="G1095" s="1872" t="s">
        <v>4884</v>
      </c>
      <c r="H1095" s="1856">
        <v>0</v>
      </c>
      <c r="I1095" s="1856">
        <v>0</v>
      </c>
      <c r="J1095" s="1873">
        <v>0</v>
      </c>
      <c r="K1095" s="1860"/>
      <c r="L1095" s="1854">
        <v>13097080508</v>
      </c>
      <c r="M1095" s="1855">
        <v>0</v>
      </c>
      <c r="N1095" s="1855">
        <v>1</v>
      </c>
      <c r="O1095" s="1855">
        <v>1</v>
      </c>
    </row>
    <row r="1096" spans="3:15">
      <c r="C1096" s="1861" t="s">
        <v>4885</v>
      </c>
      <c r="D1096" s="1858">
        <v>1</v>
      </c>
      <c r="E1096" s="1858">
        <v>1</v>
      </c>
      <c r="F1096" s="1859">
        <v>2</v>
      </c>
      <c r="G1096" s="1872" t="s">
        <v>4885</v>
      </c>
      <c r="H1096" s="1856">
        <v>1</v>
      </c>
      <c r="I1096" s="1856">
        <v>1</v>
      </c>
      <c r="J1096" s="1873">
        <v>2</v>
      </c>
      <c r="K1096" s="1860"/>
      <c r="L1096" s="1854">
        <v>13097080509</v>
      </c>
      <c r="M1096" s="1855">
        <v>1</v>
      </c>
      <c r="N1096" s="1855">
        <v>1</v>
      </c>
      <c r="O1096" s="1855">
        <v>2</v>
      </c>
    </row>
    <row r="1097" spans="3:15">
      <c r="C1097" s="1861" t="s">
        <v>4886</v>
      </c>
      <c r="D1097" s="1858">
        <v>1</v>
      </c>
      <c r="E1097" s="1858">
        <v>1</v>
      </c>
      <c r="F1097" s="1859">
        <v>2</v>
      </c>
      <c r="G1097" s="1872" t="s">
        <v>4886</v>
      </c>
      <c r="H1097" s="1856">
        <v>0</v>
      </c>
      <c r="I1097" s="1856">
        <v>1</v>
      </c>
      <c r="J1097" s="1873">
        <v>1</v>
      </c>
      <c r="K1097" s="1860"/>
      <c r="L1097" s="1854">
        <v>13097080510</v>
      </c>
      <c r="M1097" s="1855">
        <v>1</v>
      </c>
      <c r="N1097" s="1855">
        <v>1</v>
      </c>
      <c r="O1097" s="1855">
        <v>2</v>
      </c>
    </row>
    <row r="1098" spans="3:15">
      <c r="C1098" s="1861" t="s">
        <v>4887</v>
      </c>
      <c r="D1098" s="1858">
        <v>1</v>
      </c>
      <c r="E1098" s="1858">
        <v>1</v>
      </c>
      <c r="F1098" s="1859">
        <v>2</v>
      </c>
      <c r="G1098" s="1872" t="s">
        <v>4887</v>
      </c>
      <c r="H1098" s="1856">
        <v>1</v>
      </c>
      <c r="I1098" s="1856">
        <v>1</v>
      </c>
      <c r="J1098" s="1873">
        <v>2</v>
      </c>
      <c r="K1098" s="1860"/>
      <c r="L1098" s="1854">
        <v>13097080511</v>
      </c>
      <c r="M1098" s="1855">
        <v>1</v>
      </c>
      <c r="N1098" s="1855">
        <v>1</v>
      </c>
      <c r="O1098" s="1855">
        <v>2</v>
      </c>
    </row>
    <row r="1099" spans="3:15">
      <c r="C1099" s="1861" t="s">
        <v>4888</v>
      </c>
      <c r="D1099" s="1858">
        <v>1</v>
      </c>
      <c r="E1099" s="1858">
        <v>1</v>
      </c>
      <c r="F1099" s="1859">
        <v>2</v>
      </c>
      <c r="G1099" s="1872" t="s">
        <v>4888</v>
      </c>
      <c r="H1099" s="1856">
        <v>1</v>
      </c>
      <c r="I1099" s="1856">
        <v>1</v>
      </c>
      <c r="J1099" s="1873">
        <v>1</v>
      </c>
      <c r="K1099" s="1860"/>
      <c r="L1099" s="1854">
        <v>13097080602</v>
      </c>
      <c r="M1099" s="1855">
        <v>1</v>
      </c>
      <c r="N1099" s="1855">
        <v>1</v>
      </c>
      <c r="O1099" s="1855">
        <v>2</v>
      </c>
    </row>
    <row r="1100" spans="3:15">
      <c r="C1100" s="1861" t="s">
        <v>4889</v>
      </c>
      <c r="D1100" s="1858">
        <v>1</v>
      </c>
      <c r="E1100" s="1858">
        <v>1</v>
      </c>
      <c r="F1100" s="1859">
        <v>2</v>
      </c>
      <c r="G1100" s="1872" t="s">
        <v>4889</v>
      </c>
      <c r="H1100" s="1856">
        <v>1</v>
      </c>
      <c r="I1100" s="1856">
        <v>0</v>
      </c>
      <c r="J1100" s="1873">
        <v>1</v>
      </c>
      <c r="K1100" s="1860"/>
      <c r="L1100" s="1854">
        <v>13097080603</v>
      </c>
      <c r="M1100" s="1855">
        <v>1</v>
      </c>
      <c r="N1100" s="1855">
        <v>1</v>
      </c>
      <c r="O1100" s="1855">
        <v>2</v>
      </c>
    </row>
    <row r="1101" spans="3:15">
      <c r="C1101" s="1861" t="s">
        <v>4890</v>
      </c>
      <c r="D1101" s="1858">
        <v>1</v>
      </c>
      <c r="E1101" s="1858">
        <v>1</v>
      </c>
      <c r="F1101" s="1859">
        <v>2</v>
      </c>
      <c r="G1101" s="1872" t="s">
        <v>4890</v>
      </c>
      <c r="H1101" s="1856">
        <v>1</v>
      </c>
      <c r="I1101" s="1856">
        <v>0</v>
      </c>
      <c r="J1101" s="1873">
        <v>1</v>
      </c>
      <c r="K1101" s="1860"/>
      <c r="L1101" s="1854">
        <v>13097080604</v>
      </c>
      <c r="M1101" s="1855">
        <v>1</v>
      </c>
      <c r="N1101" s="1855">
        <v>1</v>
      </c>
      <c r="O1101" s="1855">
        <v>2</v>
      </c>
    </row>
    <row r="1102" spans="3:15">
      <c r="C1102" s="1861" t="s">
        <v>4891</v>
      </c>
      <c r="D1102" s="1858">
        <v>0</v>
      </c>
      <c r="E1102" s="1858">
        <v>0</v>
      </c>
      <c r="F1102" s="1859">
        <v>0</v>
      </c>
      <c r="G1102" s="1872" t="s">
        <v>4891</v>
      </c>
      <c r="H1102" s="1856">
        <v>0</v>
      </c>
      <c r="I1102" s="1856">
        <v>0</v>
      </c>
      <c r="J1102" s="1873">
        <v>0</v>
      </c>
      <c r="K1102" s="1860"/>
      <c r="L1102" s="1854">
        <v>13099090100</v>
      </c>
      <c r="M1102" s="1855">
        <v>0</v>
      </c>
      <c r="N1102" s="1855">
        <v>0</v>
      </c>
      <c r="O1102" s="1855">
        <v>0</v>
      </c>
    </row>
    <row r="1103" spans="3:15">
      <c r="C1103" s="1861" t="s">
        <v>4892</v>
      </c>
      <c r="D1103" s="1858">
        <v>0</v>
      </c>
      <c r="E1103" s="1858">
        <v>0</v>
      </c>
      <c r="F1103" s="1859">
        <v>0</v>
      </c>
      <c r="G1103" s="1872" t="s">
        <v>4892</v>
      </c>
      <c r="H1103" s="1856">
        <v>0</v>
      </c>
      <c r="I1103" s="1856">
        <v>0</v>
      </c>
      <c r="J1103" s="1873">
        <v>0</v>
      </c>
      <c r="K1103" s="1860"/>
      <c r="L1103" s="1854">
        <v>13099090200</v>
      </c>
      <c r="M1103" s="1855">
        <v>0</v>
      </c>
      <c r="N1103" s="1855">
        <v>0</v>
      </c>
      <c r="O1103" s="1855">
        <v>0</v>
      </c>
    </row>
    <row r="1104" spans="3:15">
      <c r="C1104" s="1861" t="s">
        <v>4893</v>
      </c>
      <c r="D1104" s="1858">
        <v>1</v>
      </c>
      <c r="E1104" s="1858">
        <v>0</v>
      </c>
      <c r="F1104" s="1859">
        <v>1</v>
      </c>
      <c r="G1104" s="1872" t="s">
        <v>4893</v>
      </c>
      <c r="H1104" s="1856">
        <v>0</v>
      </c>
      <c r="I1104" s="1856">
        <v>0</v>
      </c>
      <c r="J1104" s="1873">
        <v>0</v>
      </c>
      <c r="K1104" s="1860"/>
      <c r="L1104" s="1854">
        <v>13099090300</v>
      </c>
      <c r="M1104" s="1855">
        <v>1</v>
      </c>
      <c r="N1104" s="1855">
        <v>0</v>
      </c>
      <c r="O1104" s="1855">
        <v>1</v>
      </c>
    </row>
    <row r="1105" spans="3:15">
      <c r="C1105" s="1861" t="s">
        <v>4894</v>
      </c>
      <c r="D1105" s="1858">
        <v>0</v>
      </c>
      <c r="E1105" s="1858">
        <v>0</v>
      </c>
      <c r="F1105" s="1859">
        <v>0</v>
      </c>
      <c r="G1105" s="1872" t="s">
        <v>4894</v>
      </c>
      <c r="H1105" s="1856">
        <v>0</v>
      </c>
      <c r="I1105" s="1856">
        <v>0</v>
      </c>
      <c r="J1105" s="1873">
        <v>0</v>
      </c>
      <c r="K1105" s="1860"/>
      <c r="L1105" s="1854">
        <v>13099090400</v>
      </c>
      <c r="M1105" s="1855">
        <v>0</v>
      </c>
      <c r="N1105" s="1855">
        <v>0</v>
      </c>
      <c r="O1105" s="1855">
        <v>0</v>
      </c>
    </row>
    <row r="1106" spans="3:15">
      <c r="C1106" s="1861" t="s">
        <v>4895</v>
      </c>
      <c r="D1106" s="1858">
        <v>0</v>
      </c>
      <c r="E1106" s="1858">
        <v>0</v>
      </c>
      <c r="F1106" s="1859">
        <v>0</v>
      </c>
      <c r="G1106" s="1872" t="s">
        <v>4895</v>
      </c>
      <c r="H1106" s="1856">
        <v>0</v>
      </c>
      <c r="I1106" s="1856">
        <v>0</v>
      </c>
      <c r="J1106" s="1873">
        <v>0</v>
      </c>
      <c r="K1106" s="1860"/>
      <c r="L1106" s="1854">
        <v>13099090500</v>
      </c>
      <c r="M1106" s="1855">
        <v>0</v>
      </c>
      <c r="N1106" s="1855">
        <v>0</v>
      </c>
      <c r="O1106" s="1855">
        <v>0</v>
      </c>
    </row>
    <row r="1107" spans="3:15">
      <c r="C1107" s="1861" t="s">
        <v>4896</v>
      </c>
      <c r="D1107" s="1858">
        <v>0</v>
      </c>
      <c r="E1107" s="1858">
        <v>0</v>
      </c>
      <c r="F1107" s="1859">
        <v>0</v>
      </c>
      <c r="G1107" s="1872" t="s">
        <v>4896</v>
      </c>
      <c r="H1107" s="1856">
        <v>0</v>
      </c>
      <c r="I1107" s="1856">
        <v>0</v>
      </c>
      <c r="J1107" s="1873">
        <v>0</v>
      </c>
      <c r="K1107" s="1860"/>
      <c r="L1107" s="1854">
        <v>13101880100</v>
      </c>
      <c r="M1107" s="1855">
        <v>0</v>
      </c>
      <c r="N1107" s="1855">
        <v>0</v>
      </c>
      <c r="O1107" s="1855">
        <v>0</v>
      </c>
    </row>
    <row r="1108" spans="3:15">
      <c r="C1108" s="1861" t="s">
        <v>4897</v>
      </c>
      <c r="D1108" s="1858">
        <v>0</v>
      </c>
      <c r="E1108" s="1858">
        <v>0</v>
      </c>
      <c r="F1108" s="1859">
        <v>0</v>
      </c>
      <c r="G1108" s="1872" t="s">
        <v>4897</v>
      </c>
      <c r="H1108" s="1856">
        <v>0</v>
      </c>
      <c r="I1108" s="1856">
        <v>0</v>
      </c>
      <c r="J1108" s="1873">
        <v>0</v>
      </c>
      <c r="K1108" s="1860"/>
      <c r="L1108" s="1854">
        <v>13101880200</v>
      </c>
      <c r="M1108" s="1855">
        <v>0</v>
      </c>
      <c r="N1108" s="1855">
        <v>0</v>
      </c>
      <c r="O1108" s="1855">
        <v>0</v>
      </c>
    </row>
    <row r="1109" spans="3:15">
      <c r="C1109" s="1861" t="s">
        <v>4898</v>
      </c>
      <c r="D1109" s="1858">
        <v>1</v>
      </c>
      <c r="E1109" s="1858">
        <v>1</v>
      </c>
      <c r="F1109" s="1859">
        <v>2</v>
      </c>
      <c r="G1109" s="1872" t="s">
        <v>4898</v>
      </c>
      <c r="H1109" s="1856">
        <v>0</v>
      </c>
      <c r="I1109" s="1856">
        <v>0</v>
      </c>
      <c r="J1109" s="1873">
        <v>0</v>
      </c>
      <c r="K1109" s="1860"/>
      <c r="L1109" s="1854">
        <v>13103030100</v>
      </c>
      <c r="M1109" s="1855">
        <v>1</v>
      </c>
      <c r="N1109" s="1855">
        <v>1</v>
      </c>
      <c r="O1109" s="1855">
        <v>2</v>
      </c>
    </row>
    <row r="1110" spans="3:15">
      <c r="C1110" s="1861" t="s">
        <v>4899</v>
      </c>
      <c r="D1110" s="1858">
        <v>1</v>
      </c>
      <c r="E1110" s="1858">
        <v>1</v>
      </c>
      <c r="F1110" s="1859">
        <v>2</v>
      </c>
      <c r="G1110" s="1872" t="s">
        <v>4899</v>
      </c>
      <c r="H1110" s="1856">
        <v>1</v>
      </c>
      <c r="I1110" s="1856">
        <v>0</v>
      </c>
      <c r="J1110" s="1873">
        <v>1</v>
      </c>
      <c r="K1110" s="1860"/>
      <c r="L1110" s="1854">
        <v>13103030202</v>
      </c>
      <c r="M1110" s="1855">
        <v>1</v>
      </c>
      <c r="N1110" s="1855">
        <v>1</v>
      </c>
      <c r="O1110" s="1855">
        <v>2</v>
      </c>
    </row>
    <row r="1111" spans="3:15">
      <c r="C1111" s="1861" t="s">
        <v>4900</v>
      </c>
      <c r="D1111" s="1858">
        <v>1</v>
      </c>
      <c r="E1111" s="1858">
        <v>1</v>
      </c>
      <c r="F1111" s="1859">
        <v>2</v>
      </c>
      <c r="G1111" s="1872" t="s">
        <v>4900</v>
      </c>
      <c r="H1111" s="1856">
        <v>1</v>
      </c>
      <c r="I1111" s="1856">
        <v>0</v>
      </c>
      <c r="J1111" s="1873">
        <v>1</v>
      </c>
      <c r="K1111" s="1860"/>
      <c r="L1111" s="1854">
        <v>13103030203</v>
      </c>
      <c r="M1111" s="1855">
        <v>1</v>
      </c>
      <c r="N1111" s="1855">
        <v>1</v>
      </c>
      <c r="O1111" s="1855">
        <v>2</v>
      </c>
    </row>
    <row r="1112" spans="3:15">
      <c r="C1112" s="1861" t="s">
        <v>4901</v>
      </c>
      <c r="D1112" s="1858">
        <v>0</v>
      </c>
      <c r="E1112" s="1858">
        <v>0</v>
      </c>
      <c r="F1112" s="1859">
        <v>0</v>
      </c>
      <c r="G1112" s="1872" t="s">
        <v>4901</v>
      </c>
      <c r="H1112" s="1856">
        <v>0</v>
      </c>
      <c r="I1112" s="1856">
        <v>1</v>
      </c>
      <c r="J1112" s="1873">
        <v>1</v>
      </c>
      <c r="K1112" s="1860"/>
      <c r="L1112" s="1854">
        <v>13103030204</v>
      </c>
      <c r="M1112" s="1855">
        <v>0</v>
      </c>
      <c r="N1112" s="1855">
        <v>1</v>
      </c>
      <c r="O1112" s="1855">
        <v>1</v>
      </c>
    </row>
    <row r="1113" spans="3:15">
      <c r="C1113" s="1861" t="s">
        <v>4902</v>
      </c>
      <c r="D1113" s="1858">
        <v>1</v>
      </c>
      <c r="E1113" s="1858">
        <v>1</v>
      </c>
      <c r="F1113" s="1859">
        <v>2</v>
      </c>
      <c r="G1113" s="1872" t="s">
        <v>4902</v>
      </c>
      <c r="H1113" s="1856">
        <v>1</v>
      </c>
      <c r="I1113" s="1856">
        <v>1</v>
      </c>
      <c r="J1113" s="1873">
        <v>2</v>
      </c>
      <c r="K1113" s="1860"/>
      <c r="L1113" s="1854">
        <v>13103030301</v>
      </c>
      <c r="M1113" s="1855">
        <v>1</v>
      </c>
      <c r="N1113" s="1855">
        <v>1</v>
      </c>
      <c r="O1113" s="1855">
        <v>2</v>
      </c>
    </row>
    <row r="1114" spans="3:15">
      <c r="C1114" s="1861" t="s">
        <v>4903</v>
      </c>
      <c r="D1114" s="1858">
        <v>0</v>
      </c>
      <c r="E1114" s="1858">
        <v>1</v>
      </c>
      <c r="F1114" s="1859">
        <v>1</v>
      </c>
      <c r="G1114" s="1872" t="s">
        <v>4903</v>
      </c>
      <c r="H1114" s="1856">
        <v>1</v>
      </c>
      <c r="I1114" s="1856">
        <v>0</v>
      </c>
      <c r="J1114" s="1873">
        <v>1</v>
      </c>
      <c r="K1114" s="1860"/>
      <c r="L1114" s="1854">
        <v>13103030303</v>
      </c>
      <c r="M1114" s="1855">
        <v>1</v>
      </c>
      <c r="N1114" s="1855">
        <v>1</v>
      </c>
      <c r="O1114" s="1855">
        <v>1</v>
      </c>
    </row>
    <row r="1115" spans="3:15">
      <c r="C1115" s="1861" t="s">
        <v>4904</v>
      </c>
      <c r="D1115" s="1858">
        <v>1</v>
      </c>
      <c r="E1115" s="1858">
        <v>1</v>
      </c>
      <c r="F1115" s="1859">
        <v>2</v>
      </c>
      <c r="G1115" s="1872" t="s">
        <v>4904</v>
      </c>
      <c r="H1115" s="1856">
        <v>1</v>
      </c>
      <c r="I1115" s="1856">
        <v>0</v>
      </c>
      <c r="J1115" s="1873">
        <v>1</v>
      </c>
      <c r="K1115" s="1860"/>
      <c r="L1115" s="1854">
        <v>13103030304</v>
      </c>
      <c r="M1115" s="1855">
        <v>1</v>
      </c>
      <c r="N1115" s="1855">
        <v>1</v>
      </c>
      <c r="O1115" s="1855">
        <v>2</v>
      </c>
    </row>
    <row r="1116" spans="3:15">
      <c r="C1116" s="1861" t="s">
        <v>4905</v>
      </c>
      <c r="D1116" s="1858">
        <v>1</v>
      </c>
      <c r="E1116" s="1858">
        <v>1</v>
      </c>
      <c r="F1116" s="1859">
        <v>2</v>
      </c>
      <c r="G1116" s="1872" t="s">
        <v>4905</v>
      </c>
      <c r="H1116" s="1856">
        <v>1</v>
      </c>
      <c r="I1116" s="1856">
        <v>1</v>
      </c>
      <c r="J1116" s="1873">
        <v>2</v>
      </c>
      <c r="K1116" s="1860"/>
      <c r="L1116" s="1854">
        <v>13103030305</v>
      </c>
      <c r="M1116" s="1855">
        <v>1</v>
      </c>
      <c r="N1116" s="1855">
        <v>1</v>
      </c>
      <c r="O1116" s="1855">
        <v>2</v>
      </c>
    </row>
    <row r="1117" spans="3:15">
      <c r="C1117" s="1861" t="s">
        <v>4906</v>
      </c>
      <c r="D1117" s="1858">
        <v>1</v>
      </c>
      <c r="E1117" s="1858">
        <v>1</v>
      </c>
      <c r="F1117" s="1859">
        <v>2</v>
      </c>
      <c r="G1117" s="1872" t="s">
        <v>4906</v>
      </c>
      <c r="H1117" s="1856">
        <v>1</v>
      </c>
      <c r="I1117" s="1856">
        <v>1</v>
      </c>
      <c r="J1117" s="1873">
        <v>2</v>
      </c>
      <c r="K1117" s="1860"/>
      <c r="L1117" s="1854">
        <v>13103030401</v>
      </c>
      <c r="M1117" s="1855">
        <v>1</v>
      </c>
      <c r="N1117" s="1855">
        <v>1</v>
      </c>
      <c r="O1117" s="1855">
        <v>2</v>
      </c>
    </row>
    <row r="1118" spans="3:15">
      <c r="C1118" s="1861" t="s">
        <v>4907</v>
      </c>
      <c r="D1118" s="1858">
        <v>1</v>
      </c>
      <c r="E1118" s="1858">
        <v>1</v>
      </c>
      <c r="F1118" s="1859">
        <v>2</v>
      </c>
      <c r="G1118" s="1872" t="s">
        <v>4907</v>
      </c>
      <c r="H1118" s="1856">
        <v>1</v>
      </c>
      <c r="I1118" s="1856">
        <v>1</v>
      </c>
      <c r="J1118" s="1873">
        <v>2</v>
      </c>
      <c r="K1118" s="1860"/>
      <c r="L1118" s="1854">
        <v>13103030402</v>
      </c>
      <c r="M1118" s="1855">
        <v>1</v>
      </c>
      <c r="N1118" s="1855">
        <v>1</v>
      </c>
      <c r="O1118" s="1855">
        <v>2</v>
      </c>
    </row>
    <row r="1119" spans="3:15">
      <c r="C1119" s="1861" t="s">
        <v>4908</v>
      </c>
      <c r="D1119" s="1858">
        <v>0</v>
      </c>
      <c r="E1119" s="1858">
        <v>0</v>
      </c>
      <c r="F1119" s="1859">
        <v>0</v>
      </c>
      <c r="G1119" s="1872" t="s">
        <v>4908</v>
      </c>
      <c r="H1119" s="1856">
        <v>0</v>
      </c>
      <c r="I1119" s="1856">
        <v>0</v>
      </c>
      <c r="J1119" s="1873">
        <v>0</v>
      </c>
      <c r="K1119" s="1860"/>
      <c r="L1119" s="1854">
        <v>13105000100</v>
      </c>
      <c r="M1119" s="1855">
        <v>0</v>
      </c>
      <c r="N1119" s="1855">
        <v>0</v>
      </c>
      <c r="O1119" s="1855">
        <v>0</v>
      </c>
    </row>
    <row r="1120" spans="3:15">
      <c r="C1120" s="1861" t="s">
        <v>4909</v>
      </c>
      <c r="D1120" s="1858">
        <v>0</v>
      </c>
      <c r="E1120" s="1858">
        <v>0</v>
      </c>
      <c r="F1120" s="1859">
        <v>0</v>
      </c>
      <c r="G1120" s="1872" t="s">
        <v>4909</v>
      </c>
      <c r="H1120" s="1856">
        <v>0</v>
      </c>
      <c r="I1120" s="1856">
        <v>0</v>
      </c>
      <c r="J1120" s="1873">
        <v>0</v>
      </c>
      <c r="K1120" s="1860"/>
      <c r="L1120" s="1854">
        <v>13105000200</v>
      </c>
      <c r="M1120" s="1855">
        <v>0</v>
      </c>
      <c r="N1120" s="1855">
        <v>0</v>
      </c>
      <c r="O1120" s="1855">
        <v>0</v>
      </c>
    </row>
    <row r="1121" spans="3:15">
      <c r="C1121" s="1861" t="s">
        <v>4910</v>
      </c>
      <c r="D1121" s="1858">
        <v>0</v>
      </c>
      <c r="E1121" s="1858">
        <v>0</v>
      </c>
      <c r="F1121" s="1859">
        <v>0</v>
      </c>
      <c r="G1121" s="1872" t="s">
        <v>4910</v>
      </c>
      <c r="H1121" s="1856">
        <v>0</v>
      </c>
      <c r="I1121" s="1856">
        <v>0</v>
      </c>
      <c r="J1121" s="1873">
        <v>0</v>
      </c>
      <c r="K1121" s="1860"/>
      <c r="L1121" s="1854">
        <v>13105000300</v>
      </c>
      <c r="M1121" s="1855">
        <v>0</v>
      </c>
      <c r="N1121" s="1855">
        <v>0</v>
      </c>
      <c r="O1121" s="1855">
        <v>0</v>
      </c>
    </row>
    <row r="1122" spans="3:15">
      <c r="C1122" s="1861" t="s">
        <v>4911</v>
      </c>
      <c r="D1122" s="1858">
        <v>0</v>
      </c>
      <c r="E1122" s="1858">
        <v>0</v>
      </c>
      <c r="F1122" s="1859">
        <v>0</v>
      </c>
      <c r="G1122" s="1872" t="s">
        <v>4911</v>
      </c>
      <c r="H1122" s="1856">
        <v>0</v>
      </c>
      <c r="I1122" s="1856">
        <v>0</v>
      </c>
      <c r="J1122" s="1873">
        <v>0</v>
      </c>
      <c r="K1122" s="1860"/>
      <c r="L1122" s="1854">
        <v>13105000400</v>
      </c>
      <c r="M1122" s="1855">
        <v>0</v>
      </c>
      <c r="N1122" s="1855">
        <v>0</v>
      </c>
      <c r="O1122" s="1855">
        <v>0</v>
      </c>
    </row>
    <row r="1123" spans="3:15">
      <c r="C1123" s="1861" t="s">
        <v>4912</v>
      </c>
      <c r="D1123" s="1858">
        <v>0</v>
      </c>
      <c r="E1123" s="1858">
        <v>0</v>
      </c>
      <c r="F1123" s="1859">
        <v>0</v>
      </c>
      <c r="G1123" s="1872" t="s">
        <v>4912</v>
      </c>
      <c r="H1123" s="1856">
        <v>0</v>
      </c>
      <c r="I1123" s="1856">
        <v>1</v>
      </c>
      <c r="J1123" s="1873">
        <v>1</v>
      </c>
      <c r="K1123" s="1860"/>
      <c r="L1123" s="1854">
        <v>13105000500</v>
      </c>
      <c r="M1123" s="1855">
        <v>0</v>
      </c>
      <c r="N1123" s="1855">
        <v>1</v>
      </c>
      <c r="O1123" s="1855">
        <v>1</v>
      </c>
    </row>
    <row r="1124" spans="3:15">
      <c r="C1124" s="1861" t="s">
        <v>4913</v>
      </c>
      <c r="D1124" s="1858">
        <v>0</v>
      </c>
      <c r="E1124" s="1858">
        <v>0</v>
      </c>
      <c r="F1124" s="1859">
        <v>0</v>
      </c>
      <c r="G1124" s="1872" t="s">
        <v>4913</v>
      </c>
      <c r="H1124" s="1856">
        <v>0</v>
      </c>
      <c r="I1124" s="1856">
        <v>0</v>
      </c>
      <c r="J1124" s="1873">
        <v>0</v>
      </c>
      <c r="K1124" s="1860"/>
      <c r="L1124" s="1854">
        <v>13107970100</v>
      </c>
      <c r="M1124" s="1855">
        <v>0</v>
      </c>
      <c r="N1124" s="1855">
        <v>0</v>
      </c>
      <c r="O1124" s="1855">
        <v>0</v>
      </c>
    </row>
    <row r="1125" spans="3:15">
      <c r="C1125" s="1861" t="s">
        <v>4914</v>
      </c>
      <c r="D1125" s="1858">
        <v>0</v>
      </c>
      <c r="E1125" s="1858">
        <v>0</v>
      </c>
      <c r="F1125" s="1859">
        <v>0</v>
      </c>
      <c r="G1125" s="1872" t="s">
        <v>4914</v>
      </c>
      <c r="H1125" s="1856">
        <v>0</v>
      </c>
      <c r="I1125" s="1856">
        <v>0</v>
      </c>
      <c r="J1125" s="1873">
        <v>0</v>
      </c>
      <c r="K1125" s="1860"/>
      <c r="L1125" s="1854">
        <v>13107970200</v>
      </c>
      <c r="M1125" s="1855">
        <v>0</v>
      </c>
      <c r="N1125" s="1855">
        <v>0</v>
      </c>
      <c r="O1125" s="1855">
        <v>0</v>
      </c>
    </row>
    <row r="1126" spans="3:15">
      <c r="C1126" s="1861" t="s">
        <v>4915</v>
      </c>
      <c r="D1126" s="1858">
        <v>0</v>
      </c>
      <c r="E1126" s="1858">
        <v>0</v>
      </c>
      <c r="F1126" s="1859">
        <v>0</v>
      </c>
      <c r="G1126" s="1872" t="s">
        <v>4915</v>
      </c>
      <c r="H1126" s="1856">
        <v>0</v>
      </c>
      <c r="I1126" s="1856">
        <v>0</v>
      </c>
      <c r="J1126" s="1873">
        <v>0</v>
      </c>
      <c r="K1126" s="1860"/>
      <c r="L1126" s="1854">
        <v>13107970300</v>
      </c>
      <c r="M1126" s="1855">
        <v>0</v>
      </c>
      <c r="N1126" s="1855">
        <v>0</v>
      </c>
      <c r="O1126" s="1855">
        <v>0</v>
      </c>
    </row>
    <row r="1127" spans="3:15">
      <c r="C1127" s="1861" t="s">
        <v>4916</v>
      </c>
      <c r="D1127" s="1858">
        <v>0</v>
      </c>
      <c r="E1127" s="1858">
        <v>0</v>
      </c>
      <c r="F1127" s="1859">
        <v>0</v>
      </c>
      <c r="G1127" s="1872" t="s">
        <v>4916</v>
      </c>
      <c r="H1127" s="1856">
        <v>0</v>
      </c>
      <c r="I1127" s="1856">
        <v>0</v>
      </c>
      <c r="J1127" s="1873">
        <v>0</v>
      </c>
      <c r="K1127" s="1860"/>
      <c r="L1127" s="1854">
        <v>13107970400</v>
      </c>
      <c r="M1127" s="1855">
        <v>0</v>
      </c>
      <c r="N1127" s="1855">
        <v>0</v>
      </c>
      <c r="O1127" s="1855">
        <v>0</v>
      </c>
    </row>
    <row r="1128" spans="3:15">
      <c r="C1128" s="1861" t="s">
        <v>4917</v>
      </c>
      <c r="D1128" s="1858">
        <v>0</v>
      </c>
      <c r="E1128" s="1858">
        <v>0</v>
      </c>
      <c r="F1128" s="1859">
        <v>0</v>
      </c>
      <c r="G1128" s="1872" t="s">
        <v>4917</v>
      </c>
      <c r="H1128" s="1856">
        <v>0</v>
      </c>
      <c r="I1128" s="1856">
        <v>0</v>
      </c>
      <c r="J1128" s="1873">
        <v>0</v>
      </c>
      <c r="K1128" s="1860"/>
      <c r="L1128" s="1854">
        <v>13107970500</v>
      </c>
      <c r="M1128" s="1855">
        <v>0</v>
      </c>
      <c r="N1128" s="1855">
        <v>0</v>
      </c>
      <c r="O1128" s="1855">
        <v>0</v>
      </c>
    </row>
    <row r="1129" spans="3:15">
      <c r="C1129" s="1861" t="s">
        <v>4918</v>
      </c>
      <c r="D1129" s="1858">
        <v>0</v>
      </c>
      <c r="E1129" s="1858">
        <v>0</v>
      </c>
      <c r="F1129" s="1859">
        <v>0</v>
      </c>
      <c r="G1129" s="1872" t="s">
        <v>4918</v>
      </c>
      <c r="H1129" s="1856">
        <v>0</v>
      </c>
      <c r="I1129" s="1856">
        <v>0</v>
      </c>
      <c r="J1129" s="1873">
        <v>0</v>
      </c>
      <c r="K1129" s="1860"/>
      <c r="L1129" s="1854">
        <v>13107970600</v>
      </c>
      <c r="M1129" s="1855">
        <v>0</v>
      </c>
      <c r="N1129" s="1855">
        <v>0</v>
      </c>
      <c r="O1129" s="1855">
        <v>0</v>
      </c>
    </row>
    <row r="1130" spans="3:15">
      <c r="C1130" s="1861" t="s">
        <v>4919</v>
      </c>
      <c r="D1130" s="1858">
        <v>0</v>
      </c>
      <c r="E1130" s="1858">
        <v>0</v>
      </c>
      <c r="F1130" s="1859">
        <v>0</v>
      </c>
      <c r="G1130" s="1872" t="s">
        <v>4919</v>
      </c>
      <c r="H1130" s="1856">
        <v>0</v>
      </c>
      <c r="I1130" s="1856">
        <v>0</v>
      </c>
      <c r="J1130" s="1873">
        <v>0</v>
      </c>
      <c r="K1130" s="1860"/>
      <c r="L1130" s="1854">
        <v>13109970100</v>
      </c>
      <c r="M1130" s="1855">
        <v>0</v>
      </c>
      <c r="N1130" s="1855">
        <v>0</v>
      </c>
      <c r="O1130" s="1855">
        <v>0</v>
      </c>
    </row>
    <row r="1131" spans="3:15">
      <c r="C1131" s="1861" t="s">
        <v>4920</v>
      </c>
      <c r="D1131" s="1858">
        <v>0</v>
      </c>
      <c r="E1131" s="1858">
        <v>0</v>
      </c>
      <c r="F1131" s="1859">
        <v>0</v>
      </c>
      <c r="G1131" s="1872" t="s">
        <v>4920</v>
      </c>
      <c r="H1131" s="1856">
        <v>0</v>
      </c>
      <c r="I1131" s="1856">
        <v>0</v>
      </c>
      <c r="J1131" s="1873">
        <v>0</v>
      </c>
      <c r="K1131" s="1860"/>
      <c r="L1131" s="1854">
        <v>13109970200</v>
      </c>
      <c r="M1131" s="1855">
        <v>0</v>
      </c>
      <c r="N1131" s="1855">
        <v>0</v>
      </c>
      <c r="O1131" s="1855">
        <v>0</v>
      </c>
    </row>
    <row r="1132" spans="3:15">
      <c r="C1132" s="1861" t="s">
        <v>4921</v>
      </c>
      <c r="D1132" s="1858">
        <v>0</v>
      </c>
      <c r="E1132" s="1858">
        <v>0</v>
      </c>
      <c r="F1132" s="1859">
        <v>0</v>
      </c>
      <c r="G1132" s="1872" t="s">
        <v>4921</v>
      </c>
      <c r="H1132" s="1856">
        <v>0</v>
      </c>
      <c r="I1132" s="1856">
        <v>0</v>
      </c>
      <c r="J1132" s="1873">
        <v>0</v>
      </c>
      <c r="K1132" s="1860"/>
      <c r="L1132" s="1854">
        <v>13109970300</v>
      </c>
      <c r="M1132" s="1855">
        <v>0</v>
      </c>
      <c r="N1132" s="1855">
        <v>0</v>
      </c>
      <c r="O1132" s="1855">
        <v>0</v>
      </c>
    </row>
    <row r="1133" spans="3:15">
      <c r="C1133" s="1861" t="s">
        <v>4922</v>
      </c>
      <c r="D1133" s="1858">
        <v>0</v>
      </c>
      <c r="E1133" s="1858">
        <v>0</v>
      </c>
      <c r="F1133" s="1859">
        <v>0</v>
      </c>
      <c r="G1133" s="1872" t="s">
        <v>4922</v>
      </c>
      <c r="H1133" s="1856">
        <v>0</v>
      </c>
      <c r="I1133" s="1856">
        <v>0</v>
      </c>
      <c r="J1133" s="1873">
        <v>0</v>
      </c>
      <c r="K1133" s="1860"/>
      <c r="L1133" s="1854">
        <v>13111050100</v>
      </c>
      <c r="M1133" s="1855">
        <v>0</v>
      </c>
      <c r="N1133" s="1855">
        <v>0</v>
      </c>
      <c r="O1133" s="1855">
        <v>0</v>
      </c>
    </row>
    <row r="1134" spans="3:15">
      <c r="C1134" s="1861" t="s">
        <v>4923</v>
      </c>
      <c r="D1134" s="1858">
        <v>0</v>
      </c>
      <c r="E1134" s="1858">
        <v>0</v>
      </c>
      <c r="F1134" s="1859">
        <v>0</v>
      </c>
      <c r="G1134" s="1872" t="s">
        <v>4923</v>
      </c>
      <c r="H1134" s="1856">
        <v>0</v>
      </c>
      <c r="I1134" s="1856">
        <v>0</v>
      </c>
      <c r="J1134" s="1873">
        <v>0</v>
      </c>
      <c r="K1134" s="1860"/>
      <c r="L1134" s="1854">
        <v>13111050200</v>
      </c>
      <c r="M1134" s="1855">
        <v>0</v>
      </c>
      <c r="N1134" s="1855">
        <v>0</v>
      </c>
      <c r="O1134" s="1855">
        <v>0</v>
      </c>
    </row>
    <row r="1135" spans="3:15">
      <c r="C1135" s="1861" t="s">
        <v>4924</v>
      </c>
      <c r="D1135" s="1858">
        <v>0</v>
      </c>
      <c r="E1135" s="1858">
        <v>0</v>
      </c>
      <c r="F1135" s="1859">
        <v>0</v>
      </c>
      <c r="G1135" s="1872" t="s">
        <v>4924</v>
      </c>
      <c r="H1135" s="1856">
        <v>0</v>
      </c>
      <c r="I1135" s="1856" t="s">
        <v>3908</v>
      </c>
      <c r="J1135" s="1873">
        <v>0</v>
      </c>
      <c r="K1135" s="1860"/>
      <c r="L1135" s="1854">
        <v>13111050300</v>
      </c>
      <c r="M1135" s="1855">
        <v>0</v>
      </c>
      <c r="N1135" s="1855">
        <v>0</v>
      </c>
      <c r="O1135" s="1855">
        <v>0</v>
      </c>
    </row>
    <row r="1136" spans="3:15">
      <c r="C1136" s="1861" t="s">
        <v>4925</v>
      </c>
      <c r="D1136" s="1858">
        <v>0</v>
      </c>
      <c r="E1136" s="1858">
        <v>0</v>
      </c>
      <c r="F1136" s="1859">
        <v>0</v>
      </c>
      <c r="G1136" s="1872" t="s">
        <v>4925</v>
      </c>
      <c r="H1136" s="1856">
        <v>0</v>
      </c>
      <c r="I1136" s="1856">
        <v>1</v>
      </c>
      <c r="J1136" s="1873">
        <v>1</v>
      </c>
      <c r="K1136" s="1860"/>
      <c r="L1136" s="1854">
        <v>13111050400</v>
      </c>
      <c r="M1136" s="1855">
        <v>0</v>
      </c>
      <c r="N1136" s="1855">
        <v>1</v>
      </c>
      <c r="O1136" s="1855">
        <v>1</v>
      </c>
    </row>
    <row r="1137" spans="3:15">
      <c r="C1137" s="1861" t="s">
        <v>4926</v>
      </c>
      <c r="D1137" s="1858">
        <v>0</v>
      </c>
      <c r="E1137" s="1858">
        <v>0</v>
      </c>
      <c r="F1137" s="1859">
        <v>0</v>
      </c>
      <c r="G1137" s="1872" t="s">
        <v>4926</v>
      </c>
      <c r="H1137" s="1856">
        <v>1</v>
      </c>
      <c r="I1137" s="1856">
        <v>0</v>
      </c>
      <c r="J1137" s="1873">
        <v>1</v>
      </c>
      <c r="K1137" s="1860"/>
      <c r="L1137" s="1854">
        <v>13111050500</v>
      </c>
      <c r="M1137" s="1855">
        <v>1</v>
      </c>
      <c r="N1137" s="1855">
        <v>0</v>
      </c>
      <c r="O1137" s="1855">
        <v>1</v>
      </c>
    </row>
    <row r="1138" spans="3:15">
      <c r="C1138" s="1861" t="s">
        <v>4927</v>
      </c>
      <c r="D1138" s="1858">
        <v>1</v>
      </c>
      <c r="E1138" s="1858">
        <v>0</v>
      </c>
      <c r="F1138" s="1859">
        <v>1</v>
      </c>
      <c r="G1138" s="1872" t="s">
        <v>4927</v>
      </c>
      <c r="H1138" s="1856">
        <v>1</v>
      </c>
      <c r="I1138" s="1856">
        <v>1</v>
      </c>
      <c r="J1138" s="1873">
        <v>2</v>
      </c>
      <c r="K1138" s="1860"/>
      <c r="L1138" s="1854">
        <v>13113140101</v>
      </c>
      <c r="M1138" s="1855">
        <v>1</v>
      </c>
      <c r="N1138" s="1855">
        <v>1</v>
      </c>
      <c r="O1138" s="1855">
        <v>2</v>
      </c>
    </row>
    <row r="1139" spans="3:15">
      <c r="C1139" s="1861" t="s">
        <v>4928</v>
      </c>
      <c r="D1139" s="1858">
        <v>1</v>
      </c>
      <c r="E1139" s="1858">
        <v>1</v>
      </c>
      <c r="F1139" s="1859">
        <v>2</v>
      </c>
      <c r="G1139" s="1872" t="s">
        <v>4928</v>
      </c>
      <c r="H1139" s="1856">
        <v>1</v>
      </c>
      <c r="I1139" s="1856">
        <v>1</v>
      </c>
      <c r="J1139" s="1873">
        <v>2</v>
      </c>
      <c r="K1139" s="1860"/>
      <c r="L1139" s="1854">
        <v>13113140102</v>
      </c>
      <c r="M1139" s="1855">
        <v>1</v>
      </c>
      <c r="N1139" s="1855">
        <v>1</v>
      </c>
      <c r="O1139" s="1855">
        <v>2</v>
      </c>
    </row>
    <row r="1140" spans="3:15">
      <c r="C1140" s="1861" t="s">
        <v>4929</v>
      </c>
      <c r="D1140" s="1858">
        <v>1</v>
      </c>
      <c r="E1140" s="1858">
        <v>1</v>
      </c>
      <c r="F1140" s="1859">
        <v>2</v>
      </c>
      <c r="G1140" s="1872" t="s">
        <v>4929</v>
      </c>
      <c r="H1140" s="1856">
        <v>1</v>
      </c>
      <c r="I1140" s="1856">
        <v>1</v>
      </c>
      <c r="J1140" s="1873">
        <v>2</v>
      </c>
      <c r="K1140" s="1860"/>
      <c r="L1140" s="1854">
        <v>13113140203</v>
      </c>
      <c r="M1140" s="1855">
        <v>1</v>
      </c>
      <c r="N1140" s="1855">
        <v>1</v>
      </c>
      <c r="O1140" s="1855">
        <v>2</v>
      </c>
    </row>
    <row r="1141" spans="3:15">
      <c r="C1141" s="1861" t="s">
        <v>4930</v>
      </c>
      <c r="D1141" s="1858">
        <v>1</v>
      </c>
      <c r="E1141" s="1858">
        <v>1</v>
      </c>
      <c r="F1141" s="1859">
        <v>2</v>
      </c>
      <c r="G1141" s="1872" t="s">
        <v>4930</v>
      </c>
      <c r="H1141" s="1856">
        <v>1</v>
      </c>
      <c r="I1141" s="1856">
        <v>1</v>
      </c>
      <c r="J1141" s="1873">
        <v>2</v>
      </c>
      <c r="K1141" s="1860"/>
      <c r="L1141" s="1854">
        <v>13113140204</v>
      </c>
      <c r="M1141" s="1855">
        <v>1</v>
      </c>
      <c r="N1141" s="1855">
        <v>1</v>
      </c>
      <c r="O1141" s="1855">
        <v>2</v>
      </c>
    </row>
    <row r="1142" spans="3:15">
      <c r="C1142" s="1861" t="s">
        <v>4931</v>
      </c>
      <c r="D1142" s="1858">
        <v>1</v>
      </c>
      <c r="E1142" s="1858">
        <v>1</v>
      </c>
      <c r="F1142" s="1859">
        <v>2</v>
      </c>
      <c r="G1142" s="1872" t="s">
        <v>4931</v>
      </c>
      <c r="H1142" s="1856">
        <v>1</v>
      </c>
      <c r="I1142" s="1856">
        <v>1</v>
      </c>
      <c r="J1142" s="1873">
        <v>2</v>
      </c>
      <c r="K1142" s="1860"/>
      <c r="L1142" s="1854">
        <v>13113140206</v>
      </c>
      <c r="M1142" s="1855">
        <v>1</v>
      </c>
      <c r="N1142" s="1855">
        <v>1</v>
      </c>
      <c r="O1142" s="1855">
        <v>2</v>
      </c>
    </row>
    <row r="1143" spans="3:15">
      <c r="C1143" s="1861" t="s">
        <v>4932</v>
      </c>
      <c r="D1143" s="1858">
        <v>1</v>
      </c>
      <c r="E1143" s="1858">
        <v>1</v>
      </c>
      <c r="F1143" s="1859">
        <v>2</v>
      </c>
      <c r="G1143" s="1872" t="s">
        <v>4932</v>
      </c>
      <c r="H1143" s="1856">
        <v>1</v>
      </c>
      <c r="I1143" s="1856">
        <v>1</v>
      </c>
      <c r="J1143" s="1873">
        <v>2</v>
      </c>
      <c r="K1143" s="1860"/>
      <c r="L1143" s="1854">
        <v>13113140207</v>
      </c>
      <c r="M1143" s="1855">
        <v>1</v>
      </c>
      <c r="N1143" s="1855">
        <v>1</v>
      </c>
      <c r="O1143" s="1855">
        <v>2</v>
      </c>
    </row>
    <row r="1144" spans="3:15">
      <c r="C1144" s="1861" t="s">
        <v>4933</v>
      </c>
      <c r="D1144" s="1858">
        <v>1</v>
      </c>
      <c r="E1144" s="1858">
        <v>1</v>
      </c>
      <c r="F1144" s="1859">
        <v>2</v>
      </c>
      <c r="G1144" s="1872" t="s">
        <v>4933</v>
      </c>
      <c r="H1144" s="1856">
        <v>1</v>
      </c>
      <c r="I1144" s="1856">
        <v>1</v>
      </c>
      <c r="J1144" s="1873">
        <v>2</v>
      </c>
      <c r="K1144" s="1860"/>
      <c r="L1144" s="1854">
        <v>13113140208</v>
      </c>
      <c r="M1144" s="1855">
        <v>1</v>
      </c>
      <c r="N1144" s="1855">
        <v>1</v>
      </c>
      <c r="O1144" s="1855">
        <v>2</v>
      </c>
    </row>
    <row r="1145" spans="3:15">
      <c r="C1145" s="1861" t="s">
        <v>4934</v>
      </c>
      <c r="D1145" s="1858">
        <v>1</v>
      </c>
      <c r="E1145" s="1858">
        <v>1</v>
      </c>
      <c r="F1145" s="1859">
        <v>2</v>
      </c>
      <c r="G1145" s="1872" t="s">
        <v>4934</v>
      </c>
      <c r="H1145" s="1856">
        <v>1</v>
      </c>
      <c r="I1145" s="1856">
        <v>1</v>
      </c>
      <c r="J1145" s="1873">
        <v>2</v>
      </c>
      <c r="K1145" s="1860"/>
      <c r="L1145" s="1854">
        <v>13113140303</v>
      </c>
      <c r="M1145" s="1855">
        <v>1</v>
      </c>
      <c r="N1145" s="1855">
        <v>1</v>
      </c>
      <c r="O1145" s="1855">
        <v>2</v>
      </c>
    </row>
    <row r="1146" spans="3:15">
      <c r="C1146" s="1861" t="s">
        <v>4935</v>
      </c>
      <c r="D1146" s="1858">
        <v>1</v>
      </c>
      <c r="E1146" s="1858">
        <v>1</v>
      </c>
      <c r="F1146" s="1859">
        <v>2</v>
      </c>
      <c r="G1146" s="1872" t="s">
        <v>4935</v>
      </c>
      <c r="H1146" s="1856">
        <v>1</v>
      </c>
      <c r="I1146" s="1856">
        <v>1</v>
      </c>
      <c r="J1146" s="1873">
        <v>2</v>
      </c>
      <c r="K1146" s="1860"/>
      <c r="L1146" s="1854">
        <v>13113140304</v>
      </c>
      <c r="M1146" s="1855">
        <v>1</v>
      </c>
      <c r="N1146" s="1855">
        <v>1</v>
      </c>
      <c r="O1146" s="1855">
        <v>2</v>
      </c>
    </row>
    <row r="1147" spans="3:15">
      <c r="C1147" s="1861" t="s">
        <v>4936</v>
      </c>
      <c r="D1147" s="1858">
        <v>1</v>
      </c>
      <c r="E1147" s="1858">
        <v>1</v>
      </c>
      <c r="F1147" s="1859">
        <v>2</v>
      </c>
      <c r="G1147" s="1872" t="s">
        <v>4936</v>
      </c>
      <c r="H1147" s="1856">
        <v>1</v>
      </c>
      <c r="I1147" s="1856">
        <v>1</v>
      </c>
      <c r="J1147" s="1873">
        <v>2</v>
      </c>
      <c r="K1147" s="1860"/>
      <c r="L1147" s="1854">
        <v>13113140305</v>
      </c>
      <c r="M1147" s="1855">
        <v>1</v>
      </c>
      <c r="N1147" s="1855">
        <v>1</v>
      </c>
      <c r="O1147" s="1855">
        <v>2</v>
      </c>
    </row>
    <row r="1148" spans="3:15">
      <c r="C1148" s="1861" t="s">
        <v>4937</v>
      </c>
      <c r="D1148" s="1858">
        <v>1</v>
      </c>
      <c r="E1148" s="1858">
        <v>1</v>
      </c>
      <c r="F1148" s="1859">
        <v>2</v>
      </c>
      <c r="G1148" s="1872" t="s">
        <v>4937</v>
      </c>
      <c r="H1148" s="1856">
        <v>1</v>
      </c>
      <c r="I1148" s="1856">
        <v>1</v>
      </c>
      <c r="J1148" s="1873">
        <v>2</v>
      </c>
      <c r="K1148" s="1860"/>
      <c r="L1148" s="1854">
        <v>13113140306</v>
      </c>
      <c r="M1148" s="1855">
        <v>1</v>
      </c>
      <c r="N1148" s="1855">
        <v>1</v>
      </c>
      <c r="O1148" s="1855">
        <v>2</v>
      </c>
    </row>
    <row r="1149" spans="3:15">
      <c r="C1149" s="1861" t="s">
        <v>4938</v>
      </c>
      <c r="D1149" s="1858">
        <v>1</v>
      </c>
      <c r="E1149" s="1858">
        <v>1</v>
      </c>
      <c r="F1149" s="1859">
        <v>2</v>
      </c>
      <c r="G1149" s="1872" t="s">
        <v>4938</v>
      </c>
      <c r="H1149" s="1856">
        <v>1</v>
      </c>
      <c r="I1149" s="1856">
        <v>1</v>
      </c>
      <c r="J1149" s="1873">
        <v>2</v>
      </c>
      <c r="K1149" s="1860"/>
      <c r="L1149" s="1854">
        <v>13113140307</v>
      </c>
      <c r="M1149" s="1855">
        <v>1</v>
      </c>
      <c r="N1149" s="1855">
        <v>1</v>
      </c>
      <c r="O1149" s="1855">
        <v>2</v>
      </c>
    </row>
    <row r="1150" spans="3:15">
      <c r="C1150" s="1861" t="s">
        <v>4939</v>
      </c>
      <c r="D1150" s="1858">
        <v>1</v>
      </c>
      <c r="E1150" s="1858">
        <v>1</v>
      </c>
      <c r="F1150" s="1859">
        <v>2</v>
      </c>
      <c r="G1150" s="1872" t="s">
        <v>4939</v>
      </c>
      <c r="H1150" s="1856">
        <v>1</v>
      </c>
      <c r="I1150" s="1856">
        <v>1</v>
      </c>
      <c r="J1150" s="1873">
        <v>2</v>
      </c>
      <c r="K1150" s="1860"/>
      <c r="L1150" s="1854">
        <v>13113140403</v>
      </c>
      <c r="M1150" s="1855">
        <v>1</v>
      </c>
      <c r="N1150" s="1855">
        <v>1</v>
      </c>
      <c r="O1150" s="1855">
        <v>2</v>
      </c>
    </row>
    <row r="1151" spans="3:15">
      <c r="C1151" s="1861" t="s">
        <v>4940</v>
      </c>
      <c r="D1151" s="1858">
        <v>1</v>
      </c>
      <c r="E1151" s="1858">
        <v>1</v>
      </c>
      <c r="F1151" s="1859">
        <v>2</v>
      </c>
      <c r="G1151" s="1872" t="s">
        <v>4940</v>
      </c>
      <c r="H1151" s="1856">
        <v>1</v>
      </c>
      <c r="I1151" s="1856">
        <v>1</v>
      </c>
      <c r="J1151" s="1873">
        <v>2</v>
      </c>
      <c r="K1151" s="1860"/>
      <c r="L1151" s="1854">
        <v>13113140404</v>
      </c>
      <c r="M1151" s="1855">
        <v>1</v>
      </c>
      <c r="N1151" s="1855">
        <v>1</v>
      </c>
      <c r="O1151" s="1855">
        <v>2</v>
      </c>
    </row>
    <row r="1152" spans="3:15">
      <c r="C1152" s="1861" t="s">
        <v>4941</v>
      </c>
      <c r="D1152" s="1858">
        <v>1</v>
      </c>
      <c r="E1152" s="1858">
        <v>1</v>
      </c>
      <c r="F1152" s="1859">
        <v>2</v>
      </c>
      <c r="G1152" s="1872" t="s">
        <v>4941</v>
      </c>
      <c r="H1152" s="1856">
        <v>1</v>
      </c>
      <c r="I1152" s="1856">
        <v>1</v>
      </c>
      <c r="J1152" s="1873">
        <v>2</v>
      </c>
      <c r="K1152" s="1860"/>
      <c r="L1152" s="1854">
        <v>13113140405</v>
      </c>
      <c r="M1152" s="1855">
        <v>1</v>
      </c>
      <c r="N1152" s="1855">
        <v>1</v>
      </c>
      <c r="O1152" s="1855">
        <v>2</v>
      </c>
    </row>
    <row r="1153" spans="3:15">
      <c r="C1153" s="1861" t="s">
        <v>4942</v>
      </c>
      <c r="D1153" s="1858">
        <v>0</v>
      </c>
      <c r="E1153" s="1858">
        <v>1</v>
      </c>
      <c r="F1153" s="1859">
        <v>1</v>
      </c>
      <c r="G1153" s="1872" t="s">
        <v>4942</v>
      </c>
      <c r="H1153" s="1856">
        <v>0</v>
      </c>
      <c r="I1153" s="1856">
        <v>1</v>
      </c>
      <c r="J1153" s="1873">
        <v>1</v>
      </c>
      <c r="K1153" s="1860"/>
      <c r="L1153" s="1854">
        <v>13113140406</v>
      </c>
      <c r="M1153" s="1855">
        <v>0</v>
      </c>
      <c r="N1153" s="1855">
        <v>1</v>
      </c>
      <c r="O1153" s="1855">
        <v>1</v>
      </c>
    </row>
    <row r="1154" spans="3:15">
      <c r="C1154" s="1861" t="s">
        <v>4943</v>
      </c>
      <c r="D1154" s="1858">
        <v>1</v>
      </c>
      <c r="E1154" s="1858">
        <v>1</v>
      </c>
      <c r="F1154" s="1859">
        <v>2</v>
      </c>
      <c r="G1154" s="1872" t="s">
        <v>4943</v>
      </c>
      <c r="H1154" s="1856">
        <v>1</v>
      </c>
      <c r="I1154" s="1856">
        <v>1</v>
      </c>
      <c r="J1154" s="1873">
        <v>2</v>
      </c>
      <c r="K1154" s="1860"/>
      <c r="L1154" s="1854">
        <v>13113140407</v>
      </c>
      <c r="M1154" s="1855">
        <v>1</v>
      </c>
      <c r="N1154" s="1855">
        <v>1</v>
      </c>
      <c r="O1154" s="1855">
        <v>2</v>
      </c>
    </row>
    <row r="1155" spans="3:15">
      <c r="C1155" s="1861" t="s">
        <v>4944</v>
      </c>
      <c r="D1155" s="1858">
        <v>1</v>
      </c>
      <c r="E1155" s="1858">
        <v>1</v>
      </c>
      <c r="F1155" s="1859">
        <v>2</v>
      </c>
      <c r="G1155" s="1872" t="s">
        <v>4944</v>
      </c>
      <c r="H1155" s="1856">
        <v>1</v>
      </c>
      <c r="I1155" s="1856">
        <v>1</v>
      </c>
      <c r="J1155" s="1873">
        <v>2</v>
      </c>
      <c r="K1155" s="1860"/>
      <c r="L1155" s="1854">
        <v>13113140408</v>
      </c>
      <c r="M1155" s="1855">
        <v>1</v>
      </c>
      <c r="N1155" s="1855">
        <v>1</v>
      </c>
      <c r="O1155" s="1855">
        <v>2</v>
      </c>
    </row>
    <row r="1156" spans="3:15">
      <c r="C1156" s="1861" t="s">
        <v>4945</v>
      </c>
      <c r="D1156" s="1858">
        <v>1</v>
      </c>
      <c r="E1156" s="1858">
        <v>1</v>
      </c>
      <c r="F1156" s="1859">
        <v>2</v>
      </c>
      <c r="G1156" s="1872" t="s">
        <v>4945</v>
      </c>
      <c r="H1156" s="1856">
        <v>1</v>
      </c>
      <c r="I1156" s="1856">
        <v>1</v>
      </c>
      <c r="J1156" s="1873">
        <v>2</v>
      </c>
      <c r="K1156" s="1860"/>
      <c r="L1156" s="1854">
        <v>13113140501</v>
      </c>
      <c r="M1156" s="1855">
        <v>1</v>
      </c>
      <c r="N1156" s="1855">
        <v>1</v>
      </c>
      <c r="O1156" s="1855">
        <v>2</v>
      </c>
    </row>
    <row r="1157" spans="3:15">
      <c r="C1157" s="1861" t="s">
        <v>4946</v>
      </c>
      <c r="D1157" s="1858">
        <v>1</v>
      </c>
      <c r="E1157" s="1858">
        <v>1</v>
      </c>
      <c r="F1157" s="1859">
        <v>2</v>
      </c>
      <c r="G1157" s="1872" t="s">
        <v>4946</v>
      </c>
      <c r="H1157" s="1856">
        <v>1</v>
      </c>
      <c r="I1157" s="1856">
        <v>1</v>
      </c>
      <c r="J1157" s="1873">
        <v>2</v>
      </c>
      <c r="K1157" s="1860"/>
      <c r="L1157" s="1854">
        <v>13113140502</v>
      </c>
      <c r="M1157" s="1855">
        <v>1</v>
      </c>
      <c r="N1157" s="1855">
        <v>1</v>
      </c>
      <c r="O1157" s="1855">
        <v>2</v>
      </c>
    </row>
    <row r="1158" spans="3:15">
      <c r="C1158" s="1861" t="s">
        <v>4947</v>
      </c>
      <c r="D1158" s="1858">
        <v>0</v>
      </c>
      <c r="E1158" s="1858">
        <v>0</v>
      </c>
      <c r="F1158" s="1859">
        <v>0</v>
      </c>
      <c r="G1158" s="1872" t="s">
        <v>4947</v>
      </c>
      <c r="H1158" s="1856">
        <v>0</v>
      </c>
      <c r="I1158" s="1856">
        <v>1</v>
      </c>
      <c r="J1158" s="1873">
        <v>1</v>
      </c>
      <c r="K1158" s="1860"/>
      <c r="L1158" s="1854">
        <v>13115000100</v>
      </c>
      <c r="M1158" s="1855">
        <v>0</v>
      </c>
      <c r="N1158" s="1855">
        <v>1</v>
      </c>
      <c r="O1158" s="1855">
        <v>1</v>
      </c>
    </row>
    <row r="1159" spans="3:15">
      <c r="C1159" s="1861" t="s">
        <v>4948</v>
      </c>
      <c r="D1159" s="1858">
        <v>1</v>
      </c>
      <c r="E1159" s="1858">
        <v>1</v>
      </c>
      <c r="F1159" s="1859">
        <v>2</v>
      </c>
      <c r="G1159" s="1872" t="s">
        <v>4948</v>
      </c>
      <c r="H1159" s="1856">
        <v>1</v>
      </c>
      <c r="I1159" s="1856">
        <v>0</v>
      </c>
      <c r="J1159" s="1873">
        <v>1</v>
      </c>
      <c r="K1159" s="1860"/>
      <c r="L1159" s="1854">
        <v>13115000201</v>
      </c>
      <c r="M1159" s="1855">
        <v>1</v>
      </c>
      <c r="N1159" s="1855">
        <v>1</v>
      </c>
      <c r="O1159" s="1855">
        <v>2</v>
      </c>
    </row>
    <row r="1160" spans="3:15">
      <c r="C1160" s="1861" t="s">
        <v>4949</v>
      </c>
      <c r="D1160" s="1858">
        <v>1</v>
      </c>
      <c r="E1160" s="1858">
        <v>1</v>
      </c>
      <c r="F1160" s="1859">
        <v>2</v>
      </c>
      <c r="G1160" s="1872" t="s">
        <v>4949</v>
      </c>
      <c r="H1160" s="1856">
        <v>1</v>
      </c>
      <c r="I1160" s="1856">
        <v>1</v>
      </c>
      <c r="J1160" s="1873">
        <v>2</v>
      </c>
      <c r="K1160" s="1860"/>
      <c r="L1160" s="1854">
        <v>13115000202</v>
      </c>
      <c r="M1160" s="1855">
        <v>1</v>
      </c>
      <c r="N1160" s="1855">
        <v>1</v>
      </c>
      <c r="O1160" s="1856">
        <v>2</v>
      </c>
    </row>
    <row r="1161" spans="3:15">
      <c r="C1161" s="1861" t="s">
        <v>4950</v>
      </c>
      <c r="D1161" s="1858">
        <v>1</v>
      </c>
      <c r="E1161" s="1858">
        <v>1</v>
      </c>
      <c r="F1161" s="1859">
        <v>2</v>
      </c>
      <c r="G1161" s="1872" t="s">
        <v>4950</v>
      </c>
      <c r="H1161" s="1856">
        <v>1</v>
      </c>
      <c r="I1161" s="1856">
        <v>1</v>
      </c>
      <c r="J1161" s="1873">
        <v>2</v>
      </c>
      <c r="K1161" s="1860"/>
      <c r="L1161" s="1854">
        <v>13115000300</v>
      </c>
      <c r="M1161" s="1855">
        <v>1</v>
      </c>
      <c r="N1161" s="1855">
        <v>1</v>
      </c>
      <c r="O1161" s="1856">
        <v>2</v>
      </c>
    </row>
    <row r="1162" spans="3:15">
      <c r="C1162" s="1861" t="s">
        <v>4951</v>
      </c>
      <c r="D1162" s="1858">
        <v>0</v>
      </c>
      <c r="E1162" s="1858">
        <v>0</v>
      </c>
      <c r="F1162" s="1859">
        <v>0</v>
      </c>
      <c r="G1162" s="1872" t="s">
        <v>4951</v>
      </c>
      <c r="H1162" s="1856">
        <v>0</v>
      </c>
      <c r="I1162" s="1856">
        <v>1</v>
      </c>
      <c r="J1162" s="1873">
        <v>1</v>
      </c>
      <c r="K1162" s="1860"/>
      <c r="L1162" s="1854">
        <v>13115000400</v>
      </c>
      <c r="M1162" s="1855">
        <v>0</v>
      </c>
      <c r="N1162" s="1855">
        <v>1</v>
      </c>
      <c r="O1162" s="1856">
        <v>1</v>
      </c>
    </row>
    <row r="1163" spans="3:15">
      <c r="C1163" s="1861" t="s">
        <v>4952</v>
      </c>
      <c r="D1163" s="1858">
        <v>0</v>
      </c>
      <c r="E1163" s="1858">
        <v>0</v>
      </c>
      <c r="F1163" s="1859">
        <v>0</v>
      </c>
      <c r="G1163" s="1872" t="s">
        <v>4952</v>
      </c>
      <c r="H1163" s="1856">
        <v>0</v>
      </c>
      <c r="I1163" s="1856">
        <v>0</v>
      </c>
      <c r="J1163" s="1873">
        <v>0</v>
      </c>
      <c r="K1163" s="1860"/>
      <c r="L1163" s="1854">
        <v>13115000500</v>
      </c>
      <c r="M1163" s="1855">
        <v>0</v>
      </c>
      <c r="N1163" s="1855">
        <v>0</v>
      </c>
      <c r="O1163" s="1856">
        <v>0</v>
      </c>
    </row>
    <row r="1164" spans="3:15">
      <c r="C1164" s="1861" t="s">
        <v>4953</v>
      </c>
      <c r="D1164" s="1858">
        <v>0</v>
      </c>
      <c r="E1164" s="1858">
        <v>0</v>
      </c>
      <c r="F1164" s="1859">
        <v>0</v>
      </c>
      <c r="G1164" s="1872" t="s">
        <v>4953</v>
      </c>
      <c r="H1164" s="1856">
        <v>0</v>
      </c>
      <c r="I1164" s="1856">
        <v>0</v>
      </c>
      <c r="J1164" s="1873">
        <v>0</v>
      </c>
      <c r="K1164" s="1860"/>
      <c r="L1164" s="1854">
        <v>13115000600</v>
      </c>
      <c r="M1164" s="1855">
        <v>0</v>
      </c>
      <c r="N1164" s="1855">
        <v>0</v>
      </c>
      <c r="O1164" s="1856">
        <v>0</v>
      </c>
    </row>
    <row r="1165" spans="3:15">
      <c r="C1165" s="1861" t="s">
        <v>4954</v>
      </c>
      <c r="D1165" s="1858">
        <v>1</v>
      </c>
      <c r="E1165" s="1858">
        <v>1</v>
      </c>
      <c r="F1165" s="1859">
        <v>2</v>
      </c>
      <c r="G1165" s="1872" t="s">
        <v>4954</v>
      </c>
      <c r="H1165" s="1856">
        <v>0</v>
      </c>
      <c r="I1165" s="1856">
        <v>1</v>
      </c>
      <c r="J1165" s="1873">
        <v>1</v>
      </c>
      <c r="K1165" s="1860"/>
      <c r="L1165" s="1854">
        <v>13115000700</v>
      </c>
      <c r="M1165" s="1855">
        <v>1</v>
      </c>
      <c r="N1165" s="1855">
        <v>1</v>
      </c>
      <c r="O1165" s="1856">
        <v>2</v>
      </c>
    </row>
    <row r="1166" spans="3:15">
      <c r="C1166" s="1861" t="s">
        <v>4955</v>
      </c>
      <c r="D1166" s="1858">
        <v>1</v>
      </c>
      <c r="E1166" s="1858">
        <v>1</v>
      </c>
      <c r="F1166" s="1859">
        <v>2</v>
      </c>
      <c r="G1166" s="1872" t="s">
        <v>4955</v>
      </c>
      <c r="H1166" s="1856">
        <v>1</v>
      </c>
      <c r="I1166" s="1856">
        <v>1</v>
      </c>
      <c r="J1166" s="1873">
        <v>2</v>
      </c>
      <c r="K1166" s="1860"/>
      <c r="L1166" s="1854">
        <v>13115000800</v>
      </c>
      <c r="M1166" s="1855">
        <v>1</v>
      </c>
      <c r="N1166" s="1855">
        <v>1</v>
      </c>
      <c r="O1166" s="1856">
        <v>2</v>
      </c>
    </row>
    <row r="1167" spans="3:15">
      <c r="C1167" s="1861" t="s">
        <v>4956</v>
      </c>
      <c r="D1167" s="1858">
        <v>0</v>
      </c>
      <c r="E1167" s="1858">
        <v>1</v>
      </c>
      <c r="F1167" s="1859">
        <v>1</v>
      </c>
      <c r="G1167" s="1872" t="s">
        <v>4956</v>
      </c>
      <c r="H1167" s="1856">
        <v>0</v>
      </c>
      <c r="I1167" s="1856">
        <v>1</v>
      </c>
      <c r="J1167" s="1873">
        <v>1</v>
      </c>
      <c r="K1167" s="1860"/>
      <c r="L1167" s="1854">
        <v>13115000900</v>
      </c>
      <c r="M1167" s="1855">
        <v>0</v>
      </c>
      <c r="N1167" s="1855">
        <v>1</v>
      </c>
      <c r="O1167" s="1856">
        <v>1</v>
      </c>
    </row>
    <row r="1168" spans="3:15">
      <c r="C1168" s="1861" t="s">
        <v>4957</v>
      </c>
      <c r="D1168" s="1858">
        <v>0</v>
      </c>
      <c r="E1168" s="1858">
        <v>0</v>
      </c>
      <c r="F1168" s="1859">
        <v>0</v>
      </c>
      <c r="G1168" s="1872" t="s">
        <v>4957</v>
      </c>
      <c r="H1168" s="1856">
        <v>0</v>
      </c>
      <c r="I1168" s="1856">
        <v>0</v>
      </c>
      <c r="J1168" s="1873">
        <v>0</v>
      </c>
      <c r="K1168" s="1860"/>
      <c r="L1168" s="1854">
        <v>13115001100</v>
      </c>
      <c r="M1168" s="1855">
        <v>0</v>
      </c>
      <c r="N1168" s="1855">
        <v>0</v>
      </c>
      <c r="O1168" s="1856">
        <v>0</v>
      </c>
    </row>
    <row r="1169" spans="3:15">
      <c r="C1169" s="1861" t="s">
        <v>4958</v>
      </c>
      <c r="D1169" s="1858">
        <v>0</v>
      </c>
      <c r="E1169" s="1858">
        <v>0</v>
      </c>
      <c r="F1169" s="1859">
        <v>0</v>
      </c>
      <c r="G1169" s="1872" t="s">
        <v>4958</v>
      </c>
      <c r="H1169" s="1856">
        <v>0</v>
      </c>
      <c r="I1169" s="1856">
        <v>0</v>
      </c>
      <c r="J1169" s="1873">
        <v>0</v>
      </c>
      <c r="K1169" s="1860"/>
      <c r="L1169" s="1854">
        <v>13115001200</v>
      </c>
      <c r="M1169" s="1855">
        <v>0</v>
      </c>
      <c r="N1169" s="1855">
        <v>0</v>
      </c>
      <c r="O1169" s="1856">
        <v>0</v>
      </c>
    </row>
    <row r="1170" spans="3:15">
      <c r="C1170" s="1861" t="s">
        <v>4959</v>
      </c>
      <c r="D1170" s="1858">
        <v>0</v>
      </c>
      <c r="E1170" s="1858">
        <v>0</v>
      </c>
      <c r="F1170" s="1859">
        <v>0</v>
      </c>
      <c r="G1170" s="1872" t="s">
        <v>4959</v>
      </c>
      <c r="H1170" s="1856">
        <v>0</v>
      </c>
      <c r="I1170" s="1856">
        <v>0</v>
      </c>
      <c r="J1170" s="1873">
        <v>0</v>
      </c>
      <c r="K1170" s="1860"/>
      <c r="L1170" s="1854">
        <v>13115001300</v>
      </c>
      <c r="M1170" s="1855">
        <v>0</v>
      </c>
      <c r="N1170" s="1855">
        <v>0</v>
      </c>
      <c r="O1170" s="1856">
        <v>0</v>
      </c>
    </row>
    <row r="1171" spans="3:15">
      <c r="C1171" s="1861" t="s">
        <v>4960</v>
      </c>
      <c r="D1171" s="1858">
        <v>1</v>
      </c>
      <c r="E1171" s="1858">
        <v>1</v>
      </c>
      <c r="F1171" s="1859">
        <v>2</v>
      </c>
      <c r="G1171" s="1872" t="s">
        <v>4960</v>
      </c>
      <c r="H1171" s="1856">
        <v>0</v>
      </c>
      <c r="I1171" s="1856">
        <v>1</v>
      </c>
      <c r="J1171" s="1873">
        <v>1</v>
      </c>
      <c r="K1171" s="1860"/>
      <c r="L1171" s="1854">
        <v>13115001400</v>
      </c>
      <c r="M1171" s="1855">
        <v>1</v>
      </c>
      <c r="N1171" s="1855">
        <v>1</v>
      </c>
      <c r="O1171" s="1856">
        <v>2</v>
      </c>
    </row>
    <row r="1172" spans="3:15">
      <c r="C1172" s="1861" t="s">
        <v>4961</v>
      </c>
      <c r="D1172" s="1858">
        <v>0</v>
      </c>
      <c r="E1172" s="1858">
        <v>0</v>
      </c>
      <c r="F1172" s="1859">
        <v>0</v>
      </c>
      <c r="G1172" s="1872" t="s">
        <v>4961</v>
      </c>
      <c r="H1172" s="1856">
        <v>0</v>
      </c>
      <c r="I1172" s="1856">
        <v>0</v>
      </c>
      <c r="J1172" s="1873">
        <v>0</v>
      </c>
      <c r="K1172" s="1860"/>
      <c r="L1172" s="1854">
        <v>13115001600</v>
      </c>
      <c r="M1172" s="1855">
        <v>0</v>
      </c>
      <c r="N1172" s="1855">
        <v>0</v>
      </c>
      <c r="O1172" s="1856">
        <v>0</v>
      </c>
    </row>
    <row r="1173" spans="3:15">
      <c r="C1173" s="1861" t="s">
        <v>4962</v>
      </c>
      <c r="D1173" s="1858">
        <v>1</v>
      </c>
      <c r="E1173" s="1858">
        <v>0</v>
      </c>
      <c r="F1173" s="1859">
        <v>1</v>
      </c>
      <c r="G1173" s="1872" t="s">
        <v>4962</v>
      </c>
      <c r="H1173" s="1856">
        <v>1</v>
      </c>
      <c r="I1173" s="1856">
        <v>1</v>
      </c>
      <c r="J1173" s="1873">
        <v>2</v>
      </c>
      <c r="K1173" s="1860"/>
      <c r="L1173" s="1854">
        <v>13115001701</v>
      </c>
      <c r="M1173" s="1855">
        <v>1</v>
      </c>
      <c r="N1173" s="1855">
        <v>1</v>
      </c>
      <c r="O1173" s="1856">
        <v>2</v>
      </c>
    </row>
    <row r="1174" spans="3:15">
      <c r="C1174" s="1861" t="s">
        <v>4963</v>
      </c>
      <c r="D1174" s="1858">
        <v>1</v>
      </c>
      <c r="E1174" s="1858">
        <v>1</v>
      </c>
      <c r="F1174" s="1859">
        <v>2</v>
      </c>
      <c r="G1174" s="1872" t="s">
        <v>4963</v>
      </c>
      <c r="H1174" s="1856">
        <v>0</v>
      </c>
      <c r="I1174" s="1856">
        <v>0</v>
      </c>
      <c r="J1174" s="1873">
        <v>0</v>
      </c>
      <c r="K1174" s="1860"/>
      <c r="L1174" s="1854">
        <v>13115001702</v>
      </c>
      <c r="M1174" s="1855">
        <v>1</v>
      </c>
      <c r="N1174" s="1855">
        <v>1</v>
      </c>
      <c r="O1174" s="1856">
        <v>2</v>
      </c>
    </row>
    <row r="1175" spans="3:15">
      <c r="C1175" s="1861" t="s">
        <v>4964</v>
      </c>
      <c r="D1175" s="1858">
        <v>0</v>
      </c>
      <c r="E1175" s="1858">
        <v>0</v>
      </c>
      <c r="F1175" s="1859">
        <v>0</v>
      </c>
      <c r="G1175" s="1872" t="s">
        <v>4964</v>
      </c>
      <c r="H1175" s="1856">
        <v>0</v>
      </c>
      <c r="I1175" s="1856">
        <v>0</v>
      </c>
      <c r="J1175" s="1873">
        <v>0</v>
      </c>
      <c r="K1175" s="1860"/>
      <c r="L1175" s="1854">
        <v>13115001800</v>
      </c>
      <c r="M1175" s="1855">
        <v>0</v>
      </c>
      <c r="N1175" s="1855">
        <v>0</v>
      </c>
      <c r="O1175" s="1856">
        <v>0</v>
      </c>
    </row>
    <row r="1176" spans="3:15">
      <c r="C1176" s="1861" t="s">
        <v>4965</v>
      </c>
      <c r="D1176" s="1858">
        <v>0</v>
      </c>
      <c r="E1176" s="1858">
        <v>0</v>
      </c>
      <c r="F1176" s="1859">
        <v>0</v>
      </c>
      <c r="G1176" s="1872" t="s">
        <v>4965</v>
      </c>
      <c r="H1176" s="1856">
        <v>0</v>
      </c>
      <c r="I1176" s="1856">
        <v>0</v>
      </c>
      <c r="J1176" s="1873">
        <v>0</v>
      </c>
      <c r="K1176" s="1860"/>
      <c r="L1176" s="1854">
        <v>13115002000</v>
      </c>
      <c r="M1176" s="1855">
        <v>0</v>
      </c>
      <c r="N1176" s="1855">
        <v>0</v>
      </c>
      <c r="O1176" s="1856">
        <v>0</v>
      </c>
    </row>
    <row r="1177" spans="3:15">
      <c r="C1177" s="1861" t="s">
        <v>4966</v>
      </c>
      <c r="D1177" s="1858">
        <v>0</v>
      </c>
      <c r="E1177" s="1858">
        <v>0</v>
      </c>
      <c r="F1177" s="1859">
        <v>0</v>
      </c>
      <c r="G1177" s="1872" t="s">
        <v>4966</v>
      </c>
      <c r="H1177" s="1856">
        <v>0</v>
      </c>
      <c r="I1177" s="1856">
        <v>0</v>
      </c>
      <c r="J1177" s="1873">
        <v>0</v>
      </c>
      <c r="K1177" s="1860"/>
      <c r="L1177" s="1854">
        <v>13115002100</v>
      </c>
      <c r="M1177" s="1855">
        <v>0</v>
      </c>
      <c r="N1177" s="1855">
        <v>0</v>
      </c>
      <c r="O1177" s="1856">
        <v>0</v>
      </c>
    </row>
    <row r="1178" spans="3:15">
      <c r="C1178" s="1861" t="s">
        <v>4967</v>
      </c>
      <c r="D1178" s="1858">
        <v>1</v>
      </c>
      <c r="E1178" s="1858">
        <v>1</v>
      </c>
      <c r="F1178" s="1859">
        <v>2</v>
      </c>
      <c r="G1178" s="1872" t="s">
        <v>4967</v>
      </c>
      <c r="H1178" s="1856">
        <v>1</v>
      </c>
      <c r="I1178" s="1856">
        <v>1</v>
      </c>
      <c r="J1178" s="1873">
        <v>2</v>
      </c>
      <c r="K1178" s="1860"/>
      <c r="L1178" s="1854">
        <v>13117130101</v>
      </c>
      <c r="M1178" s="1855">
        <v>1</v>
      </c>
      <c r="N1178" s="1855">
        <v>1</v>
      </c>
      <c r="O1178" s="1856">
        <v>2</v>
      </c>
    </row>
    <row r="1179" spans="3:15">
      <c r="C1179" s="1861" t="s">
        <v>4968</v>
      </c>
      <c r="D1179" s="1858">
        <v>1</v>
      </c>
      <c r="E1179" s="1858">
        <v>1</v>
      </c>
      <c r="F1179" s="1859">
        <v>2</v>
      </c>
      <c r="G1179" s="1872" t="s">
        <v>4968</v>
      </c>
      <c r="H1179" s="1856">
        <v>1</v>
      </c>
      <c r="I1179" s="1856">
        <v>1</v>
      </c>
      <c r="J1179" s="1873">
        <v>2</v>
      </c>
      <c r="K1179" s="1860"/>
      <c r="L1179" s="1854">
        <v>13117130102</v>
      </c>
      <c r="M1179" s="1855">
        <v>1</v>
      </c>
      <c r="N1179" s="1855">
        <v>1</v>
      </c>
      <c r="O1179" s="1856">
        <v>2</v>
      </c>
    </row>
    <row r="1180" spans="3:15">
      <c r="C1180" s="1861" t="s">
        <v>4969</v>
      </c>
      <c r="D1180" s="1858">
        <v>1</v>
      </c>
      <c r="E1180" s="1858">
        <v>1</v>
      </c>
      <c r="F1180" s="1859">
        <v>2</v>
      </c>
      <c r="G1180" s="1872" t="s">
        <v>4969</v>
      </c>
      <c r="H1180" s="1856">
        <v>1</v>
      </c>
      <c r="I1180" s="1856">
        <v>0</v>
      </c>
      <c r="J1180" s="1873">
        <v>1</v>
      </c>
      <c r="K1180" s="1860"/>
      <c r="L1180" s="1854">
        <v>13117130103</v>
      </c>
      <c r="M1180" s="1855">
        <v>1</v>
      </c>
      <c r="N1180" s="1855">
        <v>1</v>
      </c>
      <c r="O1180" s="1856">
        <v>2</v>
      </c>
    </row>
    <row r="1181" spans="3:15">
      <c r="C1181" s="1861" t="s">
        <v>4970</v>
      </c>
      <c r="D1181" s="1858">
        <v>1</v>
      </c>
      <c r="E1181" s="1858">
        <v>1</v>
      </c>
      <c r="F1181" s="1859">
        <v>2</v>
      </c>
      <c r="G1181" s="1872" t="s">
        <v>4970</v>
      </c>
      <c r="H1181" s="1856">
        <v>1</v>
      </c>
      <c r="I1181" s="1856">
        <v>1</v>
      </c>
      <c r="J1181" s="1873">
        <v>2</v>
      </c>
      <c r="K1181" s="1860"/>
      <c r="L1181" s="1854">
        <v>13117130104</v>
      </c>
      <c r="M1181" s="1855">
        <v>1</v>
      </c>
      <c r="N1181" s="1855">
        <v>1</v>
      </c>
      <c r="O1181" s="1856">
        <v>2</v>
      </c>
    </row>
    <row r="1182" spans="3:15">
      <c r="C1182" s="1861" t="s">
        <v>4971</v>
      </c>
      <c r="D1182" s="1858">
        <v>0</v>
      </c>
      <c r="E1182" s="1858">
        <v>0</v>
      </c>
      <c r="F1182" s="1859">
        <v>0</v>
      </c>
      <c r="G1182" s="1872" t="s">
        <v>4971</v>
      </c>
      <c r="H1182" s="1856">
        <v>0</v>
      </c>
      <c r="I1182" s="1856">
        <v>1</v>
      </c>
      <c r="J1182" s="1873">
        <v>1</v>
      </c>
      <c r="K1182" s="1860"/>
      <c r="L1182" s="1854">
        <v>13117130105</v>
      </c>
      <c r="M1182" s="1855">
        <v>0</v>
      </c>
      <c r="N1182" s="1855">
        <v>1</v>
      </c>
      <c r="O1182" s="1856">
        <v>1</v>
      </c>
    </row>
    <row r="1183" spans="3:15">
      <c r="C1183" s="1861" t="s">
        <v>4972</v>
      </c>
      <c r="D1183" s="1858">
        <v>1</v>
      </c>
      <c r="E1183" s="1858">
        <v>1</v>
      </c>
      <c r="F1183" s="1859">
        <v>2</v>
      </c>
      <c r="G1183" s="1872" t="s">
        <v>4972</v>
      </c>
      <c r="H1183" s="1856">
        <v>1</v>
      </c>
      <c r="I1183" s="1856">
        <v>1</v>
      </c>
      <c r="J1183" s="1873">
        <v>2</v>
      </c>
      <c r="K1183" s="1860"/>
      <c r="L1183" s="1854">
        <v>13117130201</v>
      </c>
      <c r="M1183" s="1855">
        <v>1</v>
      </c>
      <c r="N1183" s="1855">
        <v>1</v>
      </c>
      <c r="O1183" s="1856">
        <v>2</v>
      </c>
    </row>
    <row r="1184" spans="3:15">
      <c r="C1184" s="1861" t="s">
        <v>4973</v>
      </c>
      <c r="D1184" s="1858">
        <v>1</v>
      </c>
      <c r="E1184" s="1858">
        <v>1</v>
      </c>
      <c r="F1184" s="1859">
        <v>2</v>
      </c>
      <c r="G1184" s="1872" t="s">
        <v>4973</v>
      </c>
      <c r="H1184" s="1856">
        <v>1</v>
      </c>
      <c r="I1184" s="1856" t="s">
        <v>3908</v>
      </c>
      <c r="J1184" s="1873">
        <v>1</v>
      </c>
      <c r="K1184" s="1860"/>
      <c r="L1184" s="1854">
        <v>13117130202</v>
      </c>
      <c r="M1184" s="1855">
        <v>1</v>
      </c>
      <c r="N1184" s="1855">
        <v>1</v>
      </c>
      <c r="O1184" s="1856">
        <v>2</v>
      </c>
    </row>
    <row r="1185" spans="3:15">
      <c r="C1185" s="1861" t="s">
        <v>4974</v>
      </c>
      <c r="D1185" s="1858">
        <v>1</v>
      </c>
      <c r="E1185" s="1858">
        <v>1</v>
      </c>
      <c r="F1185" s="1859">
        <v>2</v>
      </c>
      <c r="G1185" s="1872" t="s">
        <v>4974</v>
      </c>
      <c r="H1185" s="1856">
        <v>1</v>
      </c>
      <c r="I1185" s="1856">
        <v>1</v>
      </c>
      <c r="J1185" s="1873">
        <v>2</v>
      </c>
      <c r="K1185" s="1860"/>
      <c r="L1185" s="1854">
        <v>13117130203</v>
      </c>
      <c r="M1185" s="1855">
        <v>1</v>
      </c>
      <c r="N1185" s="1855">
        <v>1</v>
      </c>
      <c r="O1185" s="1856">
        <v>2</v>
      </c>
    </row>
    <row r="1186" spans="3:15">
      <c r="C1186" s="1861" t="s">
        <v>4975</v>
      </c>
      <c r="D1186" s="1858">
        <v>1</v>
      </c>
      <c r="E1186" s="1858">
        <v>0</v>
      </c>
      <c r="F1186" s="1859">
        <v>1</v>
      </c>
      <c r="G1186" s="1872" t="s">
        <v>4975</v>
      </c>
      <c r="H1186" s="1856">
        <v>1</v>
      </c>
      <c r="I1186" s="1856">
        <v>0</v>
      </c>
      <c r="J1186" s="1873">
        <v>1</v>
      </c>
      <c r="K1186" s="1860"/>
      <c r="L1186" s="1854">
        <v>13117130204</v>
      </c>
      <c r="M1186" s="1855">
        <v>1</v>
      </c>
      <c r="N1186" s="1855">
        <v>0</v>
      </c>
      <c r="O1186" s="1856">
        <v>1</v>
      </c>
    </row>
    <row r="1187" spans="3:15">
      <c r="C1187" s="1861" t="s">
        <v>4976</v>
      </c>
      <c r="D1187" s="1858">
        <v>1</v>
      </c>
      <c r="E1187" s="1858">
        <v>1</v>
      </c>
      <c r="F1187" s="1859">
        <v>2</v>
      </c>
      <c r="G1187" s="1872" t="s">
        <v>4976</v>
      </c>
      <c r="H1187" s="1856">
        <v>1</v>
      </c>
      <c r="I1187" s="1856" t="s">
        <v>3908</v>
      </c>
      <c r="J1187" s="1873">
        <v>1</v>
      </c>
      <c r="K1187" s="1860"/>
      <c r="L1187" s="1854">
        <v>13117130205</v>
      </c>
      <c r="M1187" s="1855">
        <v>1</v>
      </c>
      <c r="N1187" s="1855">
        <v>1</v>
      </c>
      <c r="O1187" s="1856">
        <v>2</v>
      </c>
    </row>
    <row r="1188" spans="3:15">
      <c r="C1188" s="1861" t="s">
        <v>4977</v>
      </c>
      <c r="D1188" s="1858">
        <v>1</v>
      </c>
      <c r="E1188" s="1858">
        <v>1</v>
      </c>
      <c r="F1188" s="1859">
        <v>2</v>
      </c>
      <c r="G1188" s="1872" t="s">
        <v>4977</v>
      </c>
      <c r="H1188" s="1856">
        <v>1</v>
      </c>
      <c r="I1188" s="1856">
        <v>1</v>
      </c>
      <c r="J1188" s="1873">
        <v>2</v>
      </c>
      <c r="K1188" s="1860"/>
      <c r="L1188" s="1854">
        <v>13117130301</v>
      </c>
      <c r="M1188" s="1855">
        <v>1</v>
      </c>
      <c r="N1188" s="1855">
        <v>1</v>
      </c>
      <c r="O1188" s="1856">
        <v>2</v>
      </c>
    </row>
    <row r="1189" spans="3:15">
      <c r="C1189" s="1861" t="s">
        <v>4978</v>
      </c>
      <c r="D1189" s="1858">
        <v>1</v>
      </c>
      <c r="E1189" s="1858">
        <v>1</v>
      </c>
      <c r="F1189" s="1859">
        <v>2</v>
      </c>
      <c r="G1189" s="1872" t="s">
        <v>4978</v>
      </c>
      <c r="H1189" s="1856">
        <v>1</v>
      </c>
      <c r="I1189" s="1856">
        <v>1</v>
      </c>
      <c r="J1189" s="1873">
        <v>2</v>
      </c>
      <c r="K1189" s="1860"/>
      <c r="L1189" s="1854">
        <v>13117130302</v>
      </c>
      <c r="M1189" s="1855">
        <v>1</v>
      </c>
      <c r="N1189" s="1855">
        <v>1</v>
      </c>
      <c r="O1189" s="1856">
        <v>2</v>
      </c>
    </row>
    <row r="1190" spans="3:15">
      <c r="C1190" s="1861" t="s">
        <v>4979</v>
      </c>
      <c r="D1190" s="1858">
        <v>1</v>
      </c>
      <c r="E1190" s="1858">
        <v>1</v>
      </c>
      <c r="F1190" s="1859">
        <v>2</v>
      </c>
      <c r="G1190" s="1872" t="s">
        <v>4979</v>
      </c>
      <c r="H1190" s="1856">
        <v>1</v>
      </c>
      <c r="I1190" s="1856">
        <v>1</v>
      </c>
      <c r="J1190" s="1873">
        <v>2</v>
      </c>
      <c r="K1190" s="1860"/>
      <c r="L1190" s="1854">
        <v>13117130303</v>
      </c>
      <c r="M1190" s="1855">
        <v>1</v>
      </c>
      <c r="N1190" s="1855">
        <v>1</v>
      </c>
      <c r="O1190" s="1856">
        <v>2</v>
      </c>
    </row>
    <row r="1191" spans="3:15">
      <c r="C1191" s="1861" t="s">
        <v>4980</v>
      </c>
      <c r="D1191" s="1858">
        <v>1</v>
      </c>
      <c r="E1191" s="1858">
        <v>1</v>
      </c>
      <c r="F1191" s="1859">
        <v>2</v>
      </c>
      <c r="G1191" s="1872" t="s">
        <v>4980</v>
      </c>
      <c r="H1191" s="1856">
        <v>1</v>
      </c>
      <c r="I1191" s="1856">
        <v>1</v>
      </c>
      <c r="J1191" s="1873">
        <v>2</v>
      </c>
      <c r="K1191" s="1860"/>
      <c r="L1191" s="1854">
        <v>13117130304</v>
      </c>
      <c r="M1191" s="1855">
        <v>1</v>
      </c>
      <c r="N1191" s="1855">
        <v>1</v>
      </c>
      <c r="O1191" s="1856">
        <v>2</v>
      </c>
    </row>
    <row r="1192" spans="3:15">
      <c r="C1192" s="1861" t="s">
        <v>4981</v>
      </c>
      <c r="D1192" s="1858">
        <v>1</v>
      </c>
      <c r="E1192" s="1858">
        <v>1</v>
      </c>
      <c r="F1192" s="1859">
        <v>2</v>
      </c>
      <c r="G1192" s="1872" t="s">
        <v>4981</v>
      </c>
      <c r="H1192" s="1856">
        <v>1</v>
      </c>
      <c r="I1192" s="1856">
        <v>1</v>
      </c>
      <c r="J1192" s="1873">
        <v>2</v>
      </c>
      <c r="K1192" s="1860"/>
      <c r="L1192" s="1854">
        <v>13117130305</v>
      </c>
      <c r="M1192" s="1855">
        <v>1</v>
      </c>
      <c r="N1192" s="1855">
        <v>1</v>
      </c>
      <c r="O1192" s="1856">
        <v>2</v>
      </c>
    </row>
    <row r="1193" spans="3:15">
      <c r="C1193" s="1861" t="s">
        <v>4982</v>
      </c>
      <c r="D1193" s="1858">
        <v>1</v>
      </c>
      <c r="E1193" s="1858">
        <v>1</v>
      </c>
      <c r="F1193" s="1859">
        <v>2</v>
      </c>
      <c r="G1193" s="1872" t="s">
        <v>4982</v>
      </c>
      <c r="H1193" s="1856">
        <v>1</v>
      </c>
      <c r="I1193" s="1856">
        <v>1</v>
      </c>
      <c r="J1193" s="1873">
        <v>2</v>
      </c>
      <c r="K1193" s="1860"/>
      <c r="L1193" s="1854">
        <v>13117130306</v>
      </c>
      <c r="M1193" s="1855">
        <v>1</v>
      </c>
      <c r="N1193" s="1855">
        <v>1</v>
      </c>
      <c r="O1193" s="1856">
        <v>2</v>
      </c>
    </row>
    <row r="1194" spans="3:15">
      <c r="C1194" s="1861" t="s">
        <v>4983</v>
      </c>
      <c r="D1194" s="1858">
        <v>1</v>
      </c>
      <c r="E1194" s="1858">
        <v>1</v>
      </c>
      <c r="F1194" s="1859">
        <v>2</v>
      </c>
      <c r="G1194" s="1872" t="s">
        <v>4983</v>
      </c>
      <c r="H1194" s="1856">
        <v>1</v>
      </c>
      <c r="I1194" s="1856">
        <v>1</v>
      </c>
      <c r="J1194" s="1873">
        <v>2</v>
      </c>
      <c r="K1194" s="1860"/>
      <c r="L1194" s="1854">
        <v>13117130307</v>
      </c>
      <c r="M1194" s="1855">
        <v>1</v>
      </c>
      <c r="N1194" s="1855">
        <v>1</v>
      </c>
      <c r="O1194" s="1856">
        <v>2</v>
      </c>
    </row>
    <row r="1195" spans="3:15">
      <c r="C1195" s="1861" t="s">
        <v>4984</v>
      </c>
      <c r="D1195" s="1858">
        <v>1</v>
      </c>
      <c r="E1195" s="1858">
        <v>1</v>
      </c>
      <c r="F1195" s="1859">
        <v>2</v>
      </c>
      <c r="G1195" s="1872" t="s">
        <v>4984</v>
      </c>
      <c r="H1195" s="1856">
        <v>1</v>
      </c>
      <c r="I1195" s="1856">
        <v>1</v>
      </c>
      <c r="J1195" s="1873">
        <v>2</v>
      </c>
      <c r="K1195" s="1860"/>
      <c r="L1195" s="1854">
        <v>13117130403</v>
      </c>
      <c r="M1195" s="1855">
        <v>1</v>
      </c>
      <c r="N1195" s="1855">
        <v>1</v>
      </c>
      <c r="O1195" s="1856">
        <v>2</v>
      </c>
    </row>
    <row r="1196" spans="3:15">
      <c r="C1196" s="1861" t="s">
        <v>4985</v>
      </c>
      <c r="D1196" s="1858">
        <v>1</v>
      </c>
      <c r="E1196" s="1858">
        <v>1</v>
      </c>
      <c r="F1196" s="1859">
        <v>2</v>
      </c>
      <c r="G1196" s="1872" t="s">
        <v>4985</v>
      </c>
      <c r="H1196" s="1856">
        <v>1</v>
      </c>
      <c r="I1196" s="1856">
        <v>1</v>
      </c>
      <c r="J1196" s="1873">
        <v>2</v>
      </c>
      <c r="K1196" s="1860"/>
      <c r="L1196" s="1854">
        <v>13117130404</v>
      </c>
      <c r="M1196" s="1855">
        <v>1</v>
      </c>
      <c r="N1196" s="1855">
        <v>1</v>
      </c>
      <c r="O1196" s="1856">
        <v>2</v>
      </c>
    </row>
    <row r="1197" spans="3:15">
      <c r="C1197" s="1861" t="s">
        <v>4986</v>
      </c>
      <c r="D1197" s="1858">
        <v>1</v>
      </c>
      <c r="E1197" s="1858">
        <v>1</v>
      </c>
      <c r="F1197" s="1859">
        <v>2</v>
      </c>
      <c r="G1197" s="1872" t="s">
        <v>4986</v>
      </c>
      <c r="H1197" s="1856">
        <v>1</v>
      </c>
      <c r="I1197" s="1856">
        <v>1</v>
      </c>
      <c r="J1197" s="1873">
        <v>2</v>
      </c>
      <c r="K1197" s="1860"/>
      <c r="L1197" s="1854">
        <v>13117130405</v>
      </c>
      <c r="M1197" s="1855">
        <v>1</v>
      </c>
      <c r="N1197" s="1855">
        <v>1</v>
      </c>
      <c r="O1197" s="1856">
        <v>2</v>
      </c>
    </row>
    <row r="1198" spans="3:15">
      <c r="C1198" s="1861" t="s">
        <v>4987</v>
      </c>
      <c r="D1198" s="1858">
        <v>1</v>
      </c>
      <c r="E1198" s="1858">
        <v>0</v>
      </c>
      <c r="F1198" s="1859">
        <v>1</v>
      </c>
      <c r="G1198" s="1872" t="s">
        <v>4987</v>
      </c>
      <c r="H1198" s="1856">
        <v>1</v>
      </c>
      <c r="I1198" s="1856">
        <v>0</v>
      </c>
      <c r="J1198" s="1873">
        <v>1</v>
      </c>
      <c r="K1198" s="1860"/>
      <c r="L1198" s="1854">
        <v>13117130406</v>
      </c>
      <c r="M1198" s="1855">
        <v>1</v>
      </c>
      <c r="N1198" s="1855">
        <v>0</v>
      </c>
      <c r="O1198" s="1856">
        <v>1</v>
      </c>
    </row>
    <row r="1199" spans="3:15">
      <c r="C1199" s="1861" t="s">
        <v>4988</v>
      </c>
      <c r="D1199" s="1858">
        <v>1</v>
      </c>
      <c r="E1199" s="1858">
        <v>0</v>
      </c>
      <c r="F1199" s="1859">
        <v>1</v>
      </c>
      <c r="G1199" s="1872" t="s">
        <v>4988</v>
      </c>
      <c r="H1199" s="1856">
        <v>0</v>
      </c>
      <c r="I1199" s="1856">
        <v>0</v>
      </c>
      <c r="J1199" s="1873">
        <v>0</v>
      </c>
      <c r="K1199" s="1860"/>
      <c r="L1199" s="1854">
        <v>13117130408</v>
      </c>
      <c r="M1199" s="1855">
        <v>1</v>
      </c>
      <c r="N1199" s="1855">
        <v>0</v>
      </c>
      <c r="O1199" s="1856">
        <v>1</v>
      </c>
    </row>
    <row r="1200" spans="3:15">
      <c r="C1200" s="1861" t="s">
        <v>4989</v>
      </c>
      <c r="D1200" s="1858">
        <v>1</v>
      </c>
      <c r="E1200" s="1858">
        <v>1</v>
      </c>
      <c r="F1200" s="1859">
        <v>2</v>
      </c>
      <c r="G1200" s="1872" t="s">
        <v>4989</v>
      </c>
      <c r="H1200" s="1856">
        <v>1</v>
      </c>
      <c r="I1200" s="1856">
        <v>0</v>
      </c>
      <c r="J1200" s="1873">
        <v>1</v>
      </c>
      <c r="K1200" s="1860"/>
      <c r="L1200" s="1854">
        <v>13117130409</v>
      </c>
      <c r="M1200" s="1855">
        <v>1</v>
      </c>
      <c r="N1200" s="1855">
        <v>1</v>
      </c>
      <c r="O1200" s="1856">
        <v>2</v>
      </c>
    </row>
    <row r="1201" spans="3:15">
      <c r="C1201" s="1861" t="s">
        <v>4990</v>
      </c>
      <c r="D1201" s="1858">
        <v>1</v>
      </c>
      <c r="E1201" s="1858">
        <v>1</v>
      </c>
      <c r="F1201" s="1859">
        <v>2</v>
      </c>
      <c r="G1201" s="1872" t="s">
        <v>4990</v>
      </c>
      <c r="H1201" s="1856">
        <v>1</v>
      </c>
      <c r="I1201" s="1856">
        <v>1</v>
      </c>
      <c r="J1201" s="1873">
        <v>1</v>
      </c>
      <c r="K1201" s="1860"/>
      <c r="L1201" s="1854">
        <v>13117130410</v>
      </c>
      <c r="M1201" s="1855">
        <v>1</v>
      </c>
      <c r="N1201" s="1855">
        <v>1</v>
      </c>
      <c r="O1201" s="1856">
        <v>2</v>
      </c>
    </row>
    <row r="1202" spans="3:15">
      <c r="C1202" s="1861" t="s">
        <v>4991</v>
      </c>
      <c r="D1202" s="1858">
        <v>1</v>
      </c>
      <c r="E1202" s="1858">
        <v>1</v>
      </c>
      <c r="F1202" s="1859">
        <v>2</v>
      </c>
      <c r="G1202" s="1872" t="s">
        <v>4991</v>
      </c>
      <c r="H1202" s="1856">
        <v>1</v>
      </c>
      <c r="I1202" s="1856">
        <v>0</v>
      </c>
      <c r="J1202" s="1873">
        <v>1</v>
      </c>
      <c r="K1202" s="1860"/>
      <c r="L1202" s="1854">
        <v>13117130503</v>
      </c>
      <c r="M1202" s="1855">
        <v>1</v>
      </c>
      <c r="N1202" s="1855">
        <v>1</v>
      </c>
      <c r="O1202" s="1856">
        <v>2</v>
      </c>
    </row>
    <row r="1203" spans="3:15">
      <c r="C1203" s="1861" t="s">
        <v>4992</v>
      </c>
      <c r="D1203" s="1858">
        <v>1</v>
      </c>
      <c r="E1203" s="1858">
        <v>1</v>
      </c>
      <c r="F1203" s="1859">
        <v>2</v>
      </c>
      <c r="G1203" s="1872" t="s">
        <v>4992</v>
      </c>
      <c r="H1203" s="1856">
        <v>1</v>
      </c>
      <c r="I1203" s="1856">
        <v>0</v>
      </c>
      <c r="J1203" s="1873">
        <v>1</v>
      </c>
      <c r="K1203" s="1860"/>
      <c r="L1203" s="1854">
        <v>13117130504</v>
      </c>
      <c r="M1203" s="1855">
        <v>1</v>
      </c>
      <c r="N1203" s="1855">
        <v>1</v>
      </c>
      <c r="O1203" s="1856">
        <v>2</v>
      </c>
    </row>
    <row r="1204" spans="3:15">
      <c r="C1204" s="1861" t="s">
        <v>4993</v>
      </c>
      <c r="D1204" s="1858">
        <v>1</v>
      </c>
      <c r="E1204" s="1858">
        <v>1</v>
      </c>
      <c r="F1204" s="1859">
        <v>2</v>
      </c>
      <c r="G1204" s="1872" t="s">
        <v>4993</v>
      </c>
      <c r="H1204" s="1856">
        <v>1</v>
      </c>
      <c r="I1204" s="1856" t="s">
        <v>3908</v>
      </c>
      <c r="J1204" s="1873">
        <v>1</v>
      </c>
      <c r="K1204" s="1860"/>
      <c r="L1204" s="1854">
        <v>13117130505</v>
      </c>
      <c r="M1204" s="1855">
        <v>1</v>
      </c>
      <c r="N1204" s="1855">
        <v>1</v>
      </c>
      <c r="O1204" s="1856">
        <v>2</v>
      </c>
    </row>
    <row r="1205" spans="3:15">
      <c r="C1205" s="1861" t="s">
        <v>4994</v>
      </c>
      <c r="D1205" s="1858">
        <v>1</v>
      </c>
      <c r="E1205" s="1858">
        <v>1</v>
      </c>
      <c r="F1205" s="1859">
        <v>2</v>
      </c>
      <c r="G1205" s="1872" t="s">
        <v>4994</v>
      </c>
      <c r="H1205" s="1856">
        <v>1</v>
      </c>
      <c r="I1205" s="1856">
        <v>1</v>
      </c>
      <c r="J1205" s="1873">
        <v>2</v>
      </c>
      <c r="K1205" s="1860"/>
      <c r="L1205" s="1854">
        <v>13117130506</v>
      </c>
      <c r="M1205" s="1855">
        <v>1</v>
      </c>
      <c r="N1205" s="1855">
        <v>1</v>
      </c>
      <c r="O1205" s="1856">
        <v>2</v>
      </c>
    </row>
    <row r="1206" spans="3:15">
      <c r="C1206" s="1861" t="s">
        <v>4995</v>
      </c>
      <c r="D1206" s="1858">
        <v>1</v>
      </c>
      <c r="E1206" s="1858">
        <v>1</v>
      </c>
      <c r="F1206" s="1859">
        <v>2</v>
      </c>
      <c r="G1206" s="1872" t="s">
        <v>4995</v>
      </c>
      <c r="H1206" s="1856">
        <v>1</v>
      </c>
      <c r="I1206" s="1856">
        <v>1</v>
      </c>
      <c r="J1206" s="1873">
        <v>2</v>
      </c>
      <c r="K1206" s="1860"/>
      <c r="L1206" s="1854">
        <v>13117130507</v>
      </c>
      <c r="M1206" s="1855">
        <v>1</v>
      </c>
      <c r="N1206" s="1855">
        <v>1</v>
      </c>
      <c r="O1206" s="1856">
        <v>2</v>
      </c>
    </row>
    <row r="1207" spans="3:15">
      <c r="C1207" s="1861" t="s">
        <v>4996</v>
      </c>
      <c r="D1207" s="1858">
        <v>1</v>
      </c>
      <c r="E1207" s="1858">
        <v>1</v>
      </c>
      <c r="F1207" s="1859">
        <v>2</v>
      </c>
      <c r="G1207" s="1872" t="s">
        <v>4996</v>
      </c>
      <c r="H1207" s="1856">
        <v>1</v>
      </c>
      <c r="I1207" s="1856">
        <v>1</v>
      </c>
      <c r="J1207" s="1873">
        <v>2</v>
      </c>
      <c r="K1207" s="1860"/>
      <c r="L1207" s="1854">
        <v>13117130508</v>
      </c>
      <c r="M1207" s="1855">
        <v>1</v>
      </c>
      <c r="N1207" s="1855">
        <v>1</v>
      </c>
      <c r="O1207" s="1856">
        <v>2</v>
      </c>
    </row>
    <row r="1208" spans="3:15">
      <c r="C1208" s="1861" t="s">
        <v>4997</v>
      </c>
      <c r="D1208" s="1858">
        <v>1</v>
      </c>
      <c r="E1208" s="1858">
        <v>1</v>
      </c>
      <c r="F1208" s="1859">
        <v>2</v>
      </c>
      <c r="G1208" s="1872" t="s">
        <v>4997</v>
      </c>
      <c r="H1208" s="1856">
        <v>1</v>
      </c>
      <c r="I1208" s="1856">
        <v>1</v>
      </c>
      <c r="J1208" s="1873">
        <v>2</v>
      </c>
      <c r="K1208" s="1860"/>
      <c r="L1208" s="1854">
        <v>13117130509</v>
      </c>
      <c r="M1208" s="1855">
        <v>1</v>
      </c>
      <c r="N1208" s="1855">
        <v>1</v>
      </c>
      <c r="O1208" s="1856">
        <v>2</v>
      </c>
    </row>
    <row r="1209" spans="3:15">
      <c r="C1209" s="1861" t="s">
        <v>4998</v>
      </c>
      <c r="D1209" s="1858">
        <v>1</v>
      </c>
      <c r="E1209" s="1858">
        <v>1</v>
      </c>
      <c r="F1209" s="1859">
        <v>2</v>
      </c>
      <c r="G1209" s="1872" t="s">
        <v>4998</v>
      </c>
      <c r="H1209" s="1856">
        <v>1</v>
      </c>
      <c r="I1209" s="1856">
        <v>1</v>
      </c>
      <c r="J1209" s="1873">
        <v>2</v>
      </c>
      <c r="K1209" s="1860"/>
      <c r="L1209" s="1854">
        <v>13117130510</v>
      </c>
      <c r="M1209" s="1855">
        <v>1</v>
      </c>
      <c r="N1209" s="1855">
        <v>1</v>
      </c>
      <c r="O1209" s="1856">
        <v>2</v>
      </c>
    </row>
    <row r="1210" spans="3:15">
      <c r="C1210" s="1861" t="s">
        <v>4999</v>
      </c>
      <c r="D1210" s="1858">
        <v>1</v>
      </c>
      <c r="E1210" s="1858">
        <v>1</v>
      </c>
      <c r="F1210" s="1859">
        <v>2</v>
      </c>
      <c r="G1210" s="1872" t="s">
        <v>4999</v>
      </c>
      <c r="H1210" s="1856">
        <v>1</v>
      </c>
      <c r="I1210" s="1856">
        <v>1</v>
      </c>
      <c r="J1210" s="1873">
        <v>2</v>
      </c>
      <c r="K1210" s="1860"/>
      <c r="L1210" s="1854">
        <v>13117130601</v>
      </c>
      <c r="M1210" s="1855">
        <v>1</v>
      </c>
      <c r="N1210" s="1855">
        <v>1</v>
      </c>
      <c r="O1210" s="1856">
        <v>2</v>
      </c>
    </row>
    <row r="1211" spans="3:15">
      <c r="C1211" s="1861" t="s">
        <v>5000</v>
      </c>
      <c r="D1211" s="1858">
        <v>1</v>
      </c>
      <c r="E1211" s="1858">
        <v>1</v>
      </c>
      <c r="F1211" s="1859">
        <v>2</v>
      </c>
      <c r="G1211" s="1872" t="s">
        <v>5000</v>
      </c>
      <c r="H1211" s="1856">
        <v>1</v>
      </c>
      <c r="I1211" s="1856">
        <v>0</v>
      </c>
      <c r="J1211" s="1873">
        <v>1</v>
      </c>
      <c r="K1211" s="1860"/>
      <c r="L1211" s="1854">
        <v>13117130602</v>
      </c>
      <c r="M1211" s="1855">
        <v>1</v>
      </c>
      <c r="N1211" s="1855">
        <v>1</v>
      </c>
      <c r="O1211" s="1856">
        <v>2</v>
      </c>
    </row>
    <row r="1212" spans="3:15">
      <c r="C1212" s="1861" t="s">
        <v>5001</v>
      </c>
      <c r="D1212" s="1858">
        <v>1</v>
      </c>
      <c r="E1212" s="1858">
        <v>1</v>
      </c>
      <c r="F1212" s="1859">
        <v>2</v>
      </c>
      <c r="G1212" s="1872" t="s">
        <v>5001</v>
      </c>
      <c r="H1212" s="1856">
        <v>1</v>
      </c>
      <c r="I1212" s="1856" t="s">
        <v>3908</v>
      </c>
      <c r="J1212" s="1873">
        <v>1</v>
      </c>
      <c r="K1212" s="1860"/>
      <c r="L1212" s="1854">
        <v>13117130603</v>
      </c>
      <c r="M1212" s="1855">
        <v>1</v>
      </c>
      <c r="N1212" s="1855">
        <v>1</v>
      </c>
      <c r="O1212" s="1856">
        <v>2</v>
      </c>
    </row>
    <row r="1213" spans="3:15">
      <c r="C1213" s="1861" t="s">
        <v>5002</v>
      </c>
      <c r="D1213" s="1858">
        <v>1</v>
      </c>
      <c r="E1213" s="1858">
        <v>1</v>
      </c>
      <c r="F1213" s="1859">
        <v>2</v>
      </c>
      <c r="G1213" s="1872" t="s">
        <v>5002</v>
      </c>
      <c r="H1213" s="1856">
        <v>1</v>
      </c>
      <c r="I1213" s="1856">
        <v>1</v>
      </c>
      <c r="J1213" s="1873">
        <v>2</v>
      </c>
      <c r="K1213" s="1860"/>
      <c r="L1213" s="1854">
        <v>13117130604</v>
      </c>
      <c r="M1213" s="1855">
        <v>1</v>
      </c>
      <c r="N1213" s="1855">
        <v>1</v>
      </c>
      <c r="O1213" s="1856">
        <v>2</v>
      </c>
    </row>
    <row r="1214" spans="3:15">
      <c r="C1214" s="1861" t="s">
        <v>5003</v>
      </c>
      <c r="D1214" s="1858">
        <v>1</v>
      </c>
      <c r="E1214" s="1858">
        <v>1</v>
      </c>
      <c r="F1214" s="1859">
        <v>2</v>
      </c>
      <c r="G1214" s="1872" t="s">
        <v>5003</v>
      </c>
      <c r="H1214" s="1856">
        <v>1</v>
      </c>
      <c r="I1214" s="1856">
        <v>1</v>
      </c>
      <c r="J1214" s="1873">
        <v>2</v>
      </c>
      <c r="K1214" s="1860"/>
      <c r="L1214" s="1854">
        <v>13117130605</v>
      </c>
      <c r="M1214" s="1855">
        <v>1</v>
      </c>
      <c r="N1214" s="1855">
        <v>1</v>
      </c>
      <c r="O1214" s="1856">
        <v>2</v>
      </c>
    </row>
    <row r="1215" spans="3:15">
      <c r="C1215" s="1861" t="s">
        <v>5004</v>
      </c>
      <c r="D1215" s="1858">
        <v>1</v>
      </c>
      <c r="E1215" s="1858">
        <v>1</v>
      </c>
      <c r="F1215" s="1859">
        <v>2</v>
      </c>
      <c r="G1215" s="1872" t="s">
        <v>5004</v>
      </c>
      <c r="H1215" s="1856">
        <v>1</v>
      </c>
      <c r="I1215" s="1856">
        <v>1</v>
      </c>
      <c r="J1215" s="1873">
        <v>2</v>
      </c>
      <c r="K1215" s="1860"/>
      <c r="L1215" s="1854">
        <v>13117130606</v>
      </c>
      <c r="M1215" s="1855">
        <v>1</v>
      </c>
      <c r="N1215" s="1855">
        <v>1</v>
      </c>
      <c r="O1215" s="1856">
        <v>2</v>
      </c>
    </row>
    <row r="1216" spans="3:15">
      <c r="C1216" s="1861" t="s">
        <v>5005</v>
      </c>
      <c r="D1216" s="1858">
        <v>1</v>
      </c>
      <c r="E1216" s="1858">
        <v>1</v>
      </c>
      <c r="F1216" s="1859">
        <v>2</v>
      </c>
      <c r="G1216" s="1872" t="s">
        <v>5005</v>
      </c>
      <c r="H1216" s="1856">
        <v>1</v>
      </c>
      <c r="I1216" s="1856">
        <v>1</v>
      </c>
      <c r="J1216" s="1873">
        <v>2</v>
      </c>
      <c r="K1216" s="1860"/>
      <c r="L1216" s="1854">
        <v>13117130607</v>
      </c>
      <c r="M1216" s="1855">
        <v>1</v>
      </c>
      <c r="N1216" s="1855">
        <v>1</v>
      </c>
      <c r="O1216" s="1856">
        <v>2</v>
      </c>
    </row>
    <row r="1217" spans="3:15">
      <c r="C1217" s="1861" t="s">
        <v>5006</v>
      </c>
      <c r="D1217" s="1858">
        <v>1</v>
      </c>
      <c r="E1217" s="1858">
        <v>1</v>
      </c>
      <c r="F1217" s="1859">
        <v>2</v>
      </c>
      <c r="G1217" s="1872" t="s">
        <v>5006</v>
      </c>
      <c r="H1217" s="1856">
        <v>1</v>
      </c>
      <c r="I1217" s="1856">
        <v>1</v>
      </c>
      <c r="J1217" s="1873">
        <v>2</v>
      </c>
      <c r="K1217" s="1860"/>
      <c r="L1217" s="1854">
        <v>13117130608</v>
      </c>
      <c r="M1217" s="1855">
        <v>1</v>
      </c>
      <c r="N1217" s="1855">
        <v>1</v>
      </c>
      <c r="O1217" s="1856">
        <v>2</v>
      </c>
    </row>
    <row r="1218" spans="3:15">
      <c r="C1218" s="1861" t="s">
        <v>5007</v>
      </c>
      <c r="D1218" s="1858">
        <v>1</v>
      </c>
      <c r="E1218" s="1858">
        <v>1</v>
      </c>
      <c r="F1218" s="1859">
        <v>2</v>
      </c>
      <c r="G1218" s="1872" t="s">
        <v>5007</v>
      </c>
      <c r="H1218" s="1856">
        <v>1</v>
      </c>
      <c r="I1218" s="1856">
        <v>1</v>
      </c>
      <c r="J1218" s="1873">
        <v>2</v>
      </c>
      <c r="K1218" s="1860"/>
      <c r="L1218" s="1854">
        <v>13117130609</v>
      </c>
      <c r="M1218" s="1855">
        <v>1</v>
      </c>
      <c r="N1218" s="1855">
        <v>1</v>
      </c>
      <c r="O1218" s="1856">
        <v>2</v>
      </c>
    </row>
    <row r="1219" spans="3:15">
      <c r="C1219" s="1861" t="s">
        <v>5008</v>
      </c>
      <c r="D1219" s="1858">
        <v>1</v>
      </c>
      <c r="E1219" s="1858">
        <v>1</v>
      </c>
      <c r="F1219" s="1859">
        <v>2</v>
      </c>
      <c r="G1219" s="1872" t="s">
        <v>5008</v>
      </c>
      <c r="H1219" s="1856">
        <v>1</v>
      </c>
      <c r="I1219" s="1856">
        <v>1</v>
      </c>
      <c r="J1219" s="1873">
        <v>2</v>
      </c>
      <c r="K1219" s="1860"/>
      <c r="L1219" s="1854">
        <v>13117130610</v>
      </c>
      <c r="M1219" s="1855">
        <v>1</v>
      </c>
      <c r="N1219" s="1855">
        <v>1</v>
      </c>
      <c r="O1219" s="1856">
        <v>2</v>
      </c>
    </row>
    <row r="1220" spans="3:15">
      <c r="C1220" s="1861" t="s">
        <v>5009</v>
      </c>
      <c r="D1220" s="1858">
        <v>1</v>
      </c>
      <c r="E1220" s="1858">
        <v>1</v>
      </c>
      <c r="F1220" s="1859">
        <v>2</v>
      </c>
      <c r="G1220" s="1872" t="s">
        <v>5009</v>
      </c>
      <c r="H1220" s="1856">
        <v>1</v>
      </c>
      <c r="I1220" s="1856">
        <v>1</v>
      </c>
      <c r="J1220" s="1873">
        <v>2</v>
      </c>
      <c r="K1220" s="1860"/>
      <c r="L1220" s="1854">
        <v>13117130611</v>
      </c>
      <c r="M1220" s="1855">
        <v>1</v>
      </c>
      <c r="N1220" s="1855">
        <v>1</v>
      </c>
      <c r="O1220" s="1856">
        <v>2</v>
      </c>
    </row>
    <row r="1221" spans="3:15">
      <c r="C1221" s="1861" t="s">
        <v>5010</v>
      </c>
      <c r="D1221" s="1858">
        <v>1</v>
      </c>
      <c r="E1221" s="1858">
        <v>1</v>
      </c>
      <c r="F1221" s="1859">
        <v>2</v>
      </c>
      <c r="G1221" s="1872" t="s">
        <v>5010</v>
      </c>
      <c r="H1221" s="1856">
        <v>1</v>
      </c>
      <c r="I1221" s="1856">
        <v>1</v>
      </c>
      <c r="J1221" s="1873">
        <v>2</v>
      </c>
      <c r="K1221" s="1860"/>
      <c r="L1221" s="1854">
        <v>13117130612</v>
      </c>
      <c r="M1221" s="1855">
        <v>1</v>
      </c>
      <c r="N1221" s="1855">
        <v>1</v>
      </c>
      <c r="O1221" s="1856">
        <v>2</v>
      </c>
    </row>
    <row r="1222" spans="3:15">
      <c r="C1222" s="1861" t="s">
        <v>5011</v>
      </c>
      <c r="D1222" s="1858">
        <v>1</v>
      </c>
      <c r="E1222" s="1858">
        <v>1</v>
      </c>
      <c r="F1222" s="1859">
        <v>2</v>
      </c>
      <c r="G1222" s="1872" t="s">
        <v>5011</v>
      </c>
      <c r="H1222" s="1856">
        <v>1</v>
      </c>
      <c r="I1222" s="1856" t="s">
        <v>3908</v>
      </c>
      <c r="J1222" s="1873">
        <v>1</v>
      </c>
      <c r="K1222" s="1860"/>
      <c r="L1222" s="1854">
        <v>13117130613</v>
      </c>
      <c r="M1222" s="1855">
        <v>1</v>
      </c>
      <c r="N1222" s="1855">
        <v>1</v>
      </c>
      <c r="O1222" s="1856">
        <v>2</v>
      </c>
    </row>
    <row r="1223" spans="3:15">
      <c r="C1223" s="1861" t="s">
        <v>5012</v>
      </c>
      <c r="D1223" s="1858">
        <v>0</v>
      </c>
      <c r="E1223" s="1858">
        <v>0</v>
      </c>
      <c r="F1223" s="1859">
        <v>0</v>
      </c>
      <c r="G1223" s="1872" t="s">
        <v>5012</v>
      </c>
      <c r="H1223" s="1856">
        <v>0</v>
      </c>
      <c r="I1223" s="1856">
        <v>0</v>
      </c>
      <c r="J1223" s="1873">
        <v>0</v>
      </c>
      <c r="K1223" s="1860"/>
      <c r="L1223" s="1854">
        <v>13119890101</v>
      </c>
      <c r="M1223" s="1855">
        <v>0</v>
      </c>
      <c r="N1223" s="1855">
        <v>0</v>
      </c>
      <c r="O1223" s="1856">
        <v>0</v>
      </c>
    </row>
    <row r="1224" spans="3:15">
      <c r="C1224" s="1861" t="s">
        <v>5013</v>
      </c>
      <c r="D1224" s="1858">
        <v>0</v>
      </c>
      <c r="E1224" s="1858">
        <v>1</v>
      </c>
      <c r="F1224" s="1859">
        <v>1</v>
      </c>
      <c r="G1224" s="1872" t="s">
        <v>5013</v>
      </c>
      <c r="H1224" s="1856">
        <v>0</v>
      </c>
      <c r="I1224" s="1856">
        <v>0</v>
      </c>
      <c r="J1224" s="1873">
        <v>0</v>
      </c>
      <c r="K1224" s="1860"/>
      <c r="L1224" s="1854">
        <v>13119890102</v>
      </c>
      <c r="M1224" s="1855">
        <v>0</v>
      </c>
      <c r="N1224" s="1855">
        <v>1</v>
      </c>
      <c r="O1224" s="1856">
        <v>1</v>
      </c>
    </row>
    <row r="1225" spans="3:15">
      <c r="C1225" s="1861" t="s">
        <v>5014</v>
      </c>
      <c r="D1225" s="1858">
        <v>0</v>
      </c>
      <c r="E1225" s="1858">
        <v>0</v>
      </c>
      <c r="F1225" s="1859">
        <v>0</v>
      </c>
      <c r="G1225" s="1872" t="s">
        <v>5014</v>
      </c>
      <c r="H1225" s="1856">
        <v>0</v>
      </c>
      <c r="I1225" s="1856">
        <v>0</v>
      </c>
      <c r="J1225" s="1873">
        <v>0</v>
      </c>
      <c r="K1225" s="1860"/>
      <c r="L1225" s="1854">
        <v>13119890200</v>
      </c>
      <c r="M1225" s="1855">
        <v>0</v>
      </c>
      <c r="N1225" s="1855">
        <v>0</v>
      </c>
      <c r="O1225" s="1856">
        <v>0</v>
      </c>
    </row>
    <row r="1226" spans="3:15">
      <c r="C1226" s="1861" t="s">
        <v>5015</v>
      </c>
      <c r="D1226" s="1858">
        <v>0</v>
      </c>
      <c r="E1226" s="1858">
        <v>0</v>
      </c>
      <c r="F1226" s="1859">
        <v>0</v>
      </c>
      <c r="G1226" s="1872" t="s">
        <v>5015</v>
      </c>
      <c r="H1226" s="1856">
        <v>0</v>
      </c>
      <c r="I1226" s="1856">
        <v>0</v>
      </c>
      <c r="J1226" s="1873">
        <v>0</v>
      </c>
      <c r="K1226" s="1860"/>
      <c r="L1226" s="1854">
        <v>13119890300</v>
      </c>
      <c r="M1226" s="1855">
        <v>0</v>
      </c>
      <c r="N1226" s="1855">
        <v>0</v>
      </c>
      <c r="O1226" s="1856">
        <v>0</v>
      </c>
    </row>
    <row r="1227" spans="3:15">
      <c r="C1227" s="1861" t="s">
        <v>5016</v>
      </c>
      <c r="D1227" s="1858">
        <v>0</v>
      </c>
      <c r="E1227" s="1858">
        <v>0</v>
      </c>
      <c r="F1227" s="1859">
        <v>0</v>
      </c>
      <c r="G1227" s="1872" t="s">
        <v>5016</v>
      </c>
      <c r="H1227" s="1856">
        <v>0</v>
      </c>
      <c r="I1227" s="1856">
        <v>0</v>
      </c>
      <c r="J1227" s="1873">
        <v>0</v>
      </c>
      <c r="K1227" s="1860"/>
      <c r="L1227" s="1854">
        <v>13119890400</v>
      </c>
      <c r="M1227" s="1855">
        <v>0</v>
      </c>
      <c r="N1227" s="1855">
        <v>0</v>
      </c>
      <c r="O1227" s="1856">
        <v>0</v>
      </c>
    </row>
    <row r="1228" spans="3:15">
      <c r="C1228" s="1861" t="s">
        <v>5017</v>
      </c>
      <c r="D1228" s="1858">
        <v>1</v>
      </c>
      <c r="E1228" s="1858">
        <v>1</v>
      </c>
      <c r="F1228" s="1859">
        <v>2</v>
      </c>
      <c r="G1228" s="1872" t="s">
        <v>5017</v>
      </c>
      <c r="H1228" s="1856">
        <v>1</v>
      </c>
      <c r="I1228" s="1856">
        <v>1</v>
      </c>
      <c r="J1228" s="1873">
        <v>2</v>
      </c>
      <c r="K1228" s="1860"/>
      <c r="L1228" s="1854">
        <v>13121000100</v>
      </c>
      <c r="M1228" s="1855">
        <v>1</v>
      </c>
      <c r="N1228" s="1855">
        <v>1</v>
      </c>
      <c r="O1228" s="1856">
        <v>2</v>
      </c>
    </row>
    <row r="1229" spans="3:15">
      <c r="C1229" s="1861" t="s">
        <v>5018</v>
      </c>
      <c r="D1229" s="1858">
        <v>1</v>
      </c>
      <c r="E1229" s="1858">
        <v>1</v>
      </c>
      <c r="F1229" s="1859">
        <v>2</v>
      </c>
      <c r="G1229" s="1872" t="s">
        <v>5018</v>
      </c>
      <c r="H1229" s="1856">
        <v>1</v>
      </c>
      <c r="I1229" s="1856">
        <v>1</v>
      </c>
      <c r="J1229" s="1873">
        <v>2</v>
      </c>
      <c r="K1229" s="1860"/>
      <c r="L1229" s="1854">
        <v>13121000200</v>
      </c>
      <c r="M1229" s="1855">
        <v>1</v>
      </c>
      <c r="N1229" s="1855">
        <v>1</v>
      </c>
      <c r="O1229" s="1856">
        <v>2</v>
      </c>
    </row>
    <row r="1230" spans="3:15">
      <c r="C1230" s="1861" t="s">
        <v>5019</v>
      </c>
      <c r="D1230" s="1858">
        <v>1</v>
      </c>
      <c r="E1230" s="1858">
        <v>1</v>
      </c>
      <c r="F1230" s="1859">
        <v>2</v>
      </c>
      <c r="G1230" s="1872" t="s">
        <v>5019</v>
      </c>
      <c r="H1230" s="1856">
        <v>1</v>
      </c>
      <c r="I1230" s="1856">
        <v>1</v>
      </c>
      <c r="J1230" s="1873">
        <v>2</v>
      </c>
      <c r="K1230" s="1860"/>
      <c r="L1230" s="1854">
        <v>13121000400</v>
      </c>
      <c r="M1230" s="1855">
        <v>1</v>
      </c>
      <c r="N1230" s="1855">
        <v>1</v>
      </c>
      <c r="O1230" s="1856">
        <v>2</v>
      </c>
    </row>
    <row r="1231" spans="3:15">
      <c r="C1231" s="1861" t="s">
        <v>5020</v>
      </c>
      <c r="D1231" s="1858">
        <v>1</v>
      </c>
      <c r="E1231" s="1858">
        <v>1</v>
      </c>
      <c r="F1231" s="1859">
        <v>2</v>
      </c>
      <c r="G1231" s="1872" t="s">
        <v>5020</v>
      </c>
      <c r="H1231" s="1856">
        <v>1</v>
      </c>
      <c r="I1231" s="1856" t="s">
        <v>3908</v>
      </c>
      <c r="J1231" s="1873">
        <v>1</v>
      </c>
      <c r="K1231" s="1860"/>
      <c r="L1231" s="1854">
        <v>13121000500</v>
      </c>
      <c r="M1231" s="1855">
        <v>1</v>
      </c>
      <c r="N1231" s="1855">
        <v>1</v>
      </c>
      <c r="O1231" s="1856">
        <v>2</v>
      </c>
    </row>
    <row r="1232" spans="3:15">
      <c r="C1232" s="1861" t="s">
        <v>5021</v>
      </c>
      <c r="D1232" s="1858">
        <v>0</v>
      </c>
      <c r="E1232" s="1858">
        <v>1</v>
      </c>
      <c r="F1232" s="1859">
        <v>1</v>
      </c>
      <c r="G1232" s="1872" t="s">
        <v>5021</v>
      </c>
      <c r="H1232" s="1856">
        <v>0</v>
      </c>
      <c r="I1232" s="1856" t="s">
        <v>3908</v>
      </c>
      <c r="J1232" s="1873">
        <v>0</v>
      </c>
      <c r="K1232" s="1860"/>
      <c r="L1232" s="1854">
        <v>13121000600</v>
      </c>
      <c r="M1232" s="1855">
        <v>0</v>
      </c>
      <c r="N1232" s="1855">
        <v>1</v>
      </c>
      <c r="O1232" s="1856">
        <v>1</v>
      </c>
    </row>
    <row r="1233" spans="3:15">
      <c r="C1233" s="1861" t="s">
        <v>5022</v>
      </c>
      <c r="D1233" s="1858">
        <v>0</v>
      </c>
      <c r="E1233" s="1858">
        <v>0</v>
      </c>
      <c r="F1233" s="1859">
        <v>0</v>
      </c>
      <c r="G1233" s="1872" t="s">
        <v>5022</v>
      </c>
      <c r="H1233" s="1856">
        <v>0</v>
      </c>
      <c r="I1233" s="1856" t="s">
        <v>3908</v>
      </c>
      <c r="J1233" s="1873">
        <v>0</v>
      </c>
      <c r="K1233" s="1860"/>
      <c r="L1233" s="1854">
        <v>13121000700</v>
      </c>
      <c r="M1233" s="1855">
        <v>0</v>
      </c>
      <c r="N1233" s="1855">
        <v>0</v>
      </c>
      <c r="O1233" s="1856">
        <v>0</v>
      </c>
    </row>
    <row r="1234" spans="3:15">
      <c r="C1234" s="1861" t="s">
        <v>5023</v>
      </c>
      <c r="D1234" s="1858">
        <v>1</v>
      </c>
      <c r="E1234" s="1858">
        <v>1</v>
      </c>
      <c r="F1234" s="1859">
        <v>2</v>
      </c>
      <c r="G1234" s="1872" t="s">
        <v>5023</v>
      </c>
      <c r="H1234" s="1856">
        <v>1</v>
      </c>
      <c r="I1234" s="1856" t="s">
        <v>3908</v>
      </c>
      <c r="J1234" s="1873">
        <v>1</v>
      </c>
      <c r="K1234" s="1860"/>
      <c r="L1234" s="1854">
        <v>13121001001</v>
      </c>
      <c r="M1234" s="1855">
        <v>1</v>
      </c>
      <c r="N1234" s="1855">
        <v>1</v>
      </c>
      <c r="O1234" s="1856">
        <v>2</v>
      </c>
    </row>
    <row r="1235" spans="3:15">
      <c r="C1235" s="1861" t="s">
        <v>5024</v>
      </c>
      <c r="D1235" s="1858">
        <v>0</v>
      </c>
      <c r="E1235" s="1858">
        <v>1</v>
      </c>
      <c r="F1235" s="1859">
        <v>1</v>
      </c>
      <c r="G1235" s="1872" t="s">
        <v>5024</v>
      </c>
      <c r="H1235" s="1856">
        <v>0</v>
      </c>
      <c r="I1235" s="1856" t="s">
        <v>3908</v>
      </c>
      <c r="J1235" s="1873">
        <v>0</v>
      </c>
      <c r="K1235" s="1860"/>
      <c r="L1235" s="1854">
        <v>13121001002</v>
      </c>
      <c r="M1235" s="1855">
        <v>0</v>
      </c>
      <c r="N1235" s="1855">
        <v>1</v>
      </c>
      <c r="O1235" s="1856">
        <v>1</v>
      </c>
    </row>
    <row r="1236" spans="3:15">
      <c r="C1236" s="1861" t="s">
        <v>5025</v>
      </c>
      <c r="D1236" s="1858">
        <v>1</v>
      </c>
      <c r="E1236" s="1858">
        <v>1</v>
      </c>
      <c r="F1236" s="1859">
        <v>2</v>
      </c>
      <c r="G1236" s="1872" t="s">
        <v>5025</v>
      </c>
      <c r="H1236" s="1856">
        <v>1</v>
      </c>
      <c r="I1236" s="1856" t="s">
        <v>3908</v>
      </c>
      <c r="J1236" s="1873">
        <v>1</v>
      </c>
      <c r="K1236" s="1860"/>
      <c r="L1236" s="1854">
        <v>13121001100</v>
      </c>
      <c r="M1236" s="1855">
        <v>1</v>
      </c>
      <c r="N1236" s="1855">
        <v>1</v>
      </c>
      <c r="O1236" s="1856">
        <v>2</v>
      </c>
    </row>
    <row r="1237" spans="3:15">
      <c r="C1237" s="1861" t="s">
        <v>5026</v>
      </c>
      <c r="D1237" s="1858">
        <v>1</v>
      </c>
      <c r="E1237" s="1858">
        <v>1</v>
      </c>
      <c r="F1237" s="1859">
        <v>2</v>
      </c>
      <c r="G1237" s="1872" t="s">
        <v>5026</v>
      </c>
      <c r="H1237" s="1856">
        <v>1</v>
      </c>
      <c r="I1237" s="1856">
        <v>1</v>
      </c>
      <c r="J1237" s="1873">
        <v>2</v>
      </c>
      <c r="K1237" s="1860"/>
      <c r="L1237" s="1854">
        <v>13121001201</v>
      </c>
      <c r="M1237" s="1855">
        <v>1</v>
      </c>
      <c r="N1237" s="1855">
        <v>1</v>
      </c>
      <c r="O1237" s="1856">
        <v>2</v>
      </c>
    </row>
    <row r="1238" spans="3:15">
      <c r="C1238" s="1861" t="s">
        <v>5027</v>
      </c>
      <c r="D1238" s="1858">
        <v>1</v>
      </c>
      <c r="E1238" s="1858">
        <v>1</v>
      </c>
      <c r="F1238" s="1859">
        <v>2</v>
      </c>
      <c r="G1238" s="1872" t="s">
        <v>5027</v>
      </c>
      <c r="H1238" s="1856">
        <v>1</v>
      </c>
      <c r="I1238" s="1856" t="s">
        <v>3908</v>
      </c>
      <c r="J1238" s="1873">
        <v>1</v>
      </c>
      <c r="K1238" s="1860"/>
      <c r="L1238" s="1854">
        <v>13121001202</v>
      </c>
      <c r="M1238" s="1855">
        <v>1</v>
      </c>
      <c r="N1238" s="1855">
        <v>1</v>
      </c>
      <c r="O1238" s="1856">
        <v>2</v>
      </c>
    </row>
    <row r="1239" spans="3:15">
      <c r="C1239" s="1861" t="s">
        <v>5028</v>
      </c>
      <c r="D1239" s="1858">
        <v>1</v>
      </c>
      <c r="E1239" s="1858">
        <v>1</v>
      </c>
      <c r="F1239" s="1859">
        <v>2</v>
      </c>
      <c r="G1239" s="1872" t="s">
        <v>5028</v>
      </c>
      <c r="H1239" s="1856">
        <v>1</v>
      </c>
      <c r="I1239" s="1856">
        <v>1</v>
      </c>
      <c r="J1239" s="1873">
        <v>2</v>
      </c>
      <c r="K1239" s="1860"/>
      <c r="L1239" s="1854">
        <v>13121001300</v>
      </c>
      <c r="M1239" s="1855">
        <v>1</v>
      </c>
      <c r="N1239" s="1855">
        <v>1</v>
      </c>
      <c r="O1239" s="1856">
        <v>2</v>
      </c>
    </row>
    <row r="1240" spans="3:15">
      <c r="C1240" s="1861" t="s">
        <v>5029</v>
      </c>
      <c r="D1240" s="1858">
        <v>1</v>
      </c>
      <c r="E1240" s="1858">
        <v>1</v>
      </c>
      <c r="F1240" s="1859">
        <v>2</v>
      </c>
      <c r="G1240" s="1872" t="s">
        <v>5029</v>
      </c>
      <c r="H1240" s="1856">
        <v>1</v>
      </c>
      <c r="I1240" s="1856" t="s">
        <v>3908</v>
      </c>
      <c r="J1240" s="1873">
        <v>1</v>
      </c>
      <c r="K1240" s="1860"/>
      <c r="L1240" s="1854">
        <v>13121001400</v>
      </c>
      <c r="M1240" s="1855">
        <v>1</v>
      </c>
      <c r="N1240" s="1855">
        <v>1</v>
      </c>
      <c r="O1240" s="1856">
        <v>2</v>
      </c>
    </row>
    <row r="1241" spans="3:15">
      <c r="C1241" s="1861" t="s">
        <v>5030</v>
      </c>
      <c r="D1241" s="1858">
        <v>1</v>
      </c>
      <c r="E1241" s="1858">
        <v>1</v>
      </c>
      <c r="F1241" s="1859">
        <v>2</v>
      </c>
      <c r="G1241" s="1872" t="s">
        <v>5030</v>
      </c>
      <c r="H1241" s="1856">
        <v>1</v>
      </c>
      <c r="I1241" s="1856">
        <v>0</v>
      </c>
      <c r="J1241" s="1873">
        <v>1</v>
      </c>
      <c r="K1241" s="1860"/>
      <c r="L1241" s="1854">
        <v>13121001500</v>
      </c>
      <c r="M1241" s="1855">
        <v>1</v>
      </c>
      <c r="N1241" s="1855">
        <v>1</v>
      </c>
      <c r="O1241" s="1856">
        <v>2</v>
      </c>
    </row>
    <row r="1242" spans="3:15">
      <c r="C1242" s="1861" t="s">
        <v>5031</v>
      </c>
      <c r="D1242" s="1858">
        <v>1</v>
      </c>
      <c r="E1242" s="1858">
        <v>1</v>
      </c>
      <c r="F1242" s="1859">
        <v>2</v>
      </c>
      <c r="G1242" s="1872" t="s">
        <v>5031</v>
      </c>
      <c r="H1242" s="1856">
        <v>1</v>
      </c>
      <c r="I1242" s="1856" t="s">
        <v>3908</v>
      </c>
      <c r="J1242" s="1873">
        <v>1</v>
      </c>
      <c r="K1242" s="1860"/>
      <c r="L1242" s="1854">
        <v>13121001600</v>
      </c>
      <c r="M1242" s="1855">
        <v>1</v>
      </c>
      <c r="N1242" s="1855">
        <v>1</v>
      </c>
      <c r="O1242" s="1856">
        <v>2</v>
      </c>
    </row>
    <row r="1243" spans="3:15">
      <c r="C1243" s="1861" t="s">
        <v>5032</v>
      </c>
      <c r="D1243" s="1858">
        <v>1</v>
      </c>
      <c r="E1243" s="1858">
        <v>0</v>
      </c>
      <c r="F1243" s="1859">
        <v>1</v>
      </c>
      <c r="G1243" s="1872" t="s">
        <v>5032</v>
      </c>
      <c r="H1243" s="1856">
        <v>1</v>
      </c>
      <c r="I1243" s="1856">
        <v>1</v>
      </c>
      <c r="J1243" s="1873">
        <v>2</v>
      </c>
      <c r="K1243" s="1860"/>
      <c r="L1243" s="1854">
        <v>13121001700</v>
      </c>
      <c r="M1243" s="1855">
        <v>1</v>
      </c>
      <c r="N1243" s="1855">
        <v>1</v>
      </c>
      <c r="O1243" s="1856">
        <v>2</v>
      </c>
    </row>
    <row r="1244" spans="3:15">
      <c r="C1244" s="1861" t="s">
        <v>5033</v>
      </c>
      <c r="D1244" s="1858">
        <v>0</v>
      </c>
      <c r="E1244" s="1858">
        <v>0</v>
      </c>
      <c r="F1244" s="1859">
        <v>0</v>
      </c>
      <c r="G1244" s="1872" t="s">
        <v>5033</v>
      </c>
      <c r="H1244" s="1856">
        <v>0</v>
      </c>
      <c r="I1244" s="1856">
        <v>1</v>
      </c>
      <c r="J1244" s="1873">
        <v>1</v>
      </c>
      <c r="K1244" s="1860"/>
      <c r="L1244" s="1854">
        <v>13121001800</v>
      </c>
      <c r="M1244" s="1855">
        <v>0</v>
      </c>
      <c r="N1244" s="1855">
        <v>1</v>
      </c>
      <c r="O1244" s="1856">
        <v>1</v>
      </c>
    </row>
    <row r="1245" spans="3:15">
      <c r="C1245" s="1861" t="s">
        <v>5034</v>
      </c>
      <c r="D1245" s="1858">
        <v>0</v>
      </c>
      <c r="E1245" s="1858">
        <v>1</v>
      </c>
      <c r="F1245" s="1859">
        <v>1</v>
      </c>
      <c r="G1245" s="1872" t="s">
        <v>5034</v>
      </c>
      <c r="H1245" s="1856">
        <v>0</v>
      </c>
      <c r="I1245" s="1856" t="s">
        <v>3908</v>
      </c>
      <c r="J1245" s="1873">
        <v>0</v>
      </c>
      <c r="K1245" s="1860"/>
      <c r="L1245" s="1854">
        <v>13121001900</v>
      </c>
      <c r="M1245" s="1855">
        <v>0</v>
      </c>
      <c r="N1245" s="1855">
        <v>1</v>
      </c>
      <c r="O1245" s="1856">
        <v>1</v>
      </c>
    </row>
    <row r="1246" spans="3:15">
      <c r="C1246" s="1861" t="s">
        <v>5035</v>
      </c>
      <c r="D1246" s="1858">
        <v>0</v>
      </c>
      <c r="E1246" s="1858">
        <v>0</v>
      </c>
      <c r="F1246" s="1859">
        <v>0</v>
      </c>
      <c r="G1246" s="1872" t="s">
        <v>5035</v>
      </c>
      <c r="H1246" s="1856">
        <v>0</v>
      </c>
      <c r="I1246" s="1856" t="s">
        <v>3908</v>
      </c>
      <c r="J1246" s="1873">
        <v>0</v>
      </c>
      <c r="K1246" s="1860"/>
      <c r="L1246" s="1854">
        <v>13121002100</v>
      </c>
      <c r="M1246" s="1855">
        <v>0</v>
      </c>
      <c r="N1246" s="1855">
        <v>0</v>
      </c>
      <c r="O1246" s="1856">
        <v>0</v>
      </c>
    </row>
    <row r="1247" spans="3:15">
      <c r="C1247" s="1861" t="s">
        <v>5036</v>
      </c>
      <c r="D1247" s="1858">
        <v>0</v>
      </c>
      <c r="E1247" s="1858">
        <v>0</v>
      </c>
      <c r="F1247" s="1859">
        <v>0</v>
      </c>
      <c r="G1247" s="1872" t="s">
        <v>5036</v>
      </c>
      <c r="H1247" s="1856">
        <v>0</v>
      </c>
      <c r="I1247" s="1856">
        <v>0</v>
      </c>
      <c r="J1247" s="1873">
        <v>0</v>
      </c>
      <c r="K1247" s="1860"/>
      <c r="L1247" s="1854">
        <v>13121002300</v>
      </c>
      <c r="M1247" s="1855">
        <v>0</v>
      </c>
      <c r="N1247" s="1855">
        <v>0</v>
      </c>
      <c r="O1247" s="1856">
        <v>0</v>
      </c>
    </row>
    <row r="1248" spans="3:15">
      <c r="C1248" s="1861" t="s">
        <v>5037</v>
      </c>
      <c r="D1248" s="1858">
        <v>0</v>
      </c>
      <c r="E1248" s="1858">
        <v>0</v>
      </c>
      <c r="F1248" s="1859">
        <v>0</v>
      </c>
      <c r="G1248" s="1872" t="s">
        <v>5037</v>
      </c>
      <c r="H1248" s="1856">
        <v>0</v>
      </c>
      <c r="I1248" s="1856">
        <v>0</v>
      </c>
      <c r="J1248" s="1873">
        <v>0</v>
      </c>
      <c r="K1248" s="1860"/>
      <c r="L1248" s="1854">
        <v>13121002400</v>
      </c>
      <c r="M1248" s="1855">
        <v>0</v>
      </c>
      <c r="N1248" s="1855">
        <v>0</v>
      </c>
      <c r="O1248" s="1856">
        <v>0</v>
      </c>
    </row>
    <row r="1249" spans="3:15">
      <c r="C1249" s="1861" t="s">
        <v>5038</v>
      </c>
      <c r="D1249" s="1858">
        <v>0</v>
      </c>
      <c r="E1249" s="1858">
        <v>0</v>
      </c>
      <c r="F1249" s="1859">
        <v>0</v>
      </c>
      <c r="G1249" s="1872" t="s">
        <v>5038</v>
      </c>
      <c r="H1249" s="1856">
        <v>0</v>
      </c>
      <c r="I1249" s="1856">
        <v>0</v>
      </c>
      <c r="J1249" s="1873">
        <v>0</v>
      </c>
      <c r="K1249" s="1860"/>
      <c r="L1249" s="1854">
        <v>13121002500</v>
      </c>
      <c r="M1249" s="1855">
        <v>0</v>
      </c>
      <c r="N1249" s="1855">
        <v>0</v>
      </c>
      <c r="O1249" s="1856">
        <v>0</v>
      </c>
    </row>
    <row r="1250" spans="3:15">
      <c r="C1250" s="1861" t="s">
        <v>5039</v>
      </c>
      <c r="D1250" s="1858">
        <v>0</v>
      </c>
      <c r="E1250" s="1858">
        <v>0</v>
      </c>
      <c r="F1250" s="1859">
        <v>0</v>
      </c>
      <c r="G1250" s="1872" t="s">
        <v>5039</v>
      </c>
      <c r="H1250" s="1856">
        <v>0</v>
      </c>
      <c r="I1250" s="1856" t="s">
        <v>3908</v>
      </c>
      <c r="J1250" s="1873">
        <v>0</v>
      </c>
      <c r="K1250" s="1860"/>
      <c r="L1250" s="1854">
        <v>13121002600</v>
      </c>
      <c r="M1250" s="1855">
        <v>0</v>
      </c>
      <c r="N1250" s="1855">
        <v>0</v>
      </c>
      <c r="O1250" s="1856">
        <v>0</v>
      </c>
    </row>
    <row r="1251" spans="3:15">
      <c r="C1251" s="1861" t="s">
        <v>5040</v>
      </c>
      <c r="D1251" s="1858">
        <v>0</v>
      </c>
      <c r="E1251" s="1858">
        <v>0</v>
      </c>
      <c r="F1251" s="1859">
        <v>0</v>
      </c>
      <c r="G1251" s="1872" t="s">
        <v>5040</v>
      </c>
      <c r="H1251" s="1856">
        <v>0</v>
      </c>
      <c r="I1251" s="1856" t="s">
        <v>3908</v>
      </c>
      <c r="J1251" s="1873">
        <v>0</v>
      </c>
      <c r="K1251" s="1860"/>
      <c r="L1251" s="1854">
        <v>13121002800</v>
      </c>
      <c r="M1251" s="1855">
        <v>0</v>
      </c>
      <c r="N1251" s="1855">
        <v>0</v>
      </c>
      <c r="O1251" s="1856">
        <v>0</v>
      </c>
    </row>
    <row r="1252" spans="3:15">
      <c r="C1252" s="1861" t="s">
        <v>5041</v>
      </c>
      <c r="D1252" s="1858">
        <v>1</v>
      </c>
      <c r="E1252" s="1858">
        <v>1</v>
      </c>
      <c r="F1252" s="1859">
        <v>2</v>
      </c>
      <c r="G1252" s="1872" t="s">
        <v>5041</v>
      </c>
      <c r="H1252" s="1856">
        <v>1</v>
      </c>
      <c r="I1252" s="1856">
        <v>1</v>
      </c>
      <c r="J1252" s="1873">
        <v>2</v>
      </c>
      <c r="K1252" s="1860"/>
      <c r="L1252" s="1854">
        <v>13121002900</v>
      </c>
      <c r="M1252" s="1855">
        <v>1</v>
      </c>
      <c r="N1252" s="1855">
        <v>1</v>
      </c>
      <c r="O1252" s="1856">
        <v>2</v>
      </c>
    </row>
    <row r="1253" spans="3:15">
      <c r="C1253" s="1861" t="s">
        <v>5042</v>
      </c>
      <c r="D1253" s="1858">
        <v>1</v>
      </c>
      <c r="E1253" s="1858">
        <v>1</v>
      </c>
      <c r="F1253" s="1859">
        <v>2</v>
      </c>
      <c r="G1253" s="1872" t="s">
        <v>5042</v>
      </c>
      <c r="H1253" s="1856">
        <v>1</v>
      </c>
      <c r="I1253" s="1856" t="s">
        <v>3908</v>
      </c>
      <c r="J1253" s="1873">
        <v>1</v>
      </c>
      <c r="K1253" s="1860"/>
      <c r="L1253" s="1854">
        <v>13121003000</v>
      </c>
      <c r="M1253" s="1855">
        <v>1</v>
      </c>
      <c r="N1253" s="1855">
        <v>1</v>
      </c>
      <c r="O1253" s="1856">
        <v>2</v>
      </c>
    </row>
    <row r="1254" spans="3:15">
      <c r="C1254" s="1861" t="s">
        <v>5043</v>
      </c>
      <c r="D1254" s="1858">
        <v>1</v>
      </c>
      <c r="E1254" s="1858">
        <v>0</v>
      </c>
      <c r="F1254" s="1859">
        <v>1</v>
      </c>
      <c r="G1254" s="1872" t="s">
        <v>5043</v>
      </c>
      <c r="H1254" s="1856">
        <v>1</v>
      </c>
      <c r="I1254" s="1856">
        <v>0</v>
      </c>
      <c r="J1254" s="1873">
        <v>1</v>
      </c>
      <c r="K1254" s="1860"/>
      <c r="L1254" s="1854">
        <v>13121003100</v>
      </c>
      <c r="M1254" s="1855">
        <v>1</v>
      </c>
      <c r="N1254" s="1855">
        <v>0</v>
      </c>
      <c r="O1254" s="1856">
        <v>1</v>
      </c>
    </row>
    <row r="1255" spans="3:15">
      <c r="C1255" s="1861" t="s">
        <v>5044</v>
      </c>
      <c r="D1255" s="1858">
        <v>1</v>
      </c>
      <c r="E1255" s="1858">
        <v>1</v>
      </c>
      <c r="F1255" s="1859">
        <v>2</v>
      </c>
      <c r="G1255" s="1872" t="s">
        <v>5044</v>
      </c>
      <c r="H1255" s="1856">
        <v>1</v>
      </c>
      <c r="I1255" s="1856" t="s">
        <v>3908</v>
      </c>
      <c r="J1255" s="1873">
        <v>1</v>
      </c>
      <c r="K1255" s="1860"/>
      <c r="L1255" s="1854">
        <v>13121003200</v>
      </c>
      <c r="M1255" s="1855">
        <v>1</v>
      </c>
      <c r="N1255" s="1855">
        <v>1</v>
      </c>
      <c r="O1255" s="1856">
        <v>2</v>
      </c>
    </row>
    <row r="1256" spans="3:15">
      <c r="C1256" s="1861" t="s">
        <v>5045</v>
      </c>
      <c r="D1256" s="1858">
        <v>0</v>
      </c>
      <c r="E1256" s="1858">
        <v>0</v>
      </c>
      <c r="F1256" s="1859">
        <v>0</v>
      </c>
      <c r="G1256" s="1872" t="s">
        <v>5045</v>
      </c>
      <c r="H1256" s="1856">
        <v>0</v>
      </c>
      <c r="I1256" s="1856" t="s">
        <v>3908</v>
      </c>
      <c r="J1256" s="1873">
        <v>0</v>
      </c>
      <c r="K1256" s="1860"/>
      <c r="L1256" s="1854">
        <v>13121003500</v>
      </c>
      <c r="M1256" s="1855">
        <v>0</v>
      </c>
      <c r="N1256" s="1855">
        <v>0</v>
      </c>
      <c r="O1256" s="1856">
        <v>0</v>
      </c>
    </row>
    <row r="1257" spans="3:15">
      <c r="C1257" s="1861" t="s">
        <v>5046</v>
      </c>
      <c r="D1257" s="1858">
        <v>1</v>
      </c>
      <c r="E1257" s="1858">
        <v>0</v>
      </c>
      <c r="F1257" s="1859">
        <v>1</v>
      </c>
      <c r="G1257" s="1872" t="s">
        <v>5046</v>
      </c>
      <c r="H1257" s="1856">
        <v>0</v>
      </c>
      <c r="I1257" s="1856">
        <v>0</v>
      </c>
      <c r="J1257" s="1873">
        <v>0</v>
      </c>
      <c r="K1257" s="1860"/>
      <c r="L1257" s="1854">
        <v>13121003600</v>
      </c>
      <c r="M1257" s="1855">
        <v>1</v>
      </c>
      <c r="N1257" s="1855">
        <v>0</v>
      </c>
      <c r="O1257" s="1856">
        <v>1</v>
      </c>
    </row>
    <row r="1258" spans="3:15">
      <c r="C1258" s="1861" t="s">
        <v>5047</v>
      </c>
      <c r="D1258" s="1858" t="s">
        <v>3908</v>
      </c>
      <c r="E1258" s="1858" t="s">
        <v>3908</v>
      </c>
      <c r="F1258" s="1859">
        <v>0</v>
      </c>
      <c r="G1258" s="1872" t="s">
        <v>5047</v>
      </c>
      <c r="H1258" s="1856">
        <v>0</v>
      </c>
      <c r="I1258" s="1856" t="s">
        <v>3908</v>
      </c>
      <c r="J1258" s="1873">
        <v>0</v>
      </c>
      <c r="K1258" s="1860"/>
      <c r="L1258" s="1854">
        <v>13121003700</v>
      </c>
      <c r="M1258" s="1855">
        <v>0</v>
      </c>
      <c r="N1258" s="1855">
        <v>0</v>
      </c>
      <c r="O1258" s="1856">
        <v>0</v>
      </c>
    </row>
    <row r="1259" spans="3:15">
      <c r="C1259" s="1861" t="s">
        <v>5048</v>
      </c>
      <c r="D1259" s="1858">
        <v>0</v>
      </c>
      <c r="E1259" s="1858">
        <v>0</v>
      </c>
      <c r="F1259" s="1859">
        <v>0</v>
      </c>
      <c r="G1259" s="1872" t="s">
        <v>5048</v>
      </c>
      <c r="H1259" s="1856">
        <v>0</v>
      </c>
      <c r="I1259" s="1856" t="s">
        <v>3908</v>
      </c>
      <c r="J1259" s="1873">
        <v>0</v>
      </c>
      <c r="K1259" s="1860"/>
      <c r="L1259" s="1854">
        <v>13121003800</v>
      </c>
      <c r="M1259" s="1855">
        <v>0</v>
      </c>
      <c r="N1259" s="1855">
        <v>0</v>
      </c>
      <c r="O1259" s="1856">
        <v>0</v>
      </c>
    </row>
    <row r="1260" spans="3:15">
      <c r="C1260" s="1861" t="s">
        <v>5049</v>
      </c>
      <c r="D1260" s="1858">
        <v>0</v>
      </c>
      <c r="E1260" s="1858">
        <v>0</v>
      </c>
      <c r="F1260" s="1859">
        <v>0</v>
      </c>
      <c r="G1260" s="1872" t="s">
        <v>5049</v>
      </c>
      <c r="H1260" s="1856">
        <v>0</v>
      </c>
      <c r="I1260" s="1856">
        <v>0</v>
      </c>
      <c r="J1260" s="1873">
        <v>0</v>
      </c>
      <c r="K1260" s="1860"/>
      <c r="L1260" s="1854">
        <v>13121003900</v>
      </c>
      <c r="M1260" s="1855">
        <v>0</v>
      </c>
      <c r="N1260" s="1855">
        <v>0</v>
      </c>
      <c r="O1260" s="1856">
        <v>0</v>
      </c>
    </row>
    <row r="1261" spans="3:15">
      <c r="C1261" s="1861" t="s">
        <v>5050</v>
      </c>
      <c r="D1261" s="1858">
        <v>0</v>
      </c>
      <c r="E1261" s="1858">
        <v>0</v>
      </c>
      <c r="F1261" s="1859">
        <v>0</v>
      </c>
      <c r="G1261" s="1872" t="s">
        <v>5050</v>
      </c>
      <c r="H1261" s="1856">
        <v>0</v>
      </c>
      <c r="I1261" s="1856">
        <v>0</v>
      </c>
      <c r="J1261" s="1873">
        <v>0</v>
      </c>
      <c r="K1261" s="1860"/>
      <c r="L1261" s="1854">
        <v>13121004000</v>
      </c>
      <c r="M1261" s="1855">
        <v>0</v>
      </c>
      <c r="N1261" s="1855">
        <v>0</v>
      </c>
      <c r="O1261" s="1856">
        <v>0</v>
      </c>
    </row>
    <row r="1262" spans="3:15">
      <c r="C1262" s="1861" t="s">
        <v>5051</v>
      </c>
      <c r="D1262" s="1858">
        <v>0</v>
      </c>
      <c r="E1262" s="1858">
        <v>0</v>
      </c>
      <c r="F1262" s="1859">
        <v>0</v>
      </c>
      <c r="G1262" s="1872" t="s">
        <v>5051</v>
      </c>
      <c r="H1262" s="1856">
        <v>0</v>
      </c>
      <c r="I1262" s="1856">
        <v>0</v>
      </c>
      <c r="J1262" s="1873">
        <v>0</v>
      </c>
      <c r="K1262" s="1860"/>
      <c r="L1262" s="1854">
        <v>13121004100</v>
      </c>
      <c r="M1262" s="1855">
        <v>0</v>
      </c>
      <c r="N1262" s="1855">
        <v>0</v>
      </c>
      <c r="O1262" s="1856">
        <v>0</v>
      </c>
    </row>
    <row r="1263" spans="3:15">
      <c r="C1263" s="1861" t="s">
        <v>5052</v>
      </c>
      <c r="D1263" s="1858">
        <v>0</v>
      </c>
      <c r="E1263" s="1858">
        <v>0</v>
      </c>
      <c r="F1263" s="1859">
        <v>0</v>
      </c>
      <c r="G1263" s="1872" t="s">
        <v>5052</v>
      </c>
      <c r="H1263" s="1856">
        <v>0</v>
      </c>
      <c r="I1263" s="1856">
        <v>0</v>
      </c>
      <c r="J1263" s="1873">
        <v>0</v>
      </c>
      <c r="K1263" s="1860"/>
      <c r="L1263" s="1854">
        <v>13121004200</v>
      </c>
      <c r="M1263" s="1855">
        <v>0</v>
      </c>
      <c r="N1263" s="1855">
        <v>0</v>
      </c>
      <c r="O1263" s="1856">
        <v>0</v>
      </c>
    </row>
    <row r="1264" spans="3:15">
      <c r="C1264" s="1861" t="s">
        <v>5053</v>
      </c>
      <c r="D1264" s="1858">
        <v>0</v>
      </c>
      <c r="E1264" s="1858">
        <v>0</v>
      </c>
      <c r="F1264" s="1859">
        <v>0</v>
      </c>
      <c r="G1264" s="1872" t="s">
        <v>5053</v>
      </c>
      <c r="H1264" s="1856">
        <v>0</v>
      </c>
      <c r="I1264" s="1856" t="s">
        <v>3908</v>
      </c>
      <c r="J1264" s="1873">
        <v>0</v>
      </c>
      <c r="K1264" s="1860"/>
      <c r="L1264" s="1854">
        <v>13121004300</v>
      </c>
      <c r="M1264" s="1855">
        <v>0</v>
      </c>
      <c r="N1264" s="1855">
        <v>0</v>
      </c>
      <c r="O1264" s="1856">
        <v>0</v>
      </c>
    </row>
    <row r="1265" spans="3:15">
      <c r="C1265" s="1861" t="s">
        <v>5054</v>
      </c>
      <c r="D1265" s="1858">
        <v>0</v>
      </c>
      <c r="E1265" s="1858">
        <v>0</v>
      </c>
      <c r="F1265" s="1859">
        <v>0</v>
      </c>
      <c r="G1265" s="1872" t="s">
        <v>5054</v>
      </c>
      <c r="H1265" s="1856">
        <v>0</v>
      </c>
      <c r="I1265" s="1856">
        <v>0</v>
      </c>
      <c r="J1265" s="1873">
        <v>0</v>
      </c>
      <c r="K1265" s="1860"/>
      <c r="L1265" s="1854">
        <v>13121004400</v>
      </c>
      <c r="M1265" s="1855">
        <v>0</v>
      </c>
      <c r="N1265" s="1855">
        <v>0</v>
      </c>
      <c r="O1265" s="1856">
        <v>0</v>
      </c>
    </row>
    <row r="1266" spans="3:15">
      <c r="C1266" s="1861" t="s">
        <v>5055</v>
      </c>
      <c r="D1266" s="1858">
        <v>0</v>
      </c>
      <c r="E1266" s="1858">
        <v>0</v>
      </c>
      <c r="F1266" s="1859">
        <v>0</v>
      </c>
      <c r="G1266" s="1872" t="s">
        <v>5055</v>
      </c>
      <c r="H1266" s="1856">
        <v>0</v>
      </c>
      <c r="I1266" s="1856" t="s">
        <v>3908</v>
      </c>
      <c r="J1266" s="1873">
        <v>0</v>
      </c>
      <c r="K1266" s="1860"/>
      <c r="L1266" s="1854">
        <v>13121004800</v>
      </c>
      <c r="M1266" s="1855">
        <v>0</v>
      </c>
      <c r="N1266" s="1855">
        <v>0</v>
      </c>
      <c r="O1266" s="1856">
        <v>0</v>
      </c>
    </row>
    <row r="1267" spans="3:15">
      <c r="C1267" s="1861" t="s">
        <v>5056</v>
      </c>
      <c r="D1267" s="1858">
        <v>1</v>
      </c>
      <c r="E1267" s="1858">
        <v>0</v>
      </c>
      <c r="F1267" s="1859">
        <v>1</v>
      </c>
      <c r="G1267" s="1872" t="s">
        <v>5056</v>
      </c>
      <c r="H1267" s="1856">
        <v>1</v>
      </c>
      <c r="I1267" s="1856" t="s">
        <v>3908</v>
      </c>
      <c r="J1267" s="1873">
        <v>1</v>
      </c>
      <c r="K1267" s="1860"/>
      <c r="L1267" s="1854">
        <v>13121004900</v>
      </c>
      <c r="M1267" s="1855">
        <v>1</v>
      </c>
      <c r="N1267" s="1855">
        <v>0</v>
      </c>
      <c r="O1267" s="1856">
        <v>1</v>
      </c>
    </row>
    <row r="1268" spans="3:15">
      <c r="C1268" s="1861" t="s">
        <v>5057</v>
      </c>
      <c r="D1268" s="1858">
        <v>1</v>
      </c>
      <c r="E1268" s="1858">
        <v>1</v>
      </c>
      <c r="F1268" s="1859">
        <v>2</v>
      </c>
      <c r="G1268" s="1872" t="s">
        <v>5057</v>
      </c>
      <c r="H1268" s="1856">
        <v>1</v>
      </c>
      <c r="I1268" s="1856">
        <v>1</v>
      </c>
      <c r="J1268" s="1873">
        <v>2</v>
      </c>
      <c r="K1268" s="1860"/>
      <c r="L1268" s="1854">
        <v>13121005000</v>
      </c>
      <c r="M1268" s="1855">
        <v>1</v>
      </c>
      <c r="N1268" s="1855">
        <v>1</v>
      </c>
      <c r="O1268" s="1856">
        <v>2</v>
      </c>
    </row>
    <row r="1269" spans="3:15">
      <c r="C1269" s="1861" t="s">
        <v>5058</v>
      </c>
      <c r="D1269" s="1858">
        <v>1</v>
      </c>
      <c r="E1269" s="1858">
        <v>1</v>
      </c>
      <c r="F1269" s="1859">
        <v>2</v>
      </c>
      <c r="G1269" s="1872" t="s">
        <v>5058</v>
      </c>
      <c r="H1269" s="1856">
        <v>1</v>
      </c>
      <c r="I1269" s="1856">
        <v>1</v>
      </c>
      <c r="J1269" s="1873">
        <v>2</v>
      </c>
      <c r="K1269" s="1860"/>
      <c r="L1269" s="1854">
        <v>13121005200</v>
      </c>
      <c r="M1269" s="1855">
        <v>1</v>
      </c>
      <c r="N1269" s="1855">
        <v>1</v>
      </c>
      <c r="O1269" s="1856">
        <v>2</v>
      </c>
    </row>
    <row r="1270" spans="3:15">
      <c r="C1270" s="1861" t="s">
        <v>5059</v>
      </c>
      <c r="D1270" s="1858">
        <v>1</v>
      </c>
      <c r="E1270" s="1858">
        <v>1</v>
      </c>
      <c r="F1270" s="1859">
        <v>2</v>
      </c>
      <c r="G1270" s="1872" t="s">
        <v>5059</v>
      </c>
      <c r="H1270" s="1856">
        <v>1</v>
      </c>
      <c r="I1270" s="1856">
        <v>1</v>
      </c>
      <c r="J1270" s="1873">
        <v>2</v>
      </c>
      <c r="K1270" s="1860"/>
      <c r="L1270" s="1854">
        <v>13121005300</v>
      </c>
      <c r="M1270" s="1855">
        <v>1</v>
      </c>
      <c r="N1270" s="1855">
        <v>1</v>
      </c>
      <c r="O1270" s="1856">
        <v>2</v>
      </c>
    </row>
    <row r="1271" spans="3:15">
      <c r="C1271" s="1861" t="s">
        <v>5060</v>
      </c>
      <c r="D1271" s="1858">
        <v>0</v>
      </c>
      <c r="E1271" s="1858">
        <v>0</v>
      </c>
      <c r="F1271" s="1859">
        <v>0</v>
      </c>
      <c r="G1271" s="1872" t="s">
        <v>5060</v>
      </c>
      <c r="H1271" s="1856">
        <v>0</v>
      </c>
      <c r="I1271" s="1856">
        <v>0</v>
      </c>
      <c r="J1271" s="1873">
        <v>0</v>
      </c>
      <c r="K1271" s="1860"/>
      <c r="L1271" s="1854">
        <v>13121005501</v>
      </c>
      <c r="M1271" s="1855">
        <v>0</v>
      </c>
      <c r="N1271" s="1855">
        <v>0</v>
      </c>
      <c r="O1271" s="1856">
        <v>0</v>
      </c>
    </row>
    <row r="1272" spans="3:15">
      <c r="C1272" s="1861" t="s">
        <v>5061</v>
      </c>
      <c r="D1272" s="1858">
        <v>0</v>
      </c>
      <c r="E1272" s="1858">
        <v>0</v>
      </c>
      <c r="F1272" s="1859">
        <v>0</v>
      </c>
      <c r="G1272" s="1872" t="s">
        <v>5061</v>
      </c>
      <c r="H1272" s="1856">
        <v>0</v>
      </c>
      <c r="I1272" s="1856">
        <v>0</v>
      </c>
      <c r="J1272" s="1873">
        <v>0</v>
      </c>
      <c r="K1272" s="1860"/>
      <c r="L1272" s="1854">
        <v>13121005502</v>
      </c>
      <c r="M1272" s="1855">
        <v>0</v>
      </c>
      <c r="N1272" s="1855">
        <v>0</v>
      </c>
      <c r="O1272" s="1856">
        <v>0</v>
      </c>
    </row>
    <row r="1273" spans="3:15">
      <c r="C1273" s="1861" t="s">
        <v>5062</v>
      </c>
      <c r="D1273" s="1858">
        <v>0</v>
      </c>
      <c r="E1273" s="1858">
        <v>0</v>
      </c>
      <c r="F1273" s="1859">
        <v>0</v>
      </c>
      <c r="G1273" s="1872" t="s">
        <v>5062</v>
      </c>
      <c r="H1273" s="1856">
        <v>0</v>
      </c>
      <c r="I1273" s="1856">
        <v>0</v>
      </c>
      <c r="J1273" s="1873">
        <v>0</v>
      </c>
      <c r="K1273" s="1860"/>
      <c r="L1273" s="1854">
        <v>13121005700</v>
      </c>
      <c r="M1273" s="1855">
        <v>0</v>
      </c>
      <c r="N1273" s="1855">
        <v>0</v>
      </c>
      <c r="O1273" s="1856">
        <v>0</v>
      </c>
    </row>
    <row r="1274" spans="3:15">
      <c r="C1274" s="1861" t="s">
        <v>5063</v>
      </c>
      <c r="D1274" s="1858">
        <v>0</v>
      </c>
      <c r="E1274" s="1858">
        <v>0</v>
      </c>
      <c r="F1274" s="1859">
        <v>0</v>
      </c>
      <c r="G1274" s="1872" t="s">
        <v>5063</v>
      </c>
      <c r="H1274" s="1856">
        <v>0</v>
      </c>
      <c r="I1274" s="1856">
        <v>0</v>
      </c>
      <c r="J1274" s="1873">
        <v>0</v>
      </c>
      <c r="K1274" s="1860"/>
      <c r="L1274" s="1854">
        <v>13121005800</v>
      </c>
      <c r="M1274" s="1855">
        <v>0</v>
      </c>
      <c r="N1274" s="1855">
        <v>0</v>
      </c>
      <c r="O1274" s="1856">
        <v>0</v>
      </c>
    </row>
    <row r="1275" spans="3:15">
      <c r="C1275" s="1861" t="s">
        <v>5064</v>
      </c>
      <c r="D1275" s="1858">
        <v>0</v>
      </c>
      <c r="E1275" s="1858">
        <v>0</v>
      </c>
      <c r="F1275" s="1859">
        <v>0</v>
      </c>
      <c r="G1275" s="1872" t="s">
        <v>5064</v>
      </c>
      <c r="H1275" s="1856">
        <v>0</v>
      </c>
      <c r="I1275" s="1856">
        <v>0</v>
      </c>
      <c r="J1275" s="1873">
        <v>0</v>
      </c>
      <c r="K1275" s="1860"/>
      <c r="L1275" s="1854">
        <v>13121006000</v>
      </c>
      <c r="M1275" s="1855">
        <v>0</v>
      </c>
      <c r="N1275" s="1855">
        <v>0</v>
      </c>
      <c r="O1275" s="1856">
        <v>0</v>
      </c>
    </row>
    <row r="1276" spans="3:15">
      <c r="C1276" s="1861" t="s">
        <v>5065</v>
      </c>
      <c r="D1276" s="1858">
        <v>0</v>
      </c>
      <c r="E1276" s="1858">
        <v>0</v>
      </c>
      <c r="F1276" s="1859">
        <v>0</v>
      </c>
      <c r="G1276" s="1872" t="s">
        <v>5065</v>
      </c>
      <c r="H1276" s="1856">
        <v>0</v>
      </c>
      <c r="I1276" s="1856">
        <v>0</v>
      </c>
      <c r="J1276" s="1873">
        <v>0</v>
      </c>
      <c r="K1276" s="1860"/>
      <c r="L1276" s="1854">
        <v>13121006100</v>
      </c>
      <c r="M1276" s="1855">
        <v>0</v>
      </c>
      <c r="N1276" s="1855">
        <v>0</v>
      </c>
      <c r="O1276" s="1856">
        <v>0</v>
      </c>
    </row>
    <row r="1277" spans="3:15">
      <c r="C1277" s="1861" t="s">
        <v>5066</v>
      </c>
      <c r="D1277" s="1858">
        <v>0</v>
      </c>
      <c r="E1277" s="1858">
        <v>0</v>
      </c>
      <c r="F1277" s="1859">
        <v>0</v>
      </c>
      <c r="G1277" s="1872" t="s">
        <v>5066</v>
      </c>
      <c r="H1277" s="1856">
        <v>0</v>
      </c>
      <c r="I1277" s="1856">
        <v>0</v>
      </c>
      <c r="J1277" s="1873">
        <v>0</v>
      </c>
      <c r="K1277" s="1860"/>
      <c r="L1277" s="1854">
        <v>13121006200</v>
      </c>
      <c r="M1277" s="1855">
        <v>0</v>
      </c>
      <c r="N1277" s="1855">
        <v>0</v>
      </c>
      <c r="O1277" s="1856">
        <v>0</v>
      </c>
    </row>
    <row r="1278" spans="3:15">
      <c r="C1278" s="1861" t="s">
        <v>5067</v>
      </c>
      <c r="D1278" s="1858">
        <v>0</v>
      </c>
      <c r="E1278" s="1858">
        <v>0</v>
      </c>
      <c r="F1278" s="1859">
        <v>0</v>
      </c>
      <c r="G1278" s="1872" t="s">
        <v>5067</v>
      </c>
      <c r="H1278" s="1856">
        <v>0</v>
      </c>
      <c r="I1278" s="1856">
        <v>0</v>
      </c>
      <c r="J1278" s="1873">
        <v>0</v>
      </c>
      <c r="K1278" s="1860"/>
      <c r="L1278" s="1854">
        <v>13121006300</v>
      </c>
      <c r="M1278" s="1855">
        <v>0</v>
      </c>
      <c r="N1278" s="1855">
        <v>0</v>
      </c>
      <c r="O1278" s="1856">
        <v>0</v>
      </c>
    </row>
    <row r="1279" spans="3:15">
      <c r="C1279" s="1861" t="s">
        <v>5068</v>
      </c>
      <c r="D1279" s="1858">
        <v>0</v>
      </c>
      <c r="E1279" s="1858">
        <v>0</v>
      </c>
      <c r="F1279" s="1859">
        <v>0</v>
      </c>
      <c r="G1279" s="1872" t="s">
        <v>5068</v>
      </c>
      <c r="H1279" s="1856">
        <v>0</v>
      </c>
      <c r="I1279" s="1856" t="s">
        <v>3908</v>
      </c>
      <c r="J1279" s="1873">
        <v>0</v>
      </c>
      <c r="K1279" s="1860"/>
      <c r="L1279" s="1854">
        <v>13121006400</v>
      </c>
      <c r="M1279" s="1855">
        <v>0</v>
      </c>
      <c r="N1279" s="1855">
        <v>0</v>
      </c>
      <c r="O1279" s="1856">
        <v>0</v>
      </c>
    </row>
    <row r="1280" spans="3:15">
      <c r="C1280" s="1861" t="s">
        <v>5069</v>
      </c>
      <c r="D1280" s="1858">
        <v>0</v>
      </c>
      <c r="E1280" s="1858">
        <v>0</v>
      </c>
      <c r="F1280" s="1859">
        <v>0</v>
      </c>
      <c r="G1280" s="1872" t="s">
        <v>5069</v>
      </c>
      <c r="H1280" s="1856">
        <v>0</v>
      </c>
      <c r="I1280" s="1856">
        <v>0</v>
      </c>
      <c r="J1280" s="1873">
        <v>0</v>
      </c>
      <c r="K1280" s="1860"/>
      <c r="L1280" s="1854">
        <v>13121006500</v>
      </c>
      <c r="M1280" s="1855">
        <v>0</v>
      </c>
      <c r="N1280" s="1855">
        <v>0</v>
      </c>
      <c r="O1280" s="1856">
        <v>0</v>
      </c>
    </row>
    <row r="1281" spans="3:15">
      <c r="C1281" s="1861" t="s">
        <v>5070</v>
      </c>
      <c r="D1281" s="1858">
        <v>0</v>
      </c>
      <c r="E1281" s="1858">
        <v>0</v>
      </c>
      <c r="F1281" s="1859">
        <v>0</v>
      </c>
      <c r="G1281" s="1872" t="s">
        <v>5070</v>
      </c>
      <c r="H1281" s="1856">
        <v>0</v>
      </c>
      <c r="I1281" s="1856">
        <v>0</v>
      </c>
      <c r="J1281" s="1873">
        <v>0</v>
      </c>
      <c r="K1281" s="1860"/>
      <c r="L1281" s="1854">
        <v>13121006601</v>
      </c>
      <c r="M1281" s="1855">
        <v>0</v>
      </c>
      <c r="N1281" s="1855">
        <v>0</v>
      </c>
      <c r="O1281" s="1856">
        <v>0</v>
      </c>
    </row>
    <row r="1282" spans="3:15">
      <c r="C1282" s="1861" t="s">
        <v>5071</v>
      </c>
      <c r="D1282" s="1858">
        <v>0</v>
      </c>
      <c r="E1282" s="1858">
        <v>0</v>
      </c>
      <c r="F1282" s="1859">
        <v>0</v>
      </c>
      <c r="G1282" s="1872" t="s">
        <v>5071</v>
      </c>
      <c r="H1282" s="1856">
        <v>0</v>
      </c>
      <c r="I1282" s="1856">
        <v>0</v>
      </c>
      <c r="J1282" s="1873">
        <v>0</v>
      </c>
      <c r="K1282" s="1860"/>
      <c r="L1282" s="1854">
        <v>13121006602</v>
      </c>
      <c r="M1282" s="1855">
        <v>0</v>
      </c>
      <c r="N1282" s="1855">
        <v>0</v>
      </c>
      <c r="O1282" s="1856">
        <v>0</v>
      </c>
    </row>
    <row r="1283" spans="3:15">
      <c r="C1283" s="1861" t="s">
        <v>5072</v>
      </c>
      <c r="D1283" s="1858">
        <v>0</v>
      </c>
      <c r="E1283" s="1858">
        <v>0</v>
      </c>
      <c r="F1283" s="1859">
        <v>0</v>
      </c>
      <c r="G1283" s="1872" t="s">
        <v>5072</v>
      </c>
      <c r="H1283" s="1856">
        <v>0</v>
      </c>
      <c r="I1283" s="1856">
        <v>0</v>
      </c>
      <c r="J1283" s="1873">
        <v>0</v>
      </c>
      <c r="K1283" s="1860"/>
      <c r="L1283" s="1854">
        <v>13121006700</v>
      </c>
      <c r="M1283" s="1855">
        <v>0</v>
      </c>
      <c r="N1283" s="1855">
        <v>0</v>
      </c>
      <c r="O1283" s="1856">
        <v>0</v>
      </c>
    </row>
    <row r="1284" spans="3:15">
      <c r="C1284" s="1861" t="s">
        <v>5073</v>
      </c>
      <c r="D1284" s="1858" t="s">
        <v>3908</v>
      </c>
      <c r="E1284" s="1858" t="s">
        <v>3908</v>
      </c>
      <c r="F1284" s="1859">
        <v>0</v>
      </c>
      <c r="G1284" s="1872" t="s">
        <v>5073</v>
      </c>
      <c r="H1284" s="1856" t="s">
        <v>3908</v>
      </c>
      <c r="I1284" s="1856" t="s">
        <v>3908</v>
      </c>
      <c r="J1284" s="1873">
        <v>0</v>
      </c>
      <c r="K1284" s="1860"/>
      <c r="L1284" s="1854">
        <v>13121006801</v>
      </c>
      <c r="M1284" s="1855">
        <v>0</v>
      </c>
      <c r="N1284" s="1855">
        <v>0</v>
      </c>
      <c r="O1284" s="1856">
        <v>0</v>
      </c>
    </row>
    <row r="1285" spans="3:15">
      <c r="C1285" s="1861" t="s">
        <v>5074</v>
      </c>
      <c r="D1285" s="1858">
        <v>0</v>
      </c>
      <c r="E1285" s="1858">
        <v>0</v>
      </c>
      <c r="F1285" s="1859">
        <v>0</v>
      </c>
      <c r="G1285" s="1872" t="s">
        <v>5074</v>
      </c>
      <c r="H1285" s="1856">
        <v>0</v>
      </c>
      <c r="I1285" s="1856">
        <v>0</v>
      </c>
      <c r="J1285" s="1873">
        <v>0</v>
      </c>
      <c r="K1285" s="1860"/>
      <c r="L1285" s="1854">
        <v>13121006802</v>
      </c>
      <c r="M1285" s="1855">
        <v>0</v>
      </c>
      <c r="N1285" s="1855">
        <v>0</v>
      </c>
      <c r="O1285" s="1856">
        <v>0</v>
      </c>
    </row>
    <row r="1286" spans="3:15">
      <c r="C1286" s="1861" t="s">
        <v>5075</v>
      </c>
      <c r="D1286" s="1858">
        <v>0</v>
      </c>
      <c r="E1286" s="1858">
        <v>0</v>
      </c>
      <c r="F1286" s="1859">
        <v>0</v>
      </c>
      <c r="G1286" s="1872" t="s">
        <v>5075</v>
      </c>
      <c r="H1286" s="1856">
        <v>1</v>
      </c>
      <c r="I1286" s="1856">
        <v>0</v>
      </c>
      <c r="J1286" s="1873">
        <v>1</v>
      </c>
      <c r="K1286" s="1860"/>
      <c r="L1286" s="1854">
        <v>13121006900</v>
      </c>
      <c r="M1286" s="1855">
        <v>1</v>
      </c>
      <c r="N1286" s="1855">
        <v>0</v>
      </c>
      <c r="O1286" s="1856">
        <v>1</v>
      </c>
    </row>
    <row r="1287" spans="3:15">
      <c r="C1287" s="1861" t="s">
        <v>5076</v>
      </c>
      <c r="D1287" s="1858">
        <v>0</v>
      </c>
      <c r="E1287" s="1858">
        <v>0</v>
      </c>
      <c r="F1287" s="1859">
        <v>0</v>
      </c>
      <c r="G1287" s="1872" t="s">
        <v>5076</v>
      </c>
      <c r="H1287" s="1856">
        <v>0</v>
      </c>
      <c r="I1287" s="1856">
        <v>0</v>
      </c>
      <c r="J1287" s="1873">
        <v>0</v>
      </c>
      <c r="K1287" s="1860"/>
      <c r="L1287" s="1854">
        <v>13121007001</v>
      </c>
      <c r="M1287" s="1855">
        <v>0</v>
      </c>
      <c r="N1287" s="1855">
        <v>0</v>
      </c>
      <c r="O1287" s="1856">
        <v>0</v>
      </c>
    </row>
    <row r="1288" spans="3:15">
      <c r="C1288" s="1861" t="s">
        <v>5077</v>
      </c>
      <c r="D1288" s="1858">
        <v>0</v>
      </c>
      <c r="E1288" s="1858">
        <v>0</v>
      </c>
      <c r="F1288" s="1859">
        <v>0</v>
      </c>
      <c r="G1288" s="1872" t="s">
        <v>5077</v>
      </c>
      <c r="H1288" s="1856">
        <v>0</v>
      </c>
      <c r="I1288" s="1856">
        <v>0</v>
      </c>
      <c r="J1288" s="1873">
        <v>0</v>
      </c>
      <c r="K1288" s="1860"/>
      <c r="L1288" s="1854">
        <v>13121007002</v>
      </c>
      <c r="M1288" s="1855">
        <v>0</v>
      </c>
      <c r="N1288" s="1855">
        <v>0</v>
      </c>
      <c r="O1288" s="1856">
        <v>0</v>
      </c>
    </row>
    <row r="1289" spans="3:15">
      <c r="C1289" s="1861" t="s">
        <v>5078</v>
      </c>
      <c r="D1289" s="1858">
        <v>0</v>
      </c>
      <c r="E1289" s="1858">
        <v>0</v>
      </c>
      <c r="F1289" s="1859">
        <v>0</v>
      </c>
      <c r="G1289" s="1872" t="s">
        <v>5078</v>
      </c>
      <c r="H1289" s="1856">
        <v>0</v>
      </c>
      <c r="I1289" s="1856">
        <v>0</v>
      </c>
      <c r="J1289" s="1873">
        <v>0</v>
      </c>
      <c r="K1289" s="1860"/>
      <c r="L1289" s="1854">
        <v>13121007100</v>
      </c>
      <c r="M1289" s="1855">
        <v>0</v>
      </c>
      <c r="N1289" s="1855">
        <v>0</v>
      </c>
      <c r="O1289" s="1856">
        <v>0</v>
      </c>
    </row>
    <row r="1290" spans="3:15">
      <c r="C1290" s="1861" t="s">
        <v>5079</v>
      </c>
      <c r="D1290" s="1858">
        <v>0</v>
      </c>
      <c r="E1290" s="1858">
        <v>0</v>
      </c>
      <c r="F1290" s="1859">
        <v>0</v>
      </c>
      <c r="G1290" s="1872" t="s">
        <v>5079</v>
      </c>
      <c r="H1290" s="1856">
        <v>0</v>
      </c>
      <c r="I1290" s="1856">
        <v>0</v>
      </c>
      <c r="J1290" s="1873">
        <v>0</v>
      </c>
      <c r="K1290" s="1860"/>
      <c r="L1290" s="1854">
        <v>13121007200</v>
      </c>
      <c r="M1290" s="1855">
        <v>0</v>
      </c>
      <c r="N1290" s="1855">
        <v>0</v>
      </c>
      <c r="O1290" s="1856">
        <v>0</v>
      </c>
    </row>
    <row r="1291" spans="3:15">
      <c r="C1291" s="1861" t="s">
        <v>5080</v>
      </c>
      <c r="D1291" s="1858">
        <v>0</v>
      </c>
      <c r="E1291" s="1858">
        <v>0</v>
      </c>
      <c r="F1291" s="1859">
        <v>0</v>
      </c>
      <c r="G1291" s="1872" t="s">
        <v>5080</v>
      </c>
      <c r="H1291" s="1856">
        <v>0</v>
      </c>
      <c r="I1291" s="1856">
        <v>0</v>
      </c>
      <c r="J1291" s="1873">
        <v>0</v>
      </c>
      <c r="K1291" s="1860"/>
      <c r="L1291" s="1854">
        <v>13121007300</v>
      </c>
      <c r="M1291" s="1855">
        <v>0</v>
      </c>
      <c r="N1291" s="1855">
        <v>0</v>
      </c>
      <c r="O1291" s="1856">
        <v>0</v>
      </c>
    </row>
    <row r="1292" spans="3:15">
      <c r="C1292" s="1861" t="s">
        <v>5081</v>
      </c>
      <c r="D1292" s="1858">
        <v>0</v>
      </c>
      <c r="E1292" s="1858">
        <v>0</v>
      </c>
      <c r="F1292" s="1859">
        <v>0</v>
      </c>
      <c r="G1292" s="1872" t="s">
        <v>5081</v>
      </c>
      <c r="H1292" s="1856">
        <v>0</v>
      </c>
      <c r="I1292" s="1856">
        <v>0</v>
      </c>
      <c r="J1292" s="1873">
        <v>0</v>
      </c>
      <c r="K1292" s="1860"/>
      <c r="L1292" s="1854">
        <v>13121007400</v>
      </c>
      <c r="M1292" s="1855">
        <v>0</v>
      </c>
      <c r="N1292" s="1855">
        <v>0</v>
      </c>
      <c r="O1292" s="1856">
        <v>0</v>
      </c>
    </row>
    <row r="1293" spans="3:15">
      <c r="C1293" s="1861" t="s">
        <v>5082</v>
      </c>
      <c r="D1293" s="1858">
        <v>0</v>
      </c>
      <c r="E1293" s="1858">
        <v>0</v>
      </c>
      <c r="F1293" s="1859">
        <v>0</v>
      </c>
      <c r="G1293" s="1872" t="s">
        <v>5082</v>
      </c>
      <c r="H1293" s="1856">
        <v>0</v>
      </c>
      <c r="I1293" s="1856">
        <v>0</v>
      </c>
      <c r="J1293" s="1873">
        <v>0</v>
      </c>
      <c r="K1293" s="1860"/>
      <c r="L1293" s="1854">
        <v>13121007500</v>
      </c>
      <c r="M1293" s="1855">
        <v>0</v>
      </c>
      <c r="N1293" s="1855">
        <v>0</v>
      </c>
      <c r="O1293" s="1856">
        <v>0</v>
      </c>
    </row>
    <row r="1294" spans="3:15">
      <c r="C1294" s="1861" t="s">
        <v>5083</v>
      </c>
      <c r="D1294" s="1858">
        <v>0</v>
      </c>
      <c r="E1294" s="1858">
        <v>0</v>
      </c>
      <c r="F1294" s="1859">
        <v>0</v>
      </c>
      <c r="G1294" s="1872" t="s">
        <v>5083</v>
      </c>
      <c r="H1294" s="1856">
        <v>0</v>
      </c>
      <c r="I1294" s="1856">
        <v>0</v>
      </c>
      <c r="J1294" s="1873">
        <v>0</v>
      </c>
      <c r="K1294" s="1860"/>
      <c r="L1294" s="1854">
        <v>13121007602</v>
      </c>
      <c r="M1294" s="1855">
        <v>0</v>
      </c>
      <c r="N1294" s="1855">
        <v>0</v>
      </c>
      <c r="O1294" s="1856">
        <v>0</v>
      </c>
    </row>
    <row r="1295" spans="3:15">
      <c r="C1295" s="1861" t="s">
        <v>5084</v>
      </c>
      <c r="D1295" s="1858">
        <v>0</v>
      </c>
      <c r="E1295" s="1858">
        <v>0</v>
      </c>
      <c r="F1295" s="1859">
        <v>0</v>
      </c>
      <c r="G1295" s="1872" t="s">
        <v>5084</v>
      </c>
      <c r="H1295" s="1856">
        <v>0</v>
      </c>
      <c r="I1295" s="1856">
        <v>0</v>
      </c>
      <c r="J1295" s="1873">
        <v>0</v>
      </c>
      <c r="K1295" s="1860"/>
      <c r="L1295" s="1854">
        <v>13121007603</v>
      </c>
      <c r="M1295" s="1855">
        <v>0</v>
      </c>
      <c r="N1295" s="1855">
        <v>0</v>
      </c>
      <c r="O1295" s="1856">
        <v>0</v>
      </c>
    </row>
    <row r="1296" spans="3:15">
      <c r="C1296" s="1861" t="s">
        <v>5085</v>
      </c>
      <c r="D1296" s="1858">
        <v>0</v>
      </c>
      <c r="E1296" s="1858">
        <v>0</v>
      </c>
      <c r="F1296" s="1859">
        <v>0</v>
      </c>
      <c r="G1296" s="1872" t="s">
        <v>5085</v>
      </c>
      <c r="H1296" s="1856">
        <v>0</v>
      </c>
      <c r="I1296" s="1856" t="s">
        <v>3908</v>
      </c>
      <c r="J1296" s="1873">
        <v>0</v>
      </c>
      <c r="K1296" s="1860"/>
      <c r="L1296" s="1854">
        <v>13121007604</v>
      </c>
      <c r="M1296" s="1855">
        <v>0</v>
      </c>
      <c r="N1296" s="1855">
        <v>0</v>
      </c>
      <c r="O1296" s="1856">
        <v>0</v>
      </c>
    </row>
    <row r="1297" spans="3:15">
      <c r="C1297" s="1861" t="s">
        <v>5086</v>
      </c>
      <c r="D1297" s="1858">
        <v>0</v>
      </c>
      <c r="E1297" s="1858">
        <v>0</v>
      </c>
      <c r="F1297" s="1859">
        <v>0</v>
      </c>
      <c r="G1297" s="1872" t="s">
        <v>5086</v>
      </c>
      <c r="H1297" s="1856">
        <v>0</v>
      </c>
      <c r="I1297" s="1856">
        <v>0</v>
      </c>
      <c r="J1297" s="1873">
        <v>0</v>
      </c>
      <c r="K1297" s="1860"/>
      <c r="L1297" s="1854">
        <v>13121007703</v>
      </c>
      <c r="M1297" s="1855">
        <v>0</v>
      </c>
      <c r="N1297" s="1855">
        <v>0</v>
      </c>
      <c r="O1297" s="1856">
        <v>0</v>
      </c>
    </row>
    <row r="1298" spans="3:15">
      <c r="C1298" s="1861" t="s">
        <v>5087</v>
      </c>
      <c r="D1298" s="1858">
        <v>0</v>
      </c>
      <c r="E1298" s="1858">
        <v>0</v>
      </c>
      <c r="F1298" s="1859">
        <v>0</v>
      </c>
      <c r="G1298" s="1872" t="s">
        <v>5087</v>
      </c>
      <c r="H1298" s="1856">
        <v>0</v>
      </c>
      <c r="I1298" s="1856">
        <v>0</v>
      </c>
      <c r="J1298" s="1873">
        <v>0</v>
      </c>
      <c r="K1298" s="1860"/>
      <c r="L1298" s="1854">
        <v>13121007704</v>
      </c>
      <c r="M1298" s="1855">
        <v>0</v>
      </c>
      <c r="N1298" s="1855">
        <v>0</v>
      </c>
      <c r="O1298" s="1856">
        <v>0</v>
      </c>
    </row>
    <row r="1299" spans="3:15">
      <c r="C1299" s="1861" t="s">
        <v>5088</v>
      </c>
      <c r="D1299" s="1858">
        <v>0</v>
      </c>
      <c r="E1299" s="1858">
        <v>0</v>
      </c>
      <c r="F1299" s="1859">
        <v>0</v>
      </c>
      <c r="G1299" s="1872" t="s">
        <v>5088</v>
      </c>
      <c r="H1299" s="1856">
        <v>0</v>
      </c>
      <c r="I1299" s="1856">
        <v>0</v>
      </c>
      <c r="J1299" s="1873">
        <v>0</v>
      </c>
      <c r="K1299" s="1860"/>
      <c r="L1299" s="1854">
        <v>13121007705</v>
      </c>
      <c r="M1299" s="1855">
        <v>0</v>
      </c>
      <c r="N1299" s="1855">
        <v>0</v>
      </c>
      <c r="O1299" s="1856">
        <v>0</v>
      </c>
    </row>
    <row r="1300" spans="3:15">
      <c r="C1300" s="1861" t="s">
        <v>5089</v>
      </c>
      <c r="D1300" s="1858">
        <v>0</v>
      </c>
      <c r="E1300" s="1858">
        <v>0</v>
      </c>
      <c r="F1300" s="1859">
        <v>0</v>
      </c>
      <c r="G1300" s="1872" t="s">
        <v>5089</v>
      </c>
      <c r="H1300" s="1856">
        <v>0</v>
      </c>
      <c r="I1300" s="1856">
        <v>1</v>
      </c>
      <c r="J1300" s="1873">
        <v>1</v>
      </c>
      <c r="K1300" s="1860"/>
      <c r="L1300" s="1854">
        <v>13121007706</v>
      </c>
      <c r="M1300" s="1855">
        <v>0</v>
      </c>
      <c r="N1300" s="1855">
        <v>1</v>
      </c>
      <c r="O1300" s="1856">
        <v>1</v>
      </c>
    </row>
    <row r="1301" spans="3:15">
      <c r="C1301" s="1861" t="s">
        <v>5090</v>
      </c>
      <c r="D1301" s="1858">
        <v>0</v>
      </c>
      <c r="E1301" s="1858">
        <v>0</v>
      </c>
      <c r="F1301" s="1859">
        <v>0</v>
      </c>
      <c r="G1301" s="1872" t="s">
        <v>5090</v>
      </c>
      <c r="H1301" s="1856">
        <v>0</v>
      </c>
      <c r="I1301" s="1856">
        <v>0</v>
      </c>
      <c r="J1301" s="1873">
        <v>0</v>
      </c>
      <c r="K1301" s="1860"/>
      <c r="L1301" s="1854">
        <v>13121007802</v>
      </c>
      <c r="M1301" s="1855">
        <v>0</v>
      </c>
      <c r="N1301" s="1855">
        <v>0</v>
      </c>
      <c r="O1301" s="1856">
        <v>0</v>
      </c>
    </row>
    <row r="1302" spans="3:15">
      <c r="C1302" s="1861" t="s">
        <v>5091</v>
      </c>
      <c r="D1302" s="1858">
        <v>0</v>
      </c>
      <c r="E1302" s="1858">
        <v>0</v>
      </c>
      <c r="F1302" s="1859">
        <v>0</v>
      </c>
      <c r="G1302" s="1872" t="s">
        <v>5091</v>
      </c>
      <c r="H1302" s="1856">
        <v>0</v>
      </c>
      <c r="I1302" s="1856">
        <v>0</v>
      </c>
      <c r="J1302" s="1873">
        <v>0</v>
      </c>
      <c r="K1302" s="1860"/>
      <c r="L1302" s="1854">
        <v>13121007805</v>
      </c>
      <c r="M1302" s="1855">
        <v>0</v>
      </c>
      <c r="N1302" s="1855">
        <v>0</v>
      </c>
      <c r="O1302" s="1856">
        <v>0</v>
      </c>
    </row>
    <row r="1303" spans="3:15">
      <c r="C1303" s="1861" t="s">
        <v>5092</v>
      </c>
      <c r="D1303" s="1858">
        <v>0</v>
      </c>
      <c r="E1303" s="1858">
        <v>0</v>
      </c>
      <c r="F1303" s="1859">
        <v>0</v>
      </c>
      <c r="G1303" s="1872" t="s">
        <v>5092</v>
      </c>
      <c r="H1303" s="1856">
        <v>0</v>
      </c>
      <c r="I1303" s="1856">
        <v>1</v>
      </c>
      <c r="J1303" s="1873">
        <v>1</v>
      </c>
      <c r="K1303" s="1860"/>
      <c r="L1303" s="1854">
        <v>13121007806</v>
      </c>
      <c r="M1303" s="1855">
        <v>0</v>
      </c>
      <c r="N1303" s="1855">
        <v>1</v>
      </c>
      <c r="O1303" s="1856">
        <v>1</v>
      </c>
    </row>
    <row r="1304" spans="3:15">
      <c r="C1304" s="1861" t="s">
        <v>5093</v>
      </c>
      <c r="D1304" s="1858">
        <v>0</v>
      </c>
      <c r="E1304" s="1858">
        <v>0</v>
      </c>
      <c r="F1304" s="1859">
        <v>0</v>
      </c>
      <c r="G1304" s="1872" t="s">
        <v>5093</v>
      </c>
      <c r="H1304" s="1856">
        <v>0</v>
      </c>
      <c r="I1304" s="1856">
        <v>0</v>
      </c>
      <c r="J1304" s="1873">
        <v>0</v>
      </c>
      <c r="K1304" s="1860"/>
      <c r="L1304" s="1854">
        <v>13121007807</v>
      </c>
      <c r="M1304" s="1855">
        <v>0</v>
      </c>
      <c r="N1304" s="1855">
        <v>0</v>
      </c>
      <c r="O1304" s="1856">
        <v>0</v>
      </c>
    </row>
    <row r="1305" spans="3:15">
      <c r="C1305" s="1861" t="s">
        <v>5094</v>
      </c>
      <c r="D1305" s="1858">
        <v>0</v>
      </c>
      <c r="E1305" s="1858">
        <v>0</v>
      </c>
      <c r="F1305" s="1859">
        <v>0</v>
      </c>
      <c r="G1305" s="1872" t="s">
        <v>5094</v>
      </c>
      <c r="H1305" s="1856">
        <v>0</v>
      </c>
      <c r="I1305" s="1856">
        <v>0</v>
      </c>
      <c r="J1305" s="1873">
        <v>0</v>
      </c>
      <c r="K1305" s="1860"/>
      <c r="L1305" s="1854">
        <v>13121007808</v>
      </c>
      <c r="M1305" s="1855">
        <v>0</v>
      </c>
      <c r="N1305" s="1855">
        <v>0</v>
      </c>
      <c r="O1305" s="1856">
        <v>0</v>
      </c>
    </row>
    <row r="1306" spans="3:15">
      <c r="C1306" s="1861" t="s">
        <v>5095</v>
      </c>
      <c r="D1306" s="1858">
        <v>0</v>
      </c>
      <c r="E1306" s="1858">
        <v>0</v>
      </c>
      <c r="F1306" s="1859">
        <v>0</v>
      </c>
      <c r="G1306" s="1872" t="s">
        <v>5095</v>
      </c>
      <c r="H1306" s="1856">
        <v>1</v>
      </c>
      <c r="I1306" s="1856">
        <v>1</v>
      </c>
      <c r="J1306" s="1873">
        <v>2</v>
      </c>
      <c r="K1306" s="1860"/>
      <c r="L1306" s="1854">
        <v>13121007900</v>
      </c>
      <c r="M1306" s="1855">
        <v>1</v>
      </c>
      <c r="N1306" s="1855">
        <v>1</v>
      </c>
      <c r="O1306" s="1856">
        <v>2</v>
      </c>
    </row>
    <row r="1307" spans="3:15">
      <c r="C1307" s="1861" t="s">
        <v>5096</v>
      </c>
      <c r="D1307" s="1858">
        <v>0</v>
      </c>
      <c r="E1307" s="1858">
        <v>0</v>
      </c>
      <c r="F1307" s="1859">
        <v>0</v>
      </c>
      <c r="G1307" s="1872" t="s">
        <v>5096</v>
      </c>
      <c r="H1307" s="1856">
        <v>0</v>
      </c>
      <c r="I1307" s="1856">
        <v>0</v>
      </c>
      <c r="J1307" s="1873">
        <v>0</v>
      </c>
      <c r="K1307" s="1860"/>
      <c r="L1307" s="1854">
        <v>13121008000</v>
      </c>
      <c r="M1307" s="1855">
        <v>0</v>
      </c>
      <c r="N1307" s="1855">
        <v>0</v>
      </c>
      <c r="O1307" s="1856">
        <v>0</v>
      </c>
    </row>
    <row r="1308" spans="3:15">
      <c r="C1308" s="1861" t="s">
        <v>5097</v>
      </c>
      <c r="D1308" s="1858">
        <v>0</v>
      </c>
      <c r="E1308" s="1858">
        <v>0</v>
      </c>
      <c r="F1308" s="1859">
        <v>0</v>
      </c>
      <c r="G1308" s="1872" t="s">
        <v>5097</v>
      </c>
      <c r="H1308" s="1856">
        <v>0</v>
      </c>
      <c r="I1308" s="1856">
        <v>0</v>
      </c>
      <c r="J1308" s="1873">
        <v>0</v>
      </c>
      <c r="K1308" s="1860"/>
      <c r="L1308" s="1854">
        <v>13121008101</v>
      </c>
      <c r="M1308" s="1855">
        <v>0</v>
      </c>
      <c r="N1308" s="1855">
        <v>0</v>
      </c>
      <c r="O1308" s="1856">
        <v>0</v>
      </c>
    </row>
    <row r="1309" spans="3:15">
      <c r="C1309" s="1861" t="s">
        <v>5098</v>
      </c>
      <c r="D1309" s="1858">
        <v>0</v>
      </c>
      <c r="E1309" s="1858">
        <v>0</v>
      </c>
      <c r="F1309" s="1859">
        <v>0</v>
      </c>
      <c r="G1309" s="1872" t="s">
        <v>5098</v>
      </c>
      <c r="H1309" s="1856">
        <v>0</v>
      </c>
      <c r="I1309" s="1856">
        <v>0</v>
      </c>
      <c r="J1309" s="1873">
        <v>0</v>
      </c>
      <c r="K1309" s="1860"/>
      <c r="L1309" s="1854">
        <v>13121008102</v>
      </c>
      <c r="M1309" s="1855">
        <v>0</v>
      </c>
      <c r="N1309" s="1855">
        <v>0</v>
      </c>
      <c r="O1309" s="1856">
        <v>0</v>
      </c>
    </row>
    <row r="1310" spans="3:15">
      <c r="C1310" s="1861" t="s">
        <v>5099</v>
      </c>
      <c r="D1310" s="1858">
        <v>0</v>
      </c>
      <c r="E1310" s="1858">
        <v>0</v>
      </c>
      <c r="F1310" s="1859">
        <v>0</v>
      </c>
      <c r="G1310" s="1872" t="s">
        <v>5099</v>
      </c>
      <c r="H1310" s="1856">
        <v>0</v>
      </c>
      <c r="I1310" s="1856">
        <v>0</v>
      </c>
      <c r="J1310" s="1873">
        <v>0</v>
      </c>
      <c r="K1310" s="1860"/>
      <c r="L1310" s="1854">
        <v>13121008201</v>
      </c>
      <c r="M1310" s="1855">
        <v>0</v>
      </c>
      <c r="N1310" s="1855">
        <v>0</v>
      </c>
      <c r="O1310" s="1856">
        <v>0</v>
      </c>
    </row>
    <row r="1311" spans="3:15">
      <c r="C1311" s="1861" t="s">
        <v>5100</v>
      </c>
      <c r="D1311" s="1858">
        <v>0</v>
      </c>
      <c r="E1311" s="1858">
        <v>0</v>
      </c>
      <c r="F1311" s="1859">
        <v>0</v>
      </c>
      <c r="G1311" s="1872" t="s">
        <v>5100</v>
      </c>
      <c r="H1311" s="1856">
        <v>0</v>
      </c>
      <c r="I1311" s="1856">
        <v>0</v>
      </c>
      <c r="J1311" s="1873">
        <v>0</v>
      </c>
      <c r="K1311" s="1860"/>
      <c r="L1311" s="1854">
        <v>13121008202</v>
      </c>
      <c r="M1311" s="1855">
        <v>0</v>
      </c>
      <c r="N1311" s="1855">
        <v>0</v>
      </c>
      <c r="O1311" s="1856">
        <v>0</v>
      </c>
    </row>
    <row r="1312" spans="3:15">
      <c r="C1312" s="1861" t="s">
        <v>5101</v>
      </c>
      <c r="D1312" s="1858">
        <v>0</v>
      </c>
      <c r="E1312" s="1858">
        <v>0</v>
      </c>
      <c r="F1312" s="1859">
        <v>0</v>
      </c>
      <c r="G1312" s="1872" t="s">
        <v>5101</v>
      </c>
      <c r="H1312" s="1856">
        <v>0</v>
      </c>
      <c r="I1312" s="1856" t="s">
        <v>3908</v>
      </c>
      <c r="J1312" s="1873">
        <v>0</v>
      </c>
      <c r="K1312" s="1860"/>
      <c r="L1312" s="1854">
        <v>13121008301</v>
      </c>
      <c r="M1312" s="1855">
        <v>0</v>
      </c>
      <c r="N1312" s="1855">
        <v>0</v>
      </c>
      <c r="O1312" s="1856">
        <v>0</v>
      </c>
    </row>
    <row r="1313" spans="3:15">
      <c r="C1313" s="1861" t="s">
        <v>5102</v>
      </c>
      <c r="D1313" s="1858">
        <v>0</v>
      </c>
      <c r="E1313" s="1858">
        <v>0</v>
      </c>
      <c r="F1313" s="1859">
        <v>0</v>
      </c>
      <c r="G1313" s="1872" t="s">
        <v>5102</v>
      </c>
      <c r="H1313" s="1856">
        <v>0</v>
      </c>
      <c r="I1313" s="1856" t="s">
        <v>3908</v>
      </c>
      <c r="J1313" s="1873">
        <v>0</v>
      </c>
      <c r="K1313" s="1860"/>
      <c r="L1313" s="1854">
        <v>13121008302</v>
      </c>
      <c r="M1313" s="1855">
        <v>0</v>
      </c>
      <c r="N1313" s="1855">
        <v>0</v>
      </c>
      <c r="O1313" s="1856">
        <v>0</v>
      </c>
    </row>
    <row r="1314" spans="3:15">
      <c r="C1314" s="1861" t="s">
        <v>5103</v>
      </c>
      <c r="D1314" s="1858">
        <v>0</v>
      </c>
      <c r="E1314" s="1858">
        <v>0</v>
      </c>
      <c r="F1314" s="1859">
        <v>0</v>
      </c>
      <c r="G1314" s="1872" t="s">
        <v>5103</v>
      </c>
      <c r="H1314" s="1856">
        <v>0</v>
      </c>
      <c r="I1314" s="1856">
        <v>0</v>
      </c>
      <c r="J1314" s="1873">
        <v>0</v>
      </c>
      <c r="K1314" s="1860"/>
      <c r="L1314" s="1854">
        <v>13121008400</v>
      </c>
      <c r="M1314" s="1855">
        <v>0</v>
      </c>
      <c r="N1314" s="1855">
        <v>0</v>
      </c>
      <c r="O1314" s="1856">
        <v>0</v>
      </c>
    </row>
    <row r="1315" spans="3:15">
      <c r="C1315" s="1861" t="s">
        <v>5104</v>
      </c>
      <c r="D1315" s="1858">
        <v>0</v>
      </c>
      <c r="E1315" s="1858">
        <v>0</v>
      </c>
      <c r="F1315" s="1859">
        <v>0</v>
      </c>
      <c r="G1315" s="1872" t="s">
        <v>5104</v>
      </c>
      <c r="H1315" s="1856">
        <v>0</v>
      </c>
      <c r="I1315" s="1856">
        <v>0</v>
      </c>
      <c r="J1315" s="1873">
        <v>0</v>
      </c>
      <c r="K1315" s="1860"/>
      <c r="L1315" s="1854">
        <v>13121008500</v>
      </c>
      <c r="M1315" s="1855">
        <v>0</v>
      </c>
      <c r="N1315" s="1855">
        <v>0</v>
      </c>
      <c r="O1315" s="1856">
        <v>0</v>
      </c>
    </row>
    <row r="1316" spans="3:15">
      <c r="C1316" s="1861" t="s">
        <v>5105</v>
      </c>
      <c r="D1316" s="1858">
        <v>0</v>
      </c>
      <c r="E1316" s="1858">
        <v>0</v>
      </c>
      <c r="F1316" s="1859">
        <v>0</v>
      </c>
      <c r="G1316" s="1872" t="s">
        <v>5105</v>
      </c>
      <c r="H1316" s="1856">
        <v>0</v>
      </c>
      <c r="I1316" s="1856">
        <v>0</v>
      </c>
      <c r="J1316" s="1873">
        <v>0</v>
      </c>
      <c r="K1316" s="1860"/>
      <c r="L1316" s="1854">
        <v>13121008601</v>
      </c>
      <c r="M1316" s="1855">
        <v>0</v>
      </c>
      <c r="N1316" s="1855">
        <v>0</v>
      </c>
      <c r="O1316" s="1856">
        <v>0</v>
      </c>
    </row>
    <row r="1317" spans="3:15">
      <c r="C1317" s="1861" t="s">
        <v>5106</v>
      </c>
      <c r="D1317" s="1858">
        <v>0</v>
      </c>
      <c r="E1317" s="1858">
        <v>0</v>
      </c>
      <c r="F1317" s="1859">
        <v>0</v>
      </c>
      <c r="G1317" s="1872" t="s">
        <v>5106</v>
      </c>
      <c r="H1317" s="1856">
        <v>0</v>
      </c>
      <c r="I1317" s="1856" t="s">
        <v>3908</v>
      </c>
      <c r="J1317" s="1873">
        <v>0</v>
      </c>
      <c r="K1317" s="1860"/>
      <c r="L1317" s="1854">
        <v>13121008602</v>
      </c>
      <c r="M1317" s="1855">
        <v>0</v>
      </c>
      <c r="N1317" s="1855">
        <v>0</v>
      </c>
      <c r="O1317" s="1856">
        <v>0</v>
      </c>
    </row>
    <row r="1318" spans="3:15">
      <c r="C1318" s="1861" t="s">
        <v>5107</v>
      </c>
      <c r="D1318" s="1858">
        <v>0</v>
      </c>
      <c r="E1318" s="1858">
        <v>0</v>
      </c>
      <c r="F1318" s="1859">
        <v>0</v>
      </c>
      <c r="G1318" s="1872" t="s">
        <v>5107</v>
      </c>
      <c r="H1318" s="1856">
        <v>0</v>
      </c>
      <c r="I1318" s="1856">
        <v>0</v>
      </c>
      <c r="J1318" s="1873">
        <v>0</v>
      </c>
      <c r="K1318" s="1860"/>
      <c r="L1318" s="1854">
        <v>13121008700</v>
      </c>
      <c r="M1318" s="1855">
        <v>0</v>
      </c>
      <c r="N1318" s="1855">
        <v>0</v>
      </c>
      <c r="O1318" s="1856">
        <v>0</v>
      </c>
    </row>
    <row r="1319" spans="3:15">
      <c r="C1319" s="1861" t="s">
        <v>5108</v>
      </c>
      <c r="D1319" s="1858">
        <v>1</v>
      </c>
      <c r="E1319" s="1858">
        <v>1</v>
      </c>
      <c r="F1319" s="1859">
        <v>2</v>
      </c>
      <c r="G1319" s="1872" t="s">
        <v>5108</v>
      </c>
      <c r="H1319" s="1856">
        <v>1</v>
      </c>
      <c r="I1319" s="1856" t="s">
        <v>3908</v>
      </c>
      <c r="J1319" s="1873">
        <v>1</v>
      </c>
      <c r="K1319" s="1860"/>
      <c r="L1319" s="1854">
        <v>13121008800</v>
      </c>
      <c r="M1319" s="1855">
        <v>1</v>
      </c>
      <c r="N1319" s="1855">
        <v>1</v>
      </c>
      <c r="O1319" s="1856">
        <v>2</v>
      </c>
    </row>
    <row r="1320" spans="3:15">
      <c r="C1320" s="1861" t="s">
        <v>5109</v>
      </c>
      <c r="D1320" s="1858">
        <v>1</v>
      </c>
      <c r="E1320" s="1858">
        <v>1</v>
      </c>
      <c r="F1320" s="1859">
        <v>2</v>
      </c>
      <c r="G1320" s="1872" t="s">
        <v>5109</v>
      </c>
      <c r="H1320" s="1856">
        <v>1</v>
      </c>
      <c r="I1320" s="1856">
        <v>1</v>
      </c>
      <c r="J1320" s="1873">
        <v>2</v>
      </c>
      <c r="K1320" s="1860"/>
      <c r="L1320" s="1854">
        <v>13121008902</v>
      </c>
      <c r="M1320" s="1855">
        <v>1</v>
      </c>
      <c r="N1320" s="1855">
        <v>1</v>
      </c>
      <c r="O1320" s="1856">
        <v>2</v>
      </c>
    </row>
    <row r="1321" spans="3:15">
      <c r="C1321" s="1861" t="s">
        <v>5110</v>
      </c>
      <c r="D1321" s="1858">
        <v>1</v>
      </c>
      <c r="E1321" s="1858">
        <v>0</v>
      </c>
      <c r="F1321" s="1859">
        <v>1</v>
      </c>
      <c r="G1321" s="1872" t="s">
        <v>5110</v>
      </c>
      <c r="H1321" s="1856">
        <v>1</v>
      </c>
      <c r="I1321" s="1856" t="s">
        <v>3908</v>
      </c>
      <c r="J1321" s="1873">
        <v>1</v>
      </c>
      <c r="K1321" s="1860"/>
      <c r="L1321" s="1854">
        <v>13121008903</v>
      </c>
      <c r="M1321" s="1855">
        <v>1</v>
      </c>
      <c r="N1321" s="1855">
        <v>0</v>
      </c>
      <c r="O1321" s="1856">
        <v>1</v>
      </c>
    </row>
    <row r="1322" spans="3:15">
      <c r="C1322" s="1861" t="s">
        <v>5111</v>
      </c>
      <c r="D1322" s="1858">
        <v>1</v>
      </c>
      <c r="E1322" s="1858">
        <v>1</v>
      </c>
      <c r="F1322" s="1859">
        <v>2</v>
      </c>
      <c r="G1322" s="1872" t="s">
        <v>5111</v>
      </c>
      <c r="H1322" s="1856">
        <v>1</v>
      </c>
      <c r="I1322" s="1856">
        <v>1</v>
      </c>
      <c r="J1322" s="1873">
        <v>2</v>
      </c>
      <c r="K1322" s="1860"/>
      <c r="L1322" s="1854">
        <v>13121008904</v>
      </c>
      <c r="M1322" s="1855">
        <v>1</v>
      </c>
      <c r="N1322" s="1855">
        <v>1</v>
      </c>
      <c r="O1322" s="1856">
        <v>2</v>
      </c>
    </row>
    <row r="1323" spans="3:15">
      <c r="C1323" s="1861" t="s">
        <v>5112</v>
      </c>
      <c r="D1323" s="1858">
        <v>1</v>
      </c>
      <c r="E1323" s="1858">
        <v>1</v>
      </c>
      <c r="F1323" s="1859">
        <v>2</v>
      </c>
      <c r="G1323" s="1872" t="s">
        <v>5112</v>
      </c>
      <c r="H1323" s="1856">
        <v>1</v>
      </c>
      <c r="I1323" s="1856">
        <v>1</v>
      </c>
      <c r="J1323" s="1873">
        <v>2</v>
      </c>
      <c r="K1323" s="1860"/>
      <c r="L1323" s="1854">
        <v>13121009000</v>
      </c>
      <c r="M1323" s="1855">
        <v>1</v>
      </c>
      <c r="N1323" s="1855">
        <v>1</v>
      </c>
      <c r="O1323" s="1856">
        <v>2</v>
      </c>
    </row>
    <row r="1324" spans="3:15">
      <c r="C1324" s="1861" t="s">
        <v>5113</v>
      </c>
      <c r="D1324" s="1858">
        <v>1</v>
      </c>
      <c r="E1324" s="1858">
        <v>1</v>
      </c>
      <c r="F1324" s="1859">
        <v>2</v>
      </c>
      <c r="G1324" s="1872" t="s">
        <v>5113</v>
      </c>
      <c r="H1324" s="1856">
        <v>1</v>
      </c>
      <c r="I1324" s="1856">
        <v>1</v>
      </c>
      <c r="J1324" s="1873">
        <v>2</v>
      </c>
      <c r="K1324" s="1860"/>
      <c r="L1324" s="1854">
        <v>13121009101</v>
      </c>
      <c r="M1324" s="1855">
        <v>1</v>
      </c>
      <c r="N1324" s="1855">
        <v>1</v>
      </c>
      <c r="O1324" s="1856">
        <v>2</v>
      </c>
    </row>
    <row r="1325" spans="3:15">
      <c r="C1325" s="1861" t="s">
        <v>5114</v>
      </c>
      <c r="D1325" s="1858">
        <v>1</v>
      </c>
      <c r="E1325" s="1858">
        <v>1</v>
      </c>
      <c r="F1325" s="1859">
        <v>2</v>
      </c>
      <c r="G1325" s="1872" t="s">
        <v>5114</v>
      </c>
      <c r="H1325" s="1856">
        <v>1</v>
      </c>
      <c r="I1325" s="1856">
        <v>1</v>
      </c>
      <c r="J1325" s="1873">
        <v>2</v>
      </c>
      <c r="K1325" s="1860"/>
      <c r="L1325" s="1854">
        <v>13121009102</v>
      </c>
      <c r="M1325" s="1855">
        <v>1</v>
      </c>
      <c r="N1325" s="1855">
        <v>1</v>
      </c>
      <c r="O1325" s="1856">
        <v>2</v>
      </c>
    </row>
    <row r="1326" spans="3:15">
      <c r="C1326" s="1861" t="s">
        <v>5115</v>
      </c>
      <c r="D1326" s="1858">
        <v>1</v>
      </c>
      <c r="E1326" s="1858">
        <v>0</v>
      </c>
      <c r="F1326" s="1859">
        <v>1</v>
      </c>
      <c r="G1326" s="1872" t="s">
        <v>5115</v>
      </c>
      <c r="H1326" s="1856">
        <v>1</v>
      </c>
      <c r="I1326" s="1856">
        <v>1</v>
      </c>
      <c r="J1326" s="1873">
        <v>2</v>
      </c>
      <c r="K1326" s="1860"/>
      <c r="L1326" s="1854">
        <v>13121009200</v>
      </c>
      <c r="M1326" s="1855">
        <v>1</v>
      </c>
      <c r="N1326" s="1855">
        <v>1</v>
      </c>
      <c r="O1326" s="1856">
        <v>2</v>
      </c>
    </row>
    <row r="1327" spans="3:15">
      <c r="C1327" s="1861" t="s">
        <v>5116</v>
      </c>
      <c r="D1327" s="1858">
        <v>1</v>
      </c>
      <c r="E1327" s="1858">
        <v>1</v>
      </c>
      <c r="F1327" s="1859">
        <v>2</v>
      </c>
      <c r="G1327" s="1872" t="s">
        <v>5116</v>
      </c>
      <c r="H1327" s="1856">
        <v>1</v>
      </c>
      <c r="I1327" s="1856">
        <v>1</v>
      </c>
      <c r="J1327" s="1873">
        <v>2</v>
      </c>
      <c r="K1327" s="1860"/>
      <c r="L1327" s="1854">
        <v>13121009300</v>
      </c>
      <c r="M1327" s="1855">
        <v>1</v>
      </c>
      <c r="N1327" s="1855">
        <v>1</v>
      </c>
      <c r="O1327" s="1856">
        <v>2</v>
      </c>
    </row>
    <row r="1328" spans="3:15">
      <c r="C1328" s="1861" t="s">
        <v>5117</v>
      </c>
      <c r="D1328" s="1858">
        <v>1</v>
      </c>
      <c r="E1328" s="1858">
        <v>1</v>
      </c>
      <c r="F1328" s="1859">
        <v>2</v>
      </c>
      <c r="G1328" s="1872" t="s">
        <v>5117</v>
      </c>
      <c r="H1328" s="1856">
        <v>1</v>
      </c>
      <c r="I1328" s="1856" t="s">
        <v>3908</v>
      </c>
      <c r="J1328" s="1873">
        <v>1</v>
      </c>
      <c r="K1328" s="1860"/>
      <c r="L1328" s="1854">
        <v>13121009402</v>
      </c>
      <c r="M1328" s="1855">
        <v>1</v>
      </c>
      <c r="N1328" s="1855">
        <v>1</v>
      </c>
      <c r="O1328" s="1856">
        <v>2</v>
      </c>
    </row>
    <row r="1329" spans="3:15">
      <c r="C1329" s="1861" t="s">
        <v>5118</v>
      </c>
      <c r="D1329" s="1858">
        <v>1</v>
      </c>
      <c r="E1329" s="1858">
        <v>1</v>
      </c>
      <c r="F1329" s="1859">
        <v>2</v>
      </c>
      <c r="G1329" s="1872" t="s">
        <v>5118</v>
      </c>
      <c r="H1329" s="1856">
        <v>1</v>
      </c>
      <c r="I1329" s="1856">
        <v>1</v>
      </c>
      <c r="J1329" s="1873">
        <v>2</v>
      </c>
      <c r="K1329" s="1860"/>
      <c r="L1329" s="1854">
        <v>13121009403</v>
      </c>
      <c r="M1329" s="1855">
        <v>1</v>
      </c>
      <c r="N1329" s="1855">
        <v>1</v>
      </c>
      <c r="O1329" s="1856">
        <v>2</v>
      </c>
    </row>
    <row r="1330" spans="3:15">
      <c r="C1330" s="1861" t="s">
        <v>5119</v>
      </c>
      <c r="D1330" s="1858">
        <v>1</v>
      </c>
      <c r="E1330" s="1858">
        <v>1</v>
      </c>
      <c r="F1330" s="1859">
        <v>2</v>
      </c>
      <c r="G1330" s="1872" t="s">
        <v>5119</v>
      </c>
      <c r="H1330" s="1856">
        <v>1</v>
      </c>
      <c r="I1330" s="1856">
        <v>1</v>
      </c>
      <c r="J1330" s="1873">
        <v>2</v>
      </c>
      <c r="K1330" s="1860"/>
      <c r="L1330" s="1854">
        <v>13121009404</v>
      </c>
      <c r="M1330" s="1855">
        <v>1</v>
      </c>
      <c r="N1330" s="1855">
        <v>1</v>
      </c>
      <c r="O1330" s="1856">
        <v>2</v>
      </c>
    </row>
    <row r="1331" spans="3:15">
      <c r="C1331" s="1861" t="s">
        <v>5120</v>
      </c>
      <c r="D1331" s="1858">
        <v>1</v>
      </c>
      <c r="E1331" s="1858">
        <v>1</v>
      </c>
      <c r="F1331" s="1859">
        <v>2</v>
      </c>
      <c r="G1331" s="1872" t="s">
        <v>5120</v>
      </c>
      <c r="H1331" s="1856">
        <v>1</v>
      </c>
      <c r="I1331" s="1856">
        <v>1</v>
      </c>
      <c r="J1331" s="1873">
        <v>2</v>
      </c>
      <c r="K1331" s="1860"/>
      <c r="L1331" s="1854">
        <v>13121009501</v>
      </c>
      <c r="M1331" s="1855">
        <v>1</v>
      </c>
      <c r="N1331" s="1855">
        <v>1</v>
      </c>
      <c r="O1331" s="1856">
        <v>2</v>
      </c>
    </row>
    <row r="1332" spans="3:15">
      <c r="C1332" s="1861" t="s">
        <v>5121</v>
      </c>
      <c r="D1332" s="1858">
        <v>1</v>
      </c>
      <c r="E1332" s="1858">
        <v>0</v>
      </c>
      <c r="F1332" s="1859">
        <v>1</v>
      </c>
      <c r="G1332" s="1872" t="s">
        <v>5121</v>
      </c>
      <c r="H1332" s="1856">
        <v>1</v>
      </c>
      <c r="I1332" s="1856" t="s">
        <v>3908</v>
      </c>
      <c r="J1332" s="1873">
        <v>1</v>
      </c>
      <c r="K1332" s="1860"/>
      <c r="L1332" s="1854">
        <v>13121009502</v>
      </c>
      <c r="M1332" s="1855">
        <v>1</v>
      </c>
      <c r="N1332" s="1855">
        <v>0</v>
      </c>
      <c r="O1332" s="1856">
        <v>1</v>
      </c>
    </row>
    <row r="1333" spans="3:15">
      <c r="C1333" s="1861" t="s">
        <v>5122</v>
      </c>
      <c r="D1333" s="1858">
        <v>1</v>
      </c>
      <c r="E1333" s="1858">
        <v>1</v>
      </c>
      <c r="F1333" s="1859">
        <v>2</v>
      </c>
      <c r="G1333" s="1872" t="s">
        <v>5122</v>
      </c>
      <c r="H1333" s="1856">
        <v>1</v>
      </c>
      <c r="I1333" s="1856">
        <v>1</v>
      </c>
      <c r="J1333" s="1873">
        <v>2</v>
      </c>
      <c r="K1333" s="1860"/>
      <c r="L1333" s="1854">
        <v>13121009601</v>
      </c>
      <c r="M1333" s="1855">
        <v>1</v>
      </c>
      <c r="N1333" s="1855">
        <v>1</v>
      </c>
      <c r="O1333" s="1856">
        <v>2</v>
      </c>
    </row>
    <row r="1334" spans="3:15">
      <c r="C1334" s="1861" t="s">
        <v>5123</v>
      </c>
      <c r="D1334" s="1858">
        <v>1</v>
      </c>
      <c r="E1334" s="1858">
        <v>1</v>
      </c>
      <c r="F1334" s="1859">
        <v>2</v>
      </c>
      <c r="G1334" s="1872" t="s">
        <v>5123</v>
      </c>
      <c r="H1334" s="1856">
        <v>1</v>
      </c>
      <c r="I1334" s="1856">
        <v>1</v>
      </c>
      <c r="J1334" s="1873">
        <v>2</v>
      </c>
      <c r="K1334" s="1860"/>
      <c r="L1334" s="1854">
        <v>13121009602</v>
      </c>
      <c r="M1334" s="1855">
        <v>1</v>
      </c>
      <c r="N1334" s="1855">
        <v>1</v>
      </c>
      <c r="O1334" s="1856">
        <v>2</v>
      </c>
    </row>
    <row r="1335" spans="3:15">
      <c r="C1335" s="1861" t="s">
        <v>5124</v>
      </c>
      <c r="D1335" s="1858">
        <v>1</v>
      </c>
      <c r="E1335" s="1858">
        <v>1</v>
      </c>
      <c r="F1335" s="1859">
        <v>2</v>
      </c>
      <c r="G1335" s="1872" t="s">
        <v>5124</v>
      </c>
      <c r="H1335" s="1856">
        <v>1</v>
      </c>
      <c r="I1335" s="1856">
        <v>1</v>
      </c>
      <c r="J1335" s="1873">
        <v>2</v>
      </c>
      <c r="K1335" s="1860"/>
      <c r="L1335" s="1854">
        <v>13121009603</v>
      </c>
      <c r="M1335" s="1855">
        <v>1</v>
      </c>
      <c r="N1335" s="1855">
        <v>1</v>
      </c>
      <c r="O1335" s="1856">
        <v>2</v>
      </c>
    </row>
    <row r="1336" spans="3:15">
      <c r="C1336" s="1861" t="s">
        <v>5125</v>
      </c>
      <c r="D1336" s="1858">
        <v>1</v>
      </c>
      <c r="E1336" s="1858">
        <v>1</v>
      </c>
      <c r="F1336" s="1859">
        <v>2</v>
      </c>
      <c r="G1336" s="1872" t="s">
        <v>5125</v>
      </c>
      <c r="H1336" s="1856">
        <v>1</v>
      </c>
      <c r="I1336" s="1856">
        <v>1</v>
      </c>
      <c r="J1336" s="1873">
        <v>2</v>
      </c>
      <c r="K1336" s="1860"/>
      <c r="L1336" s="1854">
        <v>13121009700</v>
      </c>
      <c r="M1336" s="1855">
        <v>1</v>
      </c>
      <c r="N1336" s="1855">
        <v>1</v>
      </c>
      <c r="O1336" s="1856">
        <v>2</v>
      </c>
    </row>
    <row r="1337" spans="3:15">
      <c r="C1337" s="1861" t="s">
        <v>5126</v>
      </c>
      <c r="D1337" s="1858">
        <v>1</v>
      </c>
      <c r="E1337" s="1858">
        <v>1</v>
      </c>
      <c r="F1337" s="1859">
        <v>2</v>
      </c>
      <c r="G1337" s="1872" t="s">
        <v>5126</v>
      </c>
      <c r="H1337" s="1856">
        <v>1</v>
      </c>
      <c r="I1337" s="1856">
        <v>1</v>
      </c>
      <c r="J1337" s="1873">
        <v>2</v>
      </c>
      <c r="K1337" s="1860"/>
      <c r="L1337" s="1854">
        <v>13121009801</v>
      </c>
      <c r="M1337" s="1855">
        <v>1</v>
      </c>
      <c r="N1337" s="1855">
        <v>1</v>
      </c>
      <c r="O1337" s="1856">
        <v>2</v>
      </c>
    </row>
    <row r="1338" spans="3:15">
      <c r="C1338" s="1861" t="s">
        <v>5127</v>
      </c>
      <c r="D1338" s="1858">
        <v>1</v>
      </c>
      <c r="E1338" s="1858">
        <v>1</v>
      </c>
      <c r="F1338" s="1859">
        <v>2</v>
      </c>
      <c r="G1338" s="1872" t="s">
        <v>5127</v>
      </c>
      <c r="H1338" s="1856">
        <v>1</v>
      </c>
      <c r="I1338" s="1856">
        <v>1</v>
      </c>
      <c r="J1338" s="1873">
        <v>2</v>
      </c>
      <c r="K1338" s="1860"/>
      <c r="L1338" s="1854">
        <v>13121009802</v>
      </c>
      <c r="M1338" s="1855">
        <v>1</v>
      </c>
      <c r="N1338" s="1855">
        <v>1</v>
      </c>
      <c r="O1338" s="1856">
        <v>2</v>
      </c>
    </row>
    <row r="1339" spans="3:15">
      <c r="C1339" s="1861" t="s">
        <v>5128</v>
      </c>
      <c r="D1339" s="1858">
        <v>1</v>
      </c>
      <c r="E1339" s="1858">
        <v>1</v>
      </c>
      <c r="F1339" s="1859">
        <v>2</v>
      </c>
      <c r="G1339" s="1872" t="s">
        <v>5128</v>
      </c>
      <c r="H1339" s="1856">
        <v>1</v>
      </c>
      <c r="I1339" s="1856" t="s">
        <v>3908</v>
      </c>
      <c r="J1339" s="1873">
        <v>1</v>
      </c>
      <c r="K1339" s="1860"/>
      <c r="L1339" s="1854">
        <v>13121009900</v>
      </c>
      <c r="M1339" s="1855">
        <v>1</v>
      </c>
      <c r="N1339" s="1855">
        <v>1</v>
      </c>
      <c r="O1339" s="1856">
        <v>2</v>
      </c>
    </row>
    <row r="1340" spans="3:15">
      <c r="C1340" s="1861" t="s">
        <v>5129</v>
      </c>
      <c r="D1340" s="1858">
        <v>1</v>
      </c>
      <c r="E1340" s="1858">
        <v>1</v>
      </c>
      <c r="F1340" s="1859">
        <v>2</v>
      </c>
      <c r="G1340" s="1872" t="s">
        <v>5129</v>
      </c>
      <c r="H1340" s="1856">
        <v>1</v>
      </c>
      <c r="I1340" s="1856">
        <v>1</v>
      </c>
      <c r="J1340" s="1873">
        <v>2</v>
      </c>
      <c r="K1340" s="1860"/>
      <c r="L1340" s="1854">
        <v>13121010001</v>
      </c>
      <c r="M1340" s="1855">
        <v>1</v>
      </c>
      <c r="N1340" s="1855">
        <v>1</v>
      </c>
      <c r="O1340" s="1856">
        <v>2</v>
      </c>
    </row>
    <row r="1341" spans="3:15">
      <c r="C1341" s="1861" t="s">
        <v>5130</v>
      </c>
      <c r="D1341" s="1858">
        <v>1</v>
      </c>
      <c r="E1341" s="1858">
        <v>1</v>
      </c>
      <c r="F1341" s="1859">
        <v>2</v>
      </c>
      <c r="G1341" s="1872" t="s">
        <v>5130</v>
      </c>
      <c r="H1341" s="1856">
        <v>1</v>
      </c>
      <c r="I1341" s="1856">
        <v>1</v>
      </c>
      <c r="J1341" s="1873">
        <v>2</v>
      </c>
      <c r="K1341" s="1860"/>
      <c r="L1341" s="1854">
        <v>13121010002</v>
      </c>
      <c r="M1341" s="1855">
        <v>1</v>
      </c>
      <c r="N1341" s="1855">
        <v>1</v>
      </c>
      <c r="O1341" s="1856">
        <v>2</v>
      </c>
    </row>
    <row r="1342" spans="3:15">
      <c r="C1342" s="1861" t="s">
        <v>5131</v>
      </c>
      <c r="D1342" s="1858">
        <v>1</v>
      </c>
      <c r="E1342" s="1858">
        <v>1</v>
      </c>
      <c r="F1342" s="1859">
        <v>2</v>
      </c>
      <c r="G1342" s="1872" t="s">
        <v>5131</v>
      </c>
      <c r="H1342" s="1856">
        <v>1</v>
      </c>
      <c r="I1342" s="1856">
        <v>1</v>
      </c>
      <c r="J1342" s="1873">
        <v>2</v>
      </c>
      <c r="K1342" s="1860"/>
      <c r="L1342" s="1854">
        <v>13121010106</v>
      </c>
      <c r="M1342" s="1855">
        <v>1</v>
      </c>
      <c r="N1342" s="1855">
        <v>1</v>
      </c>
      <c r="O1342" s="1856">
        <v>2</v>
      </c>
    </row>
    <row r="1343" spans="3:15">
      <c r="C1343" s="1861" t="s">
        <v>5132</v>
      </c>
      <c r="D1343" s="1858">
        <v>1</v>
      </c>
      <c r="E1343" s="1858">
        <v>1</v>
      </c>
      <c r="F1343" s="1859">
        <v>2</v>
      </c>
      <c r="G1343" s="1872" t="s">
        <v>5132</v>
      </c>
      <c r="H1343" s="1856">
        <v>1</v>
      </c>
      <c r="I1343" s="1856">
        <v>1</v>
      </c>
      <c r="J1343" s="1873">
        <v>2</v>
      </c>
      <c r="K1343" s="1860"/>
      <c r="L1343" s="1854">
        <v>13121010107</v>
      </c>
      <c r="M1343" s="1855">
        <v>1</v>
      </c>
      <c r="N1343" s="1855">
        <v>1</v>
      </c>
      <c r="O1343" s="1856">
        <v>2</v>
      </c>
    </row>
    <row r="1344" spans="3:15">
      <c r="C1344" s="1861" t="s">
        <v>5133</v>
      </c>
      <c r="D1344" s="1858">
        <v>1</v>
      </c>
      <c r="E1344" s="1858">
        <v>1</v>
      </c>
      <c r="F1344" s="1859">
        <v>2</v>
      </c>
      <c r="G1344" s="1872" t="s">
        <v>5133</v>
      </c>
      <c r="H1344" s="1856">
        <v>1</v>
      </c>
      <c r="I1344" s="1856">
        <v>1</v>
      </c>
      <c r="J1344" s="1873">
        <v>2</v>
      </c>
      <c r="K1344" s="1860"/>
      <c r="L1344" s="1854">
        <v>13121010108</v>
      </c>
      <c r="M1344" s="1855">
        <v>1</v>
      </c>
      <c r="N1344" s="1855">
        <v>1</v>
      </c>
      <c r="O1344" s="1856">
        <v>2</v>
      </c>
    </row>
    <row r="1345" spans="3:15">
      <c r="C1345" s="1861" t="s">
        <v>5134</v>
      </c>
      <c r="D1345" s="1858">
        <v>1</v>
      </c>
      <c r="E1345" s="1858">
        <v>1</v>
      </c>
      <c r="F1345" s="1859">
        <v>2</v>
      </c>
      <c r="G1345" s="1872" t="s">
        <v>5134</v>
      </c>
      <c r="H1345" s="1856">
        <v>1</v>
      </c>
      <c r="I1345" s="1856">
        <v>1</v>
      </c>
      <c r="J1345" s="1873">
        <v>2</v>
      </c>
      <c r="K1345" s="1860"/>
      <c r="L1345" s="1854">
        <v>13121010110</v>
      </c>
      <c r="M1345" s="1855">
        <v>1</v>
      </c>
      <c r="N1345" s="1855">
        <v>1</v>
      </c>
      <c r="O1345" s="1856">
        <v>2</v>
      </c>
    </row>
    <row r="1346" spans="3:15">
      <c r="C1346" s="1861" t="s">
        <v>5135</v>
      </c>
      <c r="D1346" s="1858">
        <v>1</v>
      </c>
      <c r="E1346" s="1858">
        <v>0</v>
      </c>
      <c r="F1346" s="1859">
        <v>1</v>
      </c>
      <c r="G1346" s="1872" t="s">
        <v>5135</v>
      </c>
      <c r="H1346" s="1856">
        <v>1</v>
      </c>
      <c r="I1346" s="1856">
        <v>0</v>
      </c>
      <c r="J1346" s="1873">
        <v>1</v>
      </c>
      <c r="K1346" s="1860"/>
      <c r="L1346" s="1854">
        <v>13121010113</v>
      </c>
      <c r="M1346" s="1855">
        <v>1</v>
      </c>
      <c r="N1346" s="1855">
        <v>0</v>
      </c>
      <c r="O1346" s="1856">
        <v>1</v>
      </c>
    </row>
    <row r="1347" spans="3:15">
      <c r="C1347" s="1861" t="s">
        <v>5136</v>
      </c>
      <c r="D1347" s="1858">
        <v>1</v>
      </c>
      <c r="E1347" s="1858">
        <v>1</v>
      </c>
      <c r="F1347" s="1859">
        <v>2</v>
      </c>
      <c r="G1347" s="1872" t="s">
        <v>5136</v>
      </c>
      <c r="H1347" s="1856">
        <v>1</v>
      </c>
      <c r="I1347" s="1856">
        <v>1</v>
      </c>
      <c r="J1347" s="1873">
        <v>2</v>
      </c>
      <c r="K1347" s="1860"/>
      <c r="L1347" s="1854">
        <v>13121010114</v>
      </c>
      <c r="M1347" s="1855">
        <v>1</v>
      </c>
      <c r="N1347" s="1855">
        <v>1</v>
      </c>
      <c r="O1347" s="1856">
        <v>2</v>
      </c>
    </row>
    <row r="1348" spans="3:15">
      <c r="C1348" s="1861" t="s">
        <v>5137</v>
      </c>
      <c r="D1348" s="1858">
        <v>1</v>
      </c>
      <c r="E1348" s="1858">
        <v>1</v>
      </c>
      <c r="F1348" s="1859">
        <v>2</v>
      </c>
      <c r="G1348" s="1872" t="s">
        <v>5137</v>
      </c>
      <c r="H1348" s="1856">
        <v>1</v>
      </c>
      <c r="I1348" s="1856">
        <v>1</v>
      </c>
      <c r="J1348" s="1873">
        <v>2</v>
      </c>
      <c r="K1348" s="1860"/>
      <c r="L1348" s="1854">
        <v>13121010115</v>
      </c>
      <c r="M1348" s="1855">
        <v>1</v>
      </c>
      <c r="N1348" s="1855">
        <v>1</v>
      </c>
      <c r="O1348" s="1856">
        <v>2</v>
      </c>
    </row>
    <row r="1349" spans="3:15">
      <c r="C1349" s="1861" t="s">
        <v>5138</v>
      </c>
      <c r="D1349" s="1858">
        <v>1</v>
      </c>
      <c r="E1349" s="1858">
        <v>0</v>
      </c>
      <c r="F1349" s="1859">
        <v>1</v>
      </c>
      <c r="G1349" s="1872" t="s">
        <v>5138</v>
      </c>
      <c r="H1349" s="1856">
        <v>1</v>
      </c>
      <c r="I1349" s="1856" t="s">
        <v>3908</v>
      </c>
      <c r="J1349" s="1873">
        <v>1</v>
      </c>
      <c r="K1349" s="1860"/>
      <c r="L1349" s="1854">
        <v>13121010117</v>
      </c>
      <c r="M1349" s="1855">
        <v>1</v>
      </c>
      <c r="N1349" s="1855">
        <v>0</v>
      </c>
      <c r="O1349" s="1856">
        <v>1</v>
      </c>
    </row>
    <row r="1350" spans="3:15">
      <c r="C1350" s="1861" t="s">
        <v>5139</v>
      </c>
      <c r="D1350" s="1858">
        <v>0</v>
      </c>
      <c r="E1350" s="1858">
        <v>0</v>
      </c>
      <c r="F1350" s="1859">
        <v>0</v>
      </c>
      <c r="G1350" s="1872" t="s">
        <v>5139</v>
      </c>
      <c r="H1350" s="1856">
        <v>1</v>
      </c>
      <c r="I1350" s="1856" t="s">
        <v>3908</v>
      </c>
      <c r="J1350" s="1873">
        <v>1</v>
      </c>
      <c r="K1350" s="1860"/>
      <c r="L1350" s="1854">
        <v>13121010118</v>
      </c>
      <c r="M1350" s="1855">
        <v>1</v>
      </c>
      <c r="N1350" s="1855">
        <v>0</v>
      </c>
      <c r="O1350" s="1856">
        <v>1</v>
      </c>
    </row>
    <row r="1351" spans="3:15">
      <c r="C1351" s="1861" t="s">
        <v>5140</v>
      </c>
      <c r="D1351" s="1858">
        <v>0</v>
      </c>
      <c r="E1351" s="1858">
        <v>0</v>
      </c>
      <c r="F1351" s="1859">
        <v>0</v>
      </c>
      <c r="G1351" s="1872" t="s">
        <v>5140</v>
      </c>
      <c r="H1351" s="1856">
        <v>0</v>
      </c>
      <c r="I1351" s="1856">
        <v>0</v>
      </c>
      <c r="J1351" s="1873">
        <v>0</v>
      </c>
      <c r="K1351" s="1860"/>
      <c r="L1351" s="1854">
        <v>13121010119</v>
      </c>
      <c r="M1351" s="1855">
        <v>0</v>
      </c>
      <c r="N1351" s="1855">
        <v>0</v>
      </c>
      <c r="O1351" s="1856">
        <v>0</v>
      </c>
    </row>
    <row r="1352" spans="3:15">
      <c r="C1352" s="1861" t="s">
        <v>5141</v>
      </c>
      <c r="D1352" s="1858">
        <v>1</v>
      </c>
      <c r="E1352" s="1858">
        <v>1</v>
      </c>
      <c r="F1352" s="1859">
        <v>2</v>
      </c>
      <c r="G1352" s="1872" t="s">
        <v>5141</v>
      </c>
      <c r="H1352" s="1856">
        <v>1</v>
      </c>
      <c r="I1352" s="1856" t="s">
        <v>3908</v>
      </c>
      <c r="J1352" s="1873">
        <v>1</v>
      </c>
      <c r="K1352" s="1860"/>
      <c r="L1352" s="1854">
        <v>13121010120</v>
      </c>
      <c r="M1352" s="1855">
        <v>1</v>
      </c>
      <c r="N1352" s="1855">
        <v>1</v>
      </c>
      <c r="O1352" s="1856">
        <v>2</v>
      </c>
    </row>
    <row r="1353" spans="3:15">
      <c r="C1353" s="1861" t="s">
        <v>5142</v>
      </c>
      <c r="D1353" s="1858">
        <v>1</v>
      </c>
      <c r="E1353" s="1858">
        <v>1</v>
      </c>
      <c r="F1353" s="1859">
        <v>2</v>
      </c>
      <c r="G1353" s="1872" t="s">
        <v>5142</v>
      </c>
      <c r="H1353" s="1856">
        <v>1</v>
      </c>
      <c r="I1353" s="1856">
        <v>1</v>
      </c>
      <c r="J1353" s="1873">
        <v>2</v>
      </c>
      <c r="K1353" s="1860"/>
      <c r="L1353" s="1854">
        <v>13121010121</v>
      </c>
      <c r="M1353" s="1855">
        <v>1</v>
      </c>
      <c r="N1353" s="1855">
        <v>1</v>
      </c>
      <c r="O1353" s="1856">
        <v>2</v>
      </c>
    </row>
    <row r="1354" spans="3:15">
      <c r="C1354" s="1861" t="s">
        <v>5143</v>
      </c>
      <c r="D1354" s="1858">
        <v>1</v>
      </c>
      <c r="E1354" s="1858">
        <v>1</v>
      </c>
      <c r="F1354" s="1859">
        <v>2</v>
      </c>
      <c r="G1354" s="1872" t="s">
        <v>5143</v>
      </c>
      <c r="H1354" s="1856">
        <v>1</v>
      </c>
      <c r="I1354" s="1856">
        <v>1</v>
      </c>
      <c r="J1354" s="1873">
        <v>2</v>
      </c>
      <c r="K1354" s="1860"/>
      <c r="L1354" s="1854">
        <v>13121010122</v>
      </c>
      <c r="M1354" s="1855">
        <v>1</v>
      </c>
      <c r="N1354" s="1855">
        <v>1</v>
      </c>
      <c r="O1354" s="1856">
        <v>2</v>
      </c>
    </row>
    <row r="1355" spans="3:15">
      <c r="C1355" s="1861" t="s">
        <v>5144</v>
      </c>
      <c r="D1355" s="1858">
        <v>1</v>
      </c>
      <c r="E1355" s="1858">
        <v>0</v>
      </c>
      <c r="F1355" s="1859">
        <v>1</v>
      </c>
      <c r="G1355" s="1872" t="s">
        <v>5144</v>
      </c>
      <c r="H1355" s="1856">
        <v>1</v>
      </c>
      <c r="I1355" s="1856">
        <v>1</v>
      </c>
      <c r="J1355" s="1873">
        <v>2</v>
      </c>
      <c r="K1355" s="1860"/>
      <c r="L1355" s="1854">
        <v>13121010123</v>
      </c>
      <c r="M1355" s="1855">
        <v>1</v>
      </c>
      <c r="N1355" s="1855">
        <v>1</v>
      </c>
      <c r="O1355" s="1856">
        <v>2</v>
      </c>
    </row>
    <row r="1356" spans="3:15">
      <c r="C1356" s="1861" t="s">
        <v>5145</v>
      </c>
      <c r="D1356" s="1858">
        <v>1</v>
      </c>
      <c r="E1356" s="1858">
        <v>1</v>
      </c>
      <c r="F1356" s="1859">
        <v>2</v>
      </c>
      <c r="G1356" s="1872" t="s">
        <v>5145</v>
      </c>
      <c r="H1356" s="1856">
        <v>1</v>
      </c>
      <c r="I1356" s="1856">
        <v>1</v>
      </c>
      <c r="J1356" s="1873">
        <v>2</v>
      </c>
      <c r="K1356" s="1860"/>
      <c r="L1356" s="1854">
        <v>13121010204</v>
      </c>
      <c r="M1356" s="1855">
        <v>1</v>
      </c>
      <c r="N1356" s="1855">
        <v>1</v>
      </c>
      <c r="O1356" s="1856">
        <v>2</v>
      </c>
    </row>
    <row r="1357" spans="3:15">
      <c r="C1357" s="1861" t="s">
        <v>5146</v>
      </c>
      <c r="D1357" s="1858">
        <v>1</v>
      </c>
      <c r="E1357" s="1858">
        <v>1</v>
      </c>
      <c r="F1357" s="1859">
        <v>2</v>
      </c>
      <c r="G1357" s="1872" t="s">
        <v>5146</v>
      </c>
      <c r="H1357" s="1856">
        <v>1</v>
      </c>
      <c r="I1357" s="1856">
        <v>1</v>
      </c>
      <c r="J1357" s="1873">
        <v>2</v>
      </c>
      <c r="K1357" s="1860"/>
      <c r="L1357" s="1854">
        <v>13121010205</v>
      </c>
      <c r="M1357" s="1855">
        <v>1</v>
      </c>
      <c r="N1357" s="1855">
        <v>1</v>
      </c>
      <c r="O1357" s="1856">
        <v>2</v>
      </c>
    </row>
    <row r="1358" spans="3:15">
      <c r="C1358" s="1861" t="s">
        <v>5147</v>
      </c>
      <c r="D1358" s="1858">
        <v>1</v>
      </c>
      <c r="E1358" s="1858">
        <v>1</v>
      </c>
      <c r="F1358" s="1859">
        <v>2</v>
      </c>
      <c r="G1358" s="1872" t="s">
        <v>5147</v>
      </c>
      <c r="H1358" s="1856">
        <v>1</v>
      </c>
      <c r="I1358" s="1856">
        <v>1</v>
      </c>
      <c r="J1358" s="1873">
        <v>2</v>
      </c>
      <c r="K1358" s="1860"/>
      <c r="L1358" s="1854">
        <v>13121010206</v>
      </c>
      <c r="M1358" s="1855">
        <v>1</v>
      </c>
      <c r="N1358" s="1855">
        <v>1</v>
      </c>
      <c r="O1358" s="1856">
        <v>2</v>
      </c>
    </row>
    <row r="1359" spans="3:15">
      <c r="C1359" s="1861" t="s">
        <v>5148</v>
      </c>
      <c r="D1359" s="1858">
        <v>1</v>
      </c>
      <c r="E1359" s="1858">
        <v>0</v>
      </c>
      <c r="F1359" s="1859">
        <v>1</v>
      </c>
      <c r="G1359" s="1872" t="s">
        <v>5148</v>
      </c>
      <c r="H1359" s="1856">
        <v>1</v>
      </c>
      <c r="I1359" s="1856">
        <v>1</v>
      </c>
      <c r="J1359" s="1873">
        <v>2</v>
      </c>
      <c r="K1359" s="1860"/>
      <c r="L1359" s="1854">
        <v>13121010208</v>
      </c>
      <c r="M1359" s="1855">
        <v>1</v>
      </c>
      <c r="N1359" s="1855">
        <v>1</v>
      </c>
      <c r="O1359" s="1856">
        <v>2</v>
      </c>
    </row>
    <row r="1360" spans="3:15">
      <c r="C1360" s="1861" t="s">
        <v>5149</v>
      </c>
      <c r="D1360" s="1858">
        <v>1</v>
      </c>
      <c r="E1360" s="1858">
        <v>1</v>
      </c>
      <c r="F1360" s="1859">
        <v>2</v>
      </c>
      <c r="G1360" s="1872" t="s">
        <v>5149</v>
      </c>
      <c r="H1360" s="1856">
        <v>1</v>
      </c>
      <c r="I1360" s="1856" t="s">
        <v>3908</v>
      </c>
      <c r="J1360" s="1873">
        <v>1</v>
      </c>
      <c r="K1360" s="1860"/>
      <c r="L1360" s="1854">
        <v>13121010209</v>
      </c>
      <c r="M1360" s="1855">
        <v>1</v>
      </c>
      <c r="N1360" s="1855">
        <v>1</v>
      </c>
      <c r="O1360" s="1856">
        <v>2</v>
      </c>
    </row>
    <row r="1361" spans="3:15">
      <c r="C1361" s="1861" t="s">
        <v>5150</v>
      </c>
      <c r="D1361" s="1858">
        <v>1</v>
      </c>
      <c r="E1361" s="1858">
        <v>1</v>
      </c>
      <c r="F1361" s="1859">
        <v>2</v>
      </c>
      <c r="G1361" s="1872" t="s">
        <v>5150</v>
      </c>
      <c r="H1361" s="1856">
        <v>1</v>
      </c>
      <c r="I1361" s="1856">
        <v>1</v>
      </c>
      <c r="J1361" s="1873">
        <v>2</v>
      </c>
      <c r="K1361" s="1860"/>
      <c r="L1361" s="1854">
        <v>13121010210</v>
      </c>
      <c r="M1361" s="1855">
        <v>1</v>
      </c>
      <c r="N1361" s="1855">
        <v>1</v>
      </c>
      <c r="O1361" s="1856">
        <v>2</v>
      </c>
    </row>
    <row r="1362" spans="3:15">
      <c r="C1362" s="1861" t="s">
        <v>5151</v>
      </c>
      <c r="D1362" s="1858">
        <v>1</v>
      </c>
      <c r="E1362" s="1858">
        <v>1</v>
      </c>
      <c r="F1362" s="1859">
        <v>2</v>
      </c>
      <c r="G1362" s="1872" t="s">
        <v>5151</v>
      </c>
      <c r="H1362" s="1856">
        <v>1</v>
      </c>
      <c r="I1362" s="1856">
        <v>1</v>
      </c>
      <c r="J1362" s="1873">
        <v>2</v>
      </c>
      <c r="K1362" s="1860"/>
      <c r="L1362" s="1854">
        <v>13121010211</v>
      </c>
      <c r="M1362" s="1855">
        <v>1</v>
      </c>
      <c r="N1362" s="1855">
        <v>1</v>
      </c>
      <c r="O1362" s="1856">
        <v>2</v>
      </c>
    </row>
    <row r="1363" spans="3:15">
      <c r="C1363" s="1861" t="s">
        <v>5152</v>
      </c>
      <c r="D1363" s="1858">
        <v>1</v>
      </c>
      <c r="E1363" s="1858">
        <v>0</v>
      </c>
      <c r="F1363" s="1859">
        <v>1</v>
      </c>
      <c r="G1363" s="1872" t="s">
        <v>5152</v>
      </c>
      <c r="H1363" s="1856">
        <v>1</v>
      </c>
      <c r="I1363" s="1856">
        <v>0</v>
      </c>
      <c r="J1363" s="1873">
        <v>1</v>
      </c>
      <c r="K1363" s="1860"/>
      <c r="L1363" s="1854">
        <v>13121010212</v>
      </c>
      <c r="M1363" s="1855">
        <v>1</v>
      </c>
      <c r="N1363" s="1855">
        <v>0</v>
      </c>
      <c r="O1363" s="1856">
        <v>1</v>
      </c>
    </row>
    <row r="1364" spans="3:15">
      <c r="C1364" s="1861" t="s">
        <v>5153</v>
      </c>
      <c r="D1364" s="1858">
        <v>1</v>
      </c>
      <c r="E1364" s="1858">
        <v>0</v>
      </c>
      <c r="F1364" s="1859">
        <v>1</v>
      </c>
      <c r="G1364" s="1872" t="s">
        <v>5153</v>
      </c>
      <c r="H1364" s="1856">
        <v>1</v>
      </c>
      <c r="I1364" s="1856">
        <v>1</v>
      </c>
      <c r="J1364" s="1873">
        <v>2</v>
      </c>
      <c r="K1364" s="1860"/>
      <c r="L1364" s="1854">
        <v>13121010301</v>
      </c>
      <c r="M1364" s="1855">
        <v>1</v>
      </c>
      <c r="N1364" s="1855">
        <v>1</v>
      </c>
      <c r="O1364" s="1856">
        <v>2</v>
      </c>
    </row>
    <row r="1365" spans="3:15">
      <c r="C1365" s="1861" t="s">
        <v>5154</v>
      </c>
      <c r="D1365" s="1858">
        <v>1</v>
      </c>
      <c r="E1365" s="1858">
        <v>0</v>
      </c>
      <c r="F1365" s="1859">
        <v>1</v>
      </c>
      <c r="G1365" s="1872" t="s">
        <v>5154</v>
      </c>
      <c r="H1365" s="1856">
        <v>1</v>
      </c>
      <c r="I1365" s="1856">
        <v>1</v>
      </c>
      <c r="J1365" s="1873">
        <v>2</v>
      </c>
      <c r="K1365" s="1860"/>
      <c r="L1365" s="1854">
        <v>13121010303</v>
      </c>
      <c r="M1365" s="1855">
        <v>1</v>
      </c>
      <c r="N1365" s="1855">
        <v>1</v>
      </c>
      <c r="O1365" s="1856">
        <v>2</v>
      </c>
    </row>
    <row r="1366" spans="3:15">
      <c r="C1366" s="1861" t="s">
        <v>5155</v>
      </c>
      <c r="D1366" s="1858">
        <v>1</v>
      </c>
      <c r="E1366" s="1858">
        <v>1</v>
      </c>
      <c r="F1366" s="1859">
        <v>2</v>
      </c>
      <c r="G1366" s="1872" t="s">
        <v>5155</v>
      </c>
      <c r="H1366" s="1856">
        <v>1</v>
      </c>
      <c r="I1366" s="1856">
        <v>1</v>
      </c>
      <c r="J1366" s="1873">
        <v>2</v>
      </c>
      <c r="K1366" s="1860"/>
      <c r="L1366" s="1854">
        <v>13121010304</v>
      </c>
      <c r="M1366" s="1855">
        <v>1</v>
      </c>
      <c r="N1366" s="1855">
        <v>1</v>
      </c>
      <c r="O1366" s="1856">
        <v>2</v>
      </c>
    </row>
    <row r="1367" spans="3:15">
      <c r="C1367" s="1861" t="s">
        <v>5156</v>
      </c>
      <c r="D1367" s="1858">
        <v>0</v>
      </c>
      <c r="E1367" s="1858">
        <v>0</v>
      </c>
      <c r="F1367" s="1859">
        <v>0</v>
      </c>
      <c r="G1367" s="1872" t="s">
        <v>5156</v>
      </c>
      <c r="H1367" s="1856">
        <v>0</v>
      </c>
      <c r="I1367" s="1856">
        <v>0</v>
      </c>
      <c r="J1367" s="1873">
        <v>0</v>
      </c>
      <c r="K1367" s="1860"/>
      <c r="L1367" s="1854">
        <v>13121010400</v>
      </c>
      <c r="M1367" s="1855">
        <v>0</v>
      </c>
      <c r="N1367" s="1855">
        <v>0</v>
      </c>
      <c r="O1367" s="1856">
        <v>0</v>
      </c>
    </row>
    <row r="1368" spans="3:15">
      <c r="C1368" s="1861" t="s">
        <v>5157</v>
      </c>
      <c r="D1368" s="1858">
        <v>0</v>
      </c>
      <c r="E1368" s="1858">
        <v>0</v>
      </c>
      <c r="F1368" s="1859">
        <v>0</v>
      </c>
      <c r="G1368" s="1872" t="s">
        <v>5157</v>
      </c>
      <c r="H1368" s="1856">
        <v>0</v>
      </c>
      <c r="I1368" s="1856">
        <v>1</v>
      </c>
      <c r="J1368" s="1873">
        <v>1</v>
      </c>
      <c r="K1368" s="1860"/>
      <c r="L1368" s="1854">
        <v>13121010507</v>
      </c>
      <c r="M1368" s="1855">
        <v>0</v>
      </c>
      <c r="N1368" s="1855">
        <v>1</v>
      </c>
      <c r="O1368" s="1856">
        <v>1</v>
      </c>
    </row>
    <row r="1369" spans="3:15">
      <c r="C1369" s="1861" t="s">
        <v>5158</v>
      </c>
      <c r="D1369" s="1858">
        <v>0</v>
      </c>
      <c r="E1369" s="1858">
        <v>0</v>
      </c>
      <c r="F1369" s="1859">
        <v>0</v>
      </c>
      <c r="G1369" s="1872" t="s">
        <v>5158</v>
      </c>
      <c r="H1369" s="1856">
        <v>0</v>
      </c>
      <c r="I1369" s="1856">
        <v>0</v>
      </c>
      <c r="J1369" s="1873">
        <v>0</v>
      </c>
      <c r="K1369" s="1860"/>
      <c r="L1369" s="1854">
        <v>13121010508</v>
      </c>
      <c r="M1369" s="1855">
        <v>0</v>
      </c>
      <c r="N1369" s="1855">
        <v>0</v>
      </c>
      <c r="O1369" s="1856">
        <v>0</v>
      </c>
    </row>
    <row r="1370" spans="3:15">
      <c r="C1370" s="1861" t="s">
        <v>5159</v>
      </c>
      <c r="D1370" s="1858">
        <v>0</v>
      </c>
      <c r="E1370" s="1858">
        <v>0</v>
      </c>
      <c r="F1370" s="1859">
        <v>0</v>
      </c>
      <c r="G1370" s="1872" t="s">
        <v>5159</v>
      </c>
      <c r="H1370" s="1856">
        <v>0</v>
      </c>
      <c r="I1370" s="1856">
        <v>1</v>
      </c>
      <c r="J1370" s="1873">
        <v>1</v>
      </c>
      <c r="K1370" s="1860"/>
      <c r="L1370" s="1854">
        <v>13121010510</v>
      </c>
      <c r="M1370" s="1855">
        <v>0</v>
      </c>
      <c r="N1370" s="1855">
        <v>1</v>
      </c>
      <c r="O1370" s="1856">
        <v>1</v>
      </c>
    </row>
    <row r="1371" spans="3:15">
      <c r="C1371" s="1861" t="s">
        <v>5160</v>
      </c>
      <c r="D1371" s="1858">
        <v>0</v>
      </c>
      <c r="E1371" s="1858">
        <v>0</v>
      </c>
      <c r="F1371" s="1859">
        <v>0</v>
      </c>
      <c r="G1371" s="1872" t="s">
        <v>5160</v>
      </c>
      <c r="H1371" s="1856">
        <v>0</v>
      </c>
      <c r="I1371" s="1856">
        <v>1</v>
      </c>
      <c r="J1371" s="1873">
        <v>1</v>
      </c>
      <c r="K1371" s="1860"/>
      <c r="L1371" s="1854">
        <v>13121010511</v>
      </c>
      <c r="M1371" s="1855">
        <v>0</v>
      </c>
      <c r="N1371" s="1855">
        <v>1</v>
      </c>
      <c r="O1371" s="1856">
        <v>1</v>
      </c>
    </row>
    <row r="1372" spans="3:15">
      <c r="C1372" s="1861" t="s">
        <v>5161</v>
      </c>
      <c r="D1372" s="1858">
        <v>0</v>
      </c>
      <c r="E1372" s="1858">
        <v>0</v>
      </c>
      <c r="F1372" s="1859">
        <v>0</v>
      </c>
      <c r="G1372" s="1872" t="s">
        <v>5161</v>
      </c>
      <c r="H1372" s="1856">
        <v>0</v>
      </c>
      <c r="I1372" s="1856" t="s">
        <v>3908</v>
      </c>
      <c r="J1372" s="1873">
        <v>0</v>
      </c>
      <c r="K1372" s="1860"/>
      <c r="L1372" s="1854">
        <v>13121010512</v>
      </c>
      <c r="M1372" s="1855">
        <v>0</v>
      </c>
      <c r="N1372" s="1855">
        <v>0</v>
      </c>
      <c r="O1372" s="1856">
        <v>0</v>
      </c>
    </row>
    <row r="1373" spans="3:15">
      <c r="C1373" s="1861" t="s">
        <v>5162</v>
      </c>
      <c r="D1373" s="1858">
        <v>0</v>
      </c>
      <c r="E1373" s="1858">
        <v>0</v>
      </c>
      <c r="F1373" s="1859">
        <v>0</v>
      </c>
      <c r="G1373" s="1872" t="s">
        <v>5162</v>
      </c>
      <c r="H1373" s="1856">
        <v>0</v>
      </c>
      <c r="I1373" s="1856">
        <v>0</v>
      </c>
      <c r="J1373" s="1873">
        <v>0</v>
      </c>
      <c r="K1373" s="1860"/>
      <c r="L1373" s="1854">
        <v>13121010513</v>
      </c>
      <c r="M1373" s="1855">
        <v>0</v>
      </c>
      <c r="N1373" s="1855">
        <v>0</v>
      </c>
      <c r="O1373" s="1856">
        <v>0</v>
      </c>
    </row>
    <row r="1374" spans="3:15">
      <c r="C1374" s="1861" t="s">
        <v>5163</v>
      </c>
      <c r="D1374" s="1858">
        <v>1</v>
      </c>
      <c r="E1374" s="1858">
        <v>1</v>
      </c>
      <c r="F1374" s="1859">
        <v>2</v>
      </c>
      <c r="G1374" s="1872" t="s">
        <v>5163</v>
      </c>
      <c r="H1374" s="1856">
        <v>1</v>
      </c>
      <c r="I1374" s="1856">
        <v>1</v>
      </c>
      <c r="J1374" s="1873">
        <v>2</v>
      </c>
      <c r="K1374" s="1860"/>
      <c r="L1374" s="1854">
        <v>13121010514</v>
      </c>
      <c r="M1374" s="1855">
        <v>1</v>
      </c>
      <c r="N1374" s="1855">
        <v>1</v>
      </c>
      <c r="O1374" s="1856">
        <v>2</v>
      </c>
    </row>
    <row r="1375" spans="3:15">
      <c r="C1375" s="1861" t="s">
        <v>5164</v>
      </c>
      <c r="D1375" s="1858">
        <v>0</v>
      </c>
      <c r="E1375" s="1858">
        <v>0</v>
      </c>
      <c r="F1375" s="1859">
        <v>0</v>
      </c>
      <c r="G1375" s="1872" t="s">
        <v>5164</v>
      </c>
      <c r="H1375" s="1856">
        <v>1</v>
      </c>
      <c r="I1375" s="1856">
        <v>0</v>
      </c>
      <c r="J1375" s="1873">
        <v>1</v>
      </c>
      <c r="K1375" s="1860"/>
      <c r="L1375" s="1854">
        <v>13121010515</v>
      </c>
      <c r="M1375" s="1855">
        <v>1</v>
      </c>
      <c r="N1375" s="1855">
        <v>0</v>
      </c>
      <c r="O1375" s="1856">
        <v>1</v>
      </c>
    </row>
    <row r="1376" spans="3:15">
      <c r="C1376" s="1861" t="s">
        <v>5165</v>
      </c>
      <c r="D1376" s="1858">
        <v>0</v>
      </c>
      <c r="E1376" s="1858">
        <v>0</v>
      </c>
      <c r="F1376" s="1859">
        <v>0</v>
      </c>
      <c r="G1376" s="1872" t="s">
        <v>5165</v>
      </c>
      <c r="H1376" s="1856">
        <v>0</v>
      </c>
      <c r="I1376" s="1856">
        <v>0</v>
      </c>
      <c r="J1376" s="1873">
        <v>0</v>
      </c>
      <c r="K1376" s="1860"/>
      <c r="L1376" s="1854">
        <v>13121010516</v>
      </c>
      <c r="M1376" s="1855">
        <v>0</v>
      </c>
      <c r="N1376" s="1855">
        <v>0</v>
      </c>
      <c r="O1376" s="1856">
        <v>0</v>
      </c>
    </row>
    <row r="1377" spans="3:15">
      <c r="C1377" s="1861" t="s">
        <v>5166</v>
      </c>
      <c r="D1377" s="1858">
        <v>0</v>
      </c>
      <c r="E1377" s="1858">
        <v>0</v>
      </c>
      <c r="F1377" s="1859">
        <v>0</v>
      </c>
      <c r="G1377" s="1872" t="s">
        <v>5166</v>
      </c>
      <c r="H1377" s="1856">
        <v>0</v>
      </c>
      <c r="I1377" s="1856">
        <v>0</v>
      </c>
      <c r="J1377" s="1873">
        <v>0</v>
      </c>
      <c r="K1377" s="1860"/>
      <c r="L1377" s="1854">
        <v>13121010601</v>
      </c>
      <c r="M1377" s="1855">
        <v>0</v>
      </c>
      <c r="N1377" s="1855">
        <v>0</v>
      </c>
      <c r="O1377" s="1856">
        <v>0</v>
      </c>
    </row>
    <row r="1378" spans="3:15">
      <c r="C1378" s="1861" t="s">
        <v>5167</v>
      </c>
      <c r="D1378" s="1858">
        <v>0</v>
      </c>
      <c r="E1378" s="1858">
        <v>0</v>
      </c>
      <c r="F1378" s="1859">
        <v>0</v>
      </c>
      <c r="G1378" s="1872" t="s">
        <v>5167</v>
      </c>
      <c r="H1378" s="1856">
        <v>0</v>
      </c>
      <c r="I1378" s="1856">
        <v>0</v>
      </c>
      <c r="J1378" s="1873">
        <v>0</v>
      </c>
      <c r="K1378" s="1860"/>
      <c r="L1378" s="1854">
        <v>13121010603</v>
      </c>
      <c r="M1378" s="1855">
        <v>0</v>
      </c>
      <c r="N1378" s="1855">
        <v>0</v>
      </c>
      <c r="O1378" s="1856">
        <v>0</v>
      </c>
    </row>
    <row r="1379" spans="3:15">
      <c r="C1379" s="1861" t="s">
        <v>5168</v>
      </c>
      <c r="D1379" s="1858">
        <v>0</v>
      </c>
      <c r="E1379" s="1858">
        <v>0</v>
      </c>
      <c r="F1379" s="1859">
        <v>0</v>
      </c>
      <c r="G1379" s="1872" t="s">
        <v>5168</v>
      </c>
      <c r="H1379" s="1856">
        <v>0</v>
      </c>
      <c r="I1379" s="1856">
        <v>0</v>
      </c>
      <c r="J1379" s="1873">
        <v>0</v>
      </c>
      <c r="K1379" s="1860"/>
      <c r="L1379" s="1854">
        <v>13121010604</v>
      </c>
      <c r="M1379" s="1855">
        <v>0</v>
      </c>
      <c r="N1379" s="1855">
        <v>0</v>
      </c>
      <c r="O1379" s="1856">
        <v>0</v>
      </c>
    </row>
    <row r="1380" spans="3:15">
      <c r="C1380" s="1861" t="s">
        <v>5169</v>
      </c>
      <c r="D1380" s="1858">
        <v>0</v>
      </c>
      <c r="E1380" s="1858">
        <v>0</v>
      </c>
      <c r="F1380" s="1859">
        <v>0</v>
      </c>
      <c r="G1380" s="1872" t="s">
        <v>5169</v>
      </c>
      <c r="H1380" s="1856">
        <v>1</v>
      </c>
      <c r="I1380" s="1856">
        <v>0</v>
      </c>
      <c r="J1380" s="1873">
        <v>1</v>
      </c>
      <c r="K1380" s="1860"/>
      <c r="L1380" s="1854">
        <v>13121010800</v>
      </c>
      <c r="M1380" s="1855">
        <v>1</v>
      </c>
      <c r="N1380" s="1855">
        <v>0</v>
      </c>
      <c r="O1380" s="1856">
        <v>1</v>
      </c>
    </row>
    <row r="1381" spans="3:15">
      <c r="C1381" s="1861" t="s">
        <v>5170</v>
      </c>
      <c r="D1381" s="1858">
        <v>0</v>
      </c>
      <c r="E1381" s="1858">
        <v>0</v>
      </c>
      <c r="F1381" s="1859">
        <v>0</v>
      </c>
      <c r="G1381" s="1872" t="s">
        <v>5170</v>
      </c>
      <c r="H1381" s="1856">
        <v>0</v>
      </c>
      <c r="I1381" s="1856">
        <v>0</v>
      </c>
      <c r="J1381" s="1873">
        <v>0</v>
      </c>
      <c r="K1381" s="1860"/>
      <c r="L1381" s="1854">
        <v>13121011000</v>
      </c>
      <c r="M1381" s="1855">
        <v>0</v>
      </c>
      <c r="N1381" s="1855">
        <v>0</v>
      </c>
      <c r="O1381" s="1856">
        <v>0</v>
      </c>
    </row>
    <row r="1382" spans="3:15">
      <c r="C1382" s="1861" t="s">
        <v>5171</v>
      </c>
      <c r="D1382" s="1858">
        <v>1</v>
      </c>
      <c r="E1382" s="1858">
        <v>0</v>
      </c>
      <c r="F1382" s="1859">
        <v>1</v>
      </c>
      <c r="G1382" s="1872" t="s">
        <v>5171</v>
      </c>
      <c r="H1382" s="1856">
        <v>1</v>
      </c>
      <c r="I1382" s="1856">
        <v>0</v>
      </c>
      <c r="J1382" s="1873">
        <v>1</v>
      </c>
      <c r="K1382" s="1860"/>
      <c r="L1382" s="1854">
        <v>13121011100</v>
      </c>
      <c r="M1382" s="1855">
        <v>1</v>
      </c>
      <c r="N1382" s="1855">
        <v>0</v>
      </c>
      <c r="O1382" s="1856">
        <v>1</v>
      </c>
    </row>
    <row r="1383" spans="3:15">
      <c r="C1383" s="1861" t="s">
        <v>5172</v>
      </c>
      <c r="D1383" s="1858">
        <v>0</v>
      </c>
      <c r="E1383" s="1858">
        <v>0</v>
      </c>
      <c r="F1383" s="1859">
        <v>0</v>
      </c>
      <c r="G1383" s="1872" t="s">
        <v>5172</v>
      </c>
      <c r="H1383" s="1856">
        <v>0</v>
      </c>
      <c r="I1383" s="1856">
        <v>0</v>
      </c>
      <c r="J1383" s="1873">
        <v>0</v>
      </c>
      <c r="K1383" s="1860"/>
      <c r="L1383" s="1854">
        <v>13121011201</v>
      </c>
      <c r="M1383" s="1855">
        <v>0</v>
      </c>
      <c r="N1383" s="1855">
        <v>0</v>
      </c>
      <c r="O1383" s="1856">
        <v>0</v>
      </c>
    </row>
    <row r="1384" spans="3:15">
      <c r="C1384" s="1861" t="s">
        <v>5173</v>
      </c>
      <c r="D1384" s="1858">
        <v>0</v>
      </c>
      <c r="E1384" s="1858">
        <v>0</v>
      </c>
      <c r="F1384" s="1859">
        <v>0</v>
      </c>
      <c r="G1384" s="1872" t="s">
        <v>5173</v>
      </c>
      <c r="H1384" s="1856">
        <v>0</v>
      </c>
      <c r="I1384" s="1856">
        <v>0</v>
      </c>
      <c r="J1384" s="1873">
        <v>0</v>
      </c>
      <c r="K1384" s="1860"/>
      <c r="L1384" s="1854">
        <v>13121011202</v>
      </c>
      <c r="M1384" s="1855">
        <v>0</v>
      </c>
      <c r="N1384" s="1855">
        <v>0</v>
      </c>
      <c r="O1384" s="1856">
        <v>0</v>
      </c>
    </row>
    <row r="1385" spans="3:15">
      <c r="C1385" s="1861" t="s">
        <v>5174</v>
      </c>
      <c r="D1385" s="1858">
        <v>0</v>
      </c>
      <c r="E1385" s="1858">
        <v>0</v>
      </c>
      <c r="F1385" s="1859">
        <v>0</v>
      </c>
      <c r="G1385" s="1872" t="s">
        <v>5174</v>
      </c>
      <c r="H1385" s="1856">
        <v>0</v>
      </c>
      <c r="I1385" s="1856">
        <v>0</v>
      </c>
      <c r="J1385" s="1873">
        <v>0</v>
      </c>
      <c r="K1385" s="1860"/>
      <c r="L1385" s="1854">
        <v>13121011301</v>
      </c>
      <c r="M1385" s="1855">
        <v>0</v>
      </c>
      <c r="N1385" s="1855">
        <v>0</v>
      </c>
      <c r="O1385" s="1856">
        <v>0</v>
      </c>
    </row>
    <row r="1386" spans="3:15">
      <c r="C1386" s="1861" t="s">
        <v>5175</v>
      </c>
      <c r="D1386" s="1858">
        <v>0</v>
      </c>
      <c r="E1386" s="1858">
        <v>0</v>
      </c>
      <c r="F1386" s="1859">
        <v>0</v>
      </c>
      <c r="G1386" s="1872" t="s">
        <v>5175</v>
      </c>
      <c r="H1386" s="1856">
        <v>1</v>
      </c>
      <c r="I1386" s="1856">
        <v>0</v>
      </c>
      <c r="J1386" s="1873">
        <v>1</v>
      </c>
      <c r="K1386" s="1860"/>
      <c r="L1386" s="1854">
        <v>13121011303</v>
      </c>
      <c r="M1386" s="1855">
        <v>1</v>
      </c>
      <c r="N1386" s="1855">
        <v>0</v>
      </c>
      <c r="O1386" s="1856">
        <v>1</v>
      </c>
    </row>
    <row r="1387" spans="3:15">
      <c r="C1387" s="1861" t="s">
        <v>5176</v>
      </c>
      <c r="D1387" s="1858">
        <v>0</v>
      </c>
      <c r="E1387" s="1858">
        <v>0</v>
      </c>
      <c r="F1387" s="1859">
        <v>0</v>
      </c>
      <c r="G1387" s="1872" t="s">
        <v>5176</v>
      </c>
      <c r="H1387" s="1856">
        <v>0</v>
      </c>
      <c r="I1387" s="1856">
        <v>0</v>
      </c>
      <c r="J1387" s="1873">
        <v>0</v>
      </c>
      <c r="K1387" s="1860"/>
      <c r="L1387" s="1854">
        <v>13121011305</v>
      </c>
      <c r="M1387" s="1855">
        <v>0</v>
      </c>
      <c r="N1387" s="1855">
        <v>0</v>
      </c>
      <c r="O1387" s="1856">
        <v>0</v>
      </c>
    </row>
    <row r="1388" spans="3:15">
      <c r="C1388" s="1861" t="s">
        <v>5177</v>
      </c>
      <c r="D1388" s="1858">
        <v>0</v>
      </c>
      <c r="E1388" s="1858">
        <v>0</v>
      </c>
      <c r="F1388" s="1859">
        <v>0</v>
      </c>
      <c r="G1388" s="1872" t="s">
        <v>5177</v>
      </c>
      <c r="H1388" s="1856">
        <v>0</v>
      </c>
      <c r="I1388" s="1856">
        <v>0</v>
      </c>
      <c r="J1388" s="1873">
        <v>0</v>
      </c>
      <c r="K1388" s="1860"/>
      <c r="L1388" s="1854">
        <v>13121011306</v>
      </c>
      <c r="M1388" s="1855">
        <v>0</v>
      </c>
      <c r="N1388" s="1855">
        <v>0</v>
      </c>
      <c r="O1388" s="1856">
        <v>0</v>
      </c>
    </row>
    <row r="1389" spans="3:15">
      <c r="C1389" s="1861" t="s">
        <v>5178</v>
      </c>
      <c r="D1389" s="1858">
        <v>1</v>
      </c>
      <c r="E1389" s="1858">
        <v>0</v>
      </c>
      <c r="F1389" s="1859">
        <v>1</v>
      </c>
      <c r="G1389" s="1872" t="s">
        <v>5178</v>
      </c>
      <c r="H1389" s="1856">
        <v>1</v>
      </c>
      <c r="I1389" s="1856">
        <v>1</v>
      </c>
      <c r="J1389" s="1873">
        <v>2</v>
      </c>
      <c r="K1389" s="1860"/>
      <c r="L1389" s="1854">
        <v>13121011405</v>
      </c>
      <c r="M1389" s="1855">
        <v>1</v>
      </c>
      <c r="N1389" s="1855">
        <v>1</v>
      </c>
      <c r="O1389" s="1856">
        <v>2</v>
      </c>
    </row>
    <row r="1390" spans="3:15">
      <c r="C1390" s="1861" t="s">
        <v>5179</v>
      </c>
      <c r="D1390" s="1858">
        <v>1</v>
      </c>
      <c r="E1390" s="1858">
        <v>1</v>
      </c>
      <c r="F1390" s="1859">
        <v>2</v>
      </c>
      <c r="G1390" s="1872" t="s">
        <v>5179</v>
      </c>
      <c r="H1390" s="1856">
        <v>1</v>
      </c>
      <c r="I1390" s="1856">
        <v>1</v>
      </c>
      <c r="J1390" s="1873">
        <v>2</v>
      </c>
      <c r="K1390" s="1860"/>
      <c r="L1390" s="1854">
        <v>13121011410</v>
      </c>
      <c r="M1390" s="1855">
        <v>1</v>
      </c>
      <c r="N1390" s="1855">
        <v>1</v>
      </c>
      <c r="O1390" s="1856">
        <v>2</v>
      </c>
    </row>
    <row r="1391" spans="3:15">
      <c r="C1391" s="1861" t="s">
        <v>5180</v>
      </c>
      <c r="D1391" s="1858">
        <v>1</v>
      </c>
      <c r="E1391" s="1858">
        <v>1</v>
      </c>
      <c r="F1391" s="1859">
        <v>2</v>
      </c>
      <c r="G1391" s="1872" t="s">
        <v>5180</v>
      </c>
      <c r="H1391" s="1856">
        <v>1</v>
      </c>
      <c r="I1391" s="1856">
        <v>1</v>
      </c>
      <c r="J1391" s="1873">
        <v>2</v>
      </c>
      <c r="K1391" s="1860"/>
      <c r="L1391" s="1854">
        <v>13121011411</v>
      </c>
      <c r="M1391" s="1855">
        <v>1</v>
      </c>
      <c r="N1391" s="1855">
        <v>1</v>
      </c>
      <c r="O1391" s="1856">
        <v>2</v>
      </c>
    </row>
    <row r="1392" spans="3:15">
      <c r="C1392" s="1861" t="s">
        <v>5181</v>
      </c>
      <c r="D1392" s="1858">
        <v>1</v>
      </c>
      <c r="E1392" s="1858">
        <v>1</v>
      </c>
      <c r="F1392" s="1859">
        <v>2</v>
      </c>
      <c r="G1392" s="1872" t="s">
        <v>5181</v>
      </c>
      <c r="H1392" s="1856">
        <v>1</v>
      </c>
      <c r="I1392" s="1856">
        <v>1</v>
      </c>
      <c r="J1392" s="1873">
        <v>2</v>
      </c>
      <c r="K1392" s="1860"/>
      <c r="L1392" s="1854">
        <v>13121011412</v>
      </c>
      <c r="M1392" s="1855">
        <v>1</v>
      </c>
      <c r="N1392" s="1855">
        <v>1</v>
      </c>
      <c r="O1392" s="1856">
        <v>2</v>
      </c>
    </row>
    <row r="1393" spans="3:15">
      <c r="C1393" s="1861" t="s">
        <v>5182</v>
      </c>
      <c r="D1393" s="1858">
        <v>1</v>
      </c>
      <c r="E1393" s="1858">
        <v>1</v>
      </c>
      <c r="F1393" s="1859">
        <v>2</v>
      </c>
      <c r="G1393" s="1872" t="s">
        <v>5182</v>
      </c>
      <c r="H1393" s="1856">
        <v>1</v>
      </c>
      <c r="I1393" s="1856">
        <v>0</v>
      </c>
      <c r="J1393" s="1873">
        <v>1</v>
      </c>
      <c r="K1393" s="1860"/>
      <c r="L1393" s="1854">
        <v>13121011414</v>
      </c>
      <c r="M1393" s="1855">
        <v>1</v>
      </c>
      <c r="N1393" s="1855">
        <v>1</v>
      </c>
      <c r="O1393" s="1856">
        <v>2</v>
      </c>
    </row>
    <row r="1394" spans="3:15">
      <c r="C1394" s="1861" t="s">
        <v>5183</v>
      </c>
      <c r="D1394" s="1858">
        <v>1</v>
      </c>
      <c r="E1394" s="1858">
        <v>1</v>
      </c>
      <c r="F1394" s="1859">
        <v>2</v>
      </c>
      <c r="G1394" s="1872" t="s">
        <v>5183</v>
      </c>
      <c r="H1394" s="1856">
        <v>1</v>
      </c>
      <c r="I1394" s="1856">
        <v>1</v>
      </c>
      <c r="J1394" s="1873">
        <v>2</v>
      </c>
      <c r="K1394" s="1860"/>
      <c r="L1394" s="1854">
        <v>13121011416</v>
      </c>
      <c r="M1394" s="1855">
        <v>1</v>
      </c>
      <c r="N1394" s="1855">
        <v>1</v>
      </c>
      <c r="O1394" s="1856">
        <v>2</v>
      </c>
    </row>
    <row r="1395" spans="3:15">
      <c r="C1395" s="1861" t="s">
        <v>5184</v>
      </c>
      <c r="D1395" s="1858">
        <v>1</v>
      </c>
      <c r="E1395" s="1858">
        <v>1</v>
      </c>
      <c r="F1395" s="1859">
        <v>2</v>
      </c>
      <c r="G1395" s="1872" t="s">
        <v>5184</v>
      </c>
      <c r="H1395" s="1856">
        <v>1</v>
      </c>
      <c r="I1395" s="1856">
        <v>1</v>
      </c>
      <c r="J1395" s="1873">
        <v>2</v>
      </c>
      <c r="K1395" s="1860"/>
      <c r="L1395" s="1854">
        <v>13121011417</v>
      </c>
      <c r="M1395" s="1855">
        <v>1</v>
      </c>
      <c r="N1395" s="1855">
        <v>1</v>
      </c>
      <c r="O1395" s="1856">
        <v>2</v>
      </c>
    </row>
    <row r="1396" spans="3:15">
      <c r="C1396" s="1861" t="s">
        <v>5185</v>
      </c>
      <c r="D1396" s="1858">
        <v>1</v>
      </c>
      <c r="E1396" s="1858">
        <v>1</v>
      </c>
      <c r="F1396" s="1859">
        <v>2</v>
      </c>
      <c r="G1396" s="1872" t="s">
        <v>5185</v>
      </c>
      <c r="H1396" s="1856">
        <v>1</v>
      </c>
      <c r="I1396" s="1856">
        <v>1</v>
      </c>
      <c r="J1396" s="1873">
        <v>2</v>
      </c>
      <c r="K1396" s="1860"/>
      <c r="L1396" s="1854">
        <v>13121011418</v>
      </c>
      <c r="M1396" s="1855">
        <v>1</v>
      </c>
      <c r="N1396" s="1855">
        <v>1</v>
      </c>
      <c r="O1396" s="1856">
        <v>2</v>
      </c>
    </row>
    <row r="1397" spans="3:15">
      <c r="C1397" s="1861" t="s">
        <v>5186</v>
      </c>
      <c r="D1397" s="1858">
        <v>1</v>
      </c>
      <c r="E1397" s="1858">
        <v>1</v>
      </c>
      <c r="F1397" s="1859">
        <v>2</v>
      </c>
      <c r="G1397" s="1872" t="s">
        <v>5186</v>
      </c>
      <c r="H1397" s="1856">
        <v>1</v>
      </c>
      <c r="I1397" s="1856">
        <v>1</v>
      </c>
      <c r="J1397" s="1873">
        <v>2</v>
      </c>
      <c r="K1397" s="1860"/>
      <c r="L1397" s="1854">
        <v>13121011419</v>
      </c>
      <c r="M1397" s="1855">
        <v>1</v>
      </c>
      <c r="N1397" s="1855">
        <v>1</v>
      </c>
      <c r="O1397" s="1856">
        <v>2</v>
      </c>
    </row>
    <row r="1398" spans="3:15">
      <c r="C1398" s="1861" t="s">
        <v>5187</v>
      </c>
      <c r="D1398" s="1858">
        <v>0</v>
      </c>
      <c r="E1398" s="1858">
        <v>0</v>
      </c>
      <c r="F1398" s="1859">
        <v>0</v>
      </c>
      <c r="G1398" s="1872" t="s">
        <v>5187</v>
      </c>
      <c r="H1398" s="1856">
        <v>0</v>
      </c>
      <c r="I1398" s="1856">
        <v>0</v>
      </c>
      <c r="J1398" s="1873">
        <v>0</v>
      </c>
      <c r="K1398" s="1860"/>
      <c r="L1398" s="1854">
        <v>13121011420</v>
      </c>
      <c r="M1398" s="1855">
        <v>0</v>
      </c>
      <c r="N1398" s="1855">
        <v>0</v>
      </c>
      <c r="O1398" s="1856">
        <v>0</v>
      </c>
    </row>
    <row r="1399" spans="3:15">
      <c r="C1399" s="1861" t="s">
        <v>5188</v>
      </c>
      <c r="D1399" s="1858">
        <v>1</v>
      </c>
      <c r="E1399" s="1858">
        <v>0</v>
      </c>
      <c r="F1399" s="1859">
        <v>1</v>
      </c>
      <c r="G1399" s="1872" t="s">
        <v>5188</v>
      </c>
      <c r="H1399" s="1856">
        <v>1</v>
      </c>
      <c r="I1399" s="1856">
        <v>0</v>
      </c>
      <c r="J1399" s="1873">
        <v>1</v>
      </c>
      <c r="K1399" s="1860"/>
      <c r="L1399" s="1854">
        <v>13121011421</v>
      </c>
      <c r="M1399" s="1855">
        <v>1</v>
      </c>
      <c r="N1399" s="1855">
        <v>0</v>
      </c>
      <c r="O1399" s="1856">
        <v>1</v>
      </c>
    </row>
    <row r="1400" spans="3:15">
      <c r="C1400" s="1861" t="s">
        <v>5189</v>
      </c>
      <c r="D1400" s="1858">
        <v>1</v>
      </c>
      <c r="E1400" s="1858">
        <v>1</v>
      </c>
      <c r="F1400" s="1859">
        <v>2</v>
      </c>
      <c r="G1400" s="1872" t="s">
        <v>5189</v>
      </c>
      <c r="H1400" s="1856">
        <v>1</v>
      </c>
      <c r="I1400" s="1856">
        <v>1</v>
      </c>
      <c r="J1400" s="1873">
        <v>2</v>
      </c>
      <c r="K1400" s="1860"/>
      <c r="L1400" s="1854">
        <v>13121011422</v>
      </c>
      <c r="M1400" s="1855">
        <v>1</v>
      </c>
      <c r="N1400" s="1855">
        <v>1</v>
      </c>
      <c r="O1400" s="1856">
        <v>2</v>
      </c>
    </row>
    <row r="1401" spans="3:15">
      <c r="C1401" s="1861" t="s">
        <v>5190</v>
      </c>
      <c r="D1401" s="1858">
        <v>1</v>
      </c>
      <c r="E1401" s="1858">
        <v>1</v>
      </c>
      <c r="F1401" s="1859">
        <v>2</v>
      </c>
      <c r="G1401" s="1872" t="s">
        <v>5190</v>
      </c>
      <c r="H1401" s="1856">
        <v>1</v>
      </c>
      <c r="I1401" s="1856">
        <v>1</v>
      </c>
      <c r="J1401" s="1873">
        <v>2</v>
      </c>
      <c r="K1401" s="1860"/>
      <c r="L1401" s="1854">
        <v>13121011423</v>
      </c>
      <c r="M1401" s="1855">
        <v>1</v>
      </c>
      <c r="N1401" s="1855">
        <v>1</v>
      </c>
      <c r="O1401" s="1856">
        <v>2</v>
      </c>
    </row>
    <row r="1402" spans="3:15">
      <c r="C1402" s="1861" t="s">
        <v>5191</v>
      </c>
      <c r="D1402" s="1858">
        <v>1</v>
      </c>
      <c r="E1402" s="1858">
        <v>1</v>
      </c>
      <c r="F1402" s="1859">
        <v>2</v>
      </c>
      <c r="G1402" s="1872" t="s">
        <v>5191</v>
      </c>
      <c r="H1402" s="1856">
        <v>1</v>
      </c>
      <c r="I1402" s="1856">
        <v>1</v>
      </c>
      <c r="J1402" s="1873">
        <v>2</v>
      </c>
      <c r="K1402" s="1860"/>
      <c r="L1402" s="1854">
        <v>13121011424</v>
      </c>
      <c r="M1402" s="1855">
        <v>1</v>
      </c>
      <c r="N1402" s="1855">
        <v>1</v>
      </c>
      <c r="O1402" s="1856">
        <v>2</v>
      </c>
    </row>
    <row r="1403" spans="3:15">
      <c r="C1403" s="1861" t="s">
        <v>5192</v>
      </c>
      <c r="D1403" s="1858">
        <v>1</v>
      </c>
      <c r="E1403" s="1858">
        <v>1</v>
      </c>
      <c r="F1403" s="1859">
        <v>2</v>
      </c>
      <c r="G1403" s="1872" t="s">
        <v>5192</v>
      </c>
      <c r="H1403" s="1856">
        <v>1</v>
      </c>
      <c r="I1403" s="1856">
        <v>1</v>
      </c>
      <c r="J1403" s="1873">
        <v>2</v>
      </c>
      <c r="K1403" s="1860"/>
      <c r="L1403" s="1854">
        <v>13121011425</v>
      </c>
      <c r="M1403" s="1855">
        <v>1</v>
      </c>
      <c r="N1403" s="1855">
        <v>1</v>
      </c>
      <c r="O1403" s="1856">
        <v>2</v>
      </c>
    </row>
    <row r="1404" spans="3:15">
      <c r="C1404" s="1861" t="s">
        <v>5193</v>
      </c>
      <c r="D1404" s="1858">
        <v>1</v>
      </c>
      <c r="E1404" s="1858">
        <v>1</v>
      </c>
      <c r="F1404" s="1859">
        <v>2</v>
      </c>
      <c r="G1404" s="1872" t="s">
        <v>5193</v>
      </c>
      <c r="H1404" s="1856">
        <v>1</v>
      </c>
      <c r="I1404" s="1856">
        <v>1</v>
      </c>
      <c r="J1404" s="1873">
        <v>2</v>
      </c>
      <c r="K1404" s="1860"/>
      <c r="L1404" s="1854">
        <v>13121011426</v>
      </c>
      <c r="M1404" s="1855">
        <v>1</v>
      </c>
      <c r="N1404" s="1855">
        <v>1</v>
      </c>
      <c r="O1404" s="1856">
        <v>2</v>
      </c>
    </row>
    <row r="1405" spans="3:15">
      <c r="C1405" s="1861" t="s">
        <v>5194</v>
      </c>
      <c r="D1405" s="1858">
        <v>1</v>
      </c>
      <c r="E1405" s="1858">
        <v>1</v>
      </c>
      <c r="F1405" s="1859">
        <v>2</v>
      </c>
      <c r="G1405" s="1872" t="s">
        <v>5194</v>
      </c>
      <c r="H1405" s="1856">
        <v>1</v>
      </c>
      <c r="I1405" s="1856">
        <v>1</v>
      </c>
      <c r="J1405" s="1873">
        <v>2</v>
      </c>
      <c r="K1405" s="1860"/>
      <c r="L1405" s="1854">
        <v>13121011427</v>
      </c>
      <c r="M1405" s="1855">
        <v>1</v>
      </c>
      <c r="N1405" s="1855">
        <v>1</v>
      </c>
      <c r="O1405" s="1856">
        <v>2</v>
      </c>
    </row>
    <row r="1406" spans="3:15">
      <c r="C1406" s="1861" t="s">
        <v>5195</v>
      </c>
      <c r="D1406" s="1858">
        <v>1</v>
      </c>
      <c r="E1406" s="1858">
        <v>1</v>
      </c>
      <c r="F1406" s="1859">
        <v>2</v>
      </c>
      <c r="G1406" s="1872" t="s">
        <v>5195</v>
      </c>
      <c r="H1406" s="1856">
        <v>1</v>
      </c>
      <c r="I1406" s="1856">
        <v>1</v>
      </c>
      <c r="J1406" s="1873">
        <v>2</v>
      </c>
      <c r="K1406" s="1860"/>
      <c r="L1406" s="1854">
        <v>13121011503</v>
      </c>
      <c r="M1406" s="1855">
        <v>1</v>
      </c>
      <c r="N1406" s="1855">
        <v>1</v>
      </c>
      <c r="O1406" s="1856">
        <v>2</v>
      </c>
    </row>
    <row r="1407" spans="3:15">
      <c r="C1407" s="1861" t="s">
        <v>5196</v>
      </c>
      <c r="D1407" s="1858">
        <v>1</v>
      </c>
      <c r="E1407" s="1858">
        <v>1</v>
      </c>
      <c r="F1407" s="1859">
        <v>2</v>
      </c>
      <c r="G1407" s="1872" t="s">
        <v>5196</v>
      </c>
      <c r="H1407" s="1856">
        <v>1</v>
      </c>
      <c r="I1407" s="1856" t="s">
        <v>3908</v>
      </c>
      <c r="J1407" s="1873">
        <v>1</v>
      </c>
      <c r="K1407" s="1860"/>
      <c r="L1407" s="1854">
        <v>13121011504</v>
      </c>
      <c r="M1407" s="1855">
        <v>1</v>
      </c>
      <c r="N1407" s="1855">
        <v>1</v>
      </c>
      <c r="O1407" s="1856">
        <v>2</v>
      </c>
    </row>
    <row r="1408" spans="3:15">
      <c r="C1408" s="1861" t="s">
        <v>5197</v>
      </c>
      <c r="D1408" s="1858">
        <v>1</v>
      </c>
      <c r="E1408" s="1858">
        <v>1</v>
      </c>
      <c r="F1408" s="1859">
        <v>2</v>
      </c>
      <c r="G1408" s="1872" t="s">
        <v>5197</v>
      </c>
      <c r="H1408" s="1856">
        <v>1</v>
      </c>
      <c r="I1408" s="1856">
        <v>1</v>
      </c>
      <c r="J1408" s="1873">
        <v>2</v>
      </c>
      <c r="K1408" s="1860"/>
      <c r="L1408" s="1854">
        <v>13121011505</v>
      </c>
      <c r="M1408" s="1855">
        <v>1</v>
      </c>
      <c r="N1408" s="1855">
        <v>1</v>
      </c>
      <c r="O1408" s="1856">
        <v>2</v>
      </c>
    </row>
    <row r="1409" spans="3:15">
      <c r="C1409" s="1861" t="s">
        <v>5198</v>
      </c>
      <c r="D1409" s="1858">
        <v>1</v>
      </c>
      <c r="E1409" s="1858">
        <v>1</v>
      </c>
      <c r="F1409" s="1859">
        <v>2</v>
      </c>
      <c r="G1409" s="1872" t="s">
        <v>5198</v>
      </c>
      <c r="H1409" s="1856">
        <v>1</v>
      </c>
      <c r="I1409" s="1856">
        <v>1</v>
      </c>
      <c r="J1409" s="1873">
        <v>2</v>
      </c>
      <c r="K1409" s="1860"/>
      <c r="L1409" s="1854">
        <v>13121011506</v>
      </c>
      <c r="M1409" s="1855">
        <v>1</v>
      </c>
      <c r="N1409" s="1855">
        <v>1</v>
      </c>
      <c r="O1409" s="1856">
        <v>2</v>
      </c>
    </row>
    <row r="1410" spans="3:15">
      <c r="C1410" s="1861" t="s">
        <v>5199</v>
      </c>
      <c r="D1410" s="1858">
        <v>1</v>
      </c>
      <c r="E1410" s="1858">
        <v>1</v>
      </c>
      <c r="F1410" s="1859">
        <v>2</v>
      </c>
      <c r="G1410" s="1872" t="s">
        <v>5199</v>
      </c>
      <c r="H1410" s="1856">
        <v>1</v>
      </c>
      <c r="I1410" s="1856">
        <v>1</v>
      </c>
      <c r="J1410" s="1873">
        <v>2</v>
      </c>
      <c r="K1410" s="1860"/>
      <c r="L1410" s="1854">
        <v>13121011610</v>
      </c>
      <c r="M1410" s="1855">
        <v>1</v>
      </c>
      <c r="N1410" s="1855">
        <v>1</v>
      </c>
      <c r="O1410" s="1856">
        <v>2</v>
      </c>
    </row>
    <row r="1411" spans="3:15">
      <c r="C1411" s="1861" t="s">
        <v>5200</v>
      </c>
      <c r="D1411" s="1858">
        <v>1</v>
      </c>
      <c r="E1411" s="1858">
        <v>0</v>
      </c>
      <c r="F1411" s="1859">
        <v>1</v>
      </c>
      <c r="G1411" s="1872" t="s">
        <v>5200</v>
      </c>
      <c r="H1411" s="1856">
        <v>1</v>
      </c>
      <c r="I1411" s="1856">
        <v>1</v>
      </c>
      <c r="J1411" s="1873">
        <v>2</v>
      </c>
      <c r="K1411" s="1860"/>
      <c r="L1411" s="1854">
        <v>13121011611</v>
      </c>
      <c r="M1411" s="1855">
        <v>1</v>
      </c>
      <c r="N1411" s="1855">
        <v>1</v>
      </c>
      <c r="O1411" s="1856">
        <v>2</v>
      </c>
    </row>
    <row r="1412" spans="3:15">
      <c r="C1412" s="1861" t="s">
        <v>5201</v>
      </c>
      <c r="D1412" s="1858">
        <v>1</v>
      </c>
      <c r="E1412" s="1858">
        <v>1</v>
      </c>
      <c r="F1412" s="1859">
        <v>2</v>
      </c>
      <c r="G1412" s="1872" t="s">
        <v>5201</v>
      </c>
      <c r="H1412" s="1856">
        <v>1</v>
      </c>
      <c r="I1412" s="1856" t="s">
        <v>3908</v>
      </c>
      <c r="J1412" s="1873">
        <v>1</v>
      </c>
      <c r="K1412" s="1860"/>
      <c r="L1412" s="1854">
        <v>13121011612</v>
      </c>
      <c r="M1412" s="1855">
        <v>1</v>
      </c>
      <c r="N1412" s="1855">
        <v>1</v>
      </c>
      <c r="O1412" s="1856">
        <v>2</v>
      </c>
    </row>
    <row r="1413" spans="3:15">
      <c r="C1413" s="1861" t="s">
        <v>5202</v>
      </c>
      <c r="D1413" s="1858">
        <v>1</v>
      </c>
      <c r="E1413" s="1858">
        <v>1</v>
      </c>
      <c r="F1413" s="1859">
        <v>2</v>
      </c>
      <c r="G1413" s="1872" t="s">
        <v>5202</v>
      </c>
      <c r="H1413" s="1856">
        <v>1</v>
      </c>
      <c r="I1413" s="1856">
        <v>1</v>
      </c>
      <c r="J1413" s="1873">
        <v>2</v>
      </c>
      <c r="K1413" s="1860"/>
      <c r="L1413" s="1854">
        <v>13121011613</v>
      </c>
      <c r="M1413" s="1855">
        <v>1</v>
      </c>
      <c r="N1413" s="1855">
        <v>1</v>
      </c>
      <c r="O1413" s="1856">
        <v>2</v>
      </c>
    </row>
    <row r="1414" spans="3:15">
      <c r="C1414" s="1861" t="s">
        <v>5203</v>
      </c>
      <c r="D1414" s="1858">
        <v>1</v>
      </c>
      <c r="E1414" s="1858">
        <v>1</v>
      </c>
      <c r="F1414" s="1859">
        <v>2</v>
      </c>
      <c r="G1414" s="1872" t="s">
        <v>5203</v>
      </c>
      <c r="H1414" s="1856">
        <v>1</v>
      </c>
      <c r="I1414" s="1856">
        <v>1</v>
      </c>
      <c r="J1414" s="1873">
        <v>2</v>
      </c>
      <c r="K1414" s="1860"/>
      <c r="L1414" s="1854">
        <v>13121011614</v>
      </c>
      <c r="M1414" s="1855">
        <v>1</v>
      </c>
      <c r="N1414" s="1855">
        <v>1</v>
      </c>
      <c r="O1414" s="1856">
        <v>2</v>
      </c>
    </row>
    <row r="1415" spans="3:15">
      <c r="C1415" s="1861" t="s">
        <v>5204</v>
      </c>
      <c r="D1415" s="1858">
        <v>1</v>
      </c>
      <c r="E1415" s="1858">
        <v>1</v>
      </c>
      <c r="F1415" s="1859">
        <v>2</v>
      </c>
      <c r="G1415" s="1872" t="s">
        <v>5204</v>
      </c>
      <c r="H1415" s="1856">
        <v>1</v>
      </c>
      <c r="I1415" s="1856">
        <v>1</v>
      </c>
      <c r="J1415" s="1873">
        <v>2</v>
      </c>
      <c r="K1415" s="1860"/>
      <c r="L1415" s="1854">
        <v>13121011615</v>
      </c>
      <c r="M1415" s="1855">
        <v>1</v>
      </c>
      <c r="N1415" s="1855">
        <v>1</v>
      </c>
      <c r="O1415" s="1856">
        <v>2</v>
      </c>
    </row>
    <row r="1416" spans="3:15">
      <c r="C1416" s="1861" t="s">
        <v>5205</v>
      </c>
      <c r="D1416" s="1858">
        <v>1</v>
      </c>
      <c r="E1416" s="1858">
        <v>1</v>
      </c>
      <c r="F1416" s="1859">
        <v>2</v>
      </c>
      <c r="G1416" s="1872" t="s">
        <v>5205</v>
      </c>
      <c r="H1416" s="1856">
        <v>1</v>
      </c>
      <c r="I1416" s="1856">
        <v>1</v>
      </c>
      <c r="J1416" s="1873">
        <v>2</v>
      </c>
      <c r="K1416" s="1860"/>
      <c r="L1416" s="1854">
        <v>13121011616</v>
      </c>
      <c r="M1416" s="1855">
        <v>1</v>
      </c>
      <c r="N1416" s="1855">
        <v>1</v>
      </c>
      <c r="O1416" s="1856">
        <v>2</v>
      </c>
    </row>
    <row r="1417" spans="3:15">
      <c r="C1417" s="1861" t="s">
        <v>5206</v>
      </c>
      <c r="D1417" s="1858">
        <v>1</v>
      </c>
      <c r="E1417" s="1858">
        <v>1</v>
      </c>
      <c r="F1417" s="1859">
        <v>2</v>
      </c>
      <c r="G1417" s="1872" t="s">
        <v>5206</v>
      </c>
      <c r="H1417" s="1856">
        <v>1</v>
      </c>
      <c r="I1417" s="1856">
        <v>1</v>
      </c>
      <c r="J1417" s="1873">
        <v>2</v>
      </c>
      <c r="K1417" s="1860"/>
      <c r="L1417" s="1854">
        <v>13121011617</v>
      </c>
      <c r="M1417" s="1855">
        <v>1</v>
      </c>
      <c r="N1417" s="1855">
        <v>1</v>
      </c>
      <c r="O1417" s="1856">
        <v>2</v>
      </c>
    </row>
    <row r="1418" spans="3:15">
      <c r="C1418" s="1861" t="s">
        <v>5207</v>
      </c>
      <c r="D1418" s="1858">
        <v>1</v>
      </c>
      <c r="E1418" s="1858">
        <v>1</v>
      </c>
      <c r="F1418" s="1859">
        <v>2</v>
      </c>
      <c r="G1418" s="1872" t="s">
        <v>5207</v>
      </c>
      <c r="H1418" s="1856">
        <v>1</v>
      </c>
      <c r="I1418" s="1856">
        <v>1</v>
      </c>
      <c r="J1418" s="1873">
        <v>2</v>
      </c>
      <c r="K1418" s="1860"/>
      <c r="L1418" s="1854">
        <v>13121011618</v>
      </c>
      <c r="M1418" s="1855">
        <v>1</v>
      </c>
      <c r="N1418" s="1855">
        <v>1</v>
      </c>
      <c r="O1418" s="1856">
        <v>2</v>
      </c>
    </row>
    <row r="1419" spans="3:15">
      <c r="C1419" s="1861" t="s">
        <v>5208</v>
      </c>
      <c r="D1419" s="1858">
        <v>1</v>
      </c>
      <c r="E1419" s="1858">
        <v>1</v>
      </c>
      <c r="F1419" s="1859">
        <v>2</v>
      </c>
      <c r="G1419" s="1872" t="s">
        <v>5208</v>
      </c>
      <c r="H1419" s="1856">
        <v>1</v>
      </c>
      <c r="I1419" s="1856">
        <v>1</v>
      </c>
      <c r="J1419" s="1873">
        <v>2</v>
      </c>
      <c r="K1419" s="1860"/>
      <c r="L1419" s="1854">
        <v>13121011619</v>
      </c>
      <c r="M1419" s="1855">
        <v>1</v>
      </c>
      <c r="N1419" s="1855">
        <v>1</v>
      </c>
      <c r="O1419" s="1856">
        <v>2</v>
      </c>
    </row>
    <row r="1420" spans="3:15">
      <c r="C1420" s="1861" t="s">
        <v>5209</v>
      </c>
      <c r="D1420" s="1858">
        <v>1</v>
      </c>
      <c r="E1420" s="1858">
        <v>1</v>
      </c>
      <c r="F1420" s="1859">
        <v>2</v>
      </c>
      <c r="G1420" s="1872" t="s">
        <v>5209</v>
      </c>
      <c r="H1420" s="1856">
        <v>1</v>
      </c>
      <c r="I1420" s="1856">
        <v>1</v>
      </c>
      <c r="J1420" s="1873">
        <v>2</v>
      </c>
      <c r="K1420" s="1860"/>
      <c r="L1420" s="1854">
        <v>13121011620</v>
      </c>
      <c r="M1420" s="1855">
        <v>1</v>
      </c>
      <c r="N1420" s="1855">
        <v>1</v>
      </c>
      <c r="O1420" s="1856">
        <v>2</v>
      </c>
    </row>
    <row r="1421" spans="3:15">
      <c r="C1421" s="1861" t="s">
        <v>5210</v>
      </c>
      <c r="D1421" s="1858">
        <v>1</v>
      </c>
      <c r="E1421" s="1858">
        <v>1</v>
      </c>
      <c r="F1421" s="1859">
        <v>2</v>
      </c>
      <c r="G1421" s="1872" t="s">
        <v>5210</v>
      </c>
      <c r="H1421" s="1856">
        <v>1</v>
      </c>
      <c r="I1421" s="1856">
        <v>1</v>
      </c>
      <c r="J1421" s="1873">
        <v>2</v>
      </c>
      <c r="K1421" s="1860"/>
      <c r="L1421" s="1854">
        <v>13121011621</v>
      </c>
      <c r="M1421" s="1855">
        <v>1</v>
      </c>
      <c r="N1421" s="1855">
        <v>1</v>
      </c>
      <c r="O1421" s="1856">
        <v>2</v>
      </c>
    </row>
    <row r="1422" spans="3:15">
      <c r="C1422" s="1861" t="s">
        <v>5211</v>
      </c>
      <c r="D1422" s="1858">
        <v>1</v>
      </c>
      <c r="E1422" s="1858">
        <v>1</v>
      </c>
      <c r="F1422" s="1859">
        <v>2</v>
      </c>
      <c r="G1422" s="1872" t="s">
        <v>5211</v>
      </c>
      <c r="H1422" s="1856">
        <v>1</v>
      </c>
      <c r="I1422" s="1856">
        <v>1</v>
      </c>
      <c r="J1422" s="1873">
        <v>2</v>
      </c>
      <c r="K1422" s="1860"/>
      <c r="L1422" s="1854">
        <v>13121011622</v>
      </c>
      <c r="M1422" s="1855">
        <v>1</v>
      </c>
      <c r="N1422" s="1855">
        <v>1</v>
      </c>
      <c r="O1422" s="1856">
        <v>2</v>
      </c>
    </row>
    <row r="1423" spans="3:15">
      <c r="C1423" s="1861" t="s">
        <v>5212</v>
      </c>
      <c r="D1423" s="1858">
        <v>1</v>
      </c>
      <c r="E1423" s="1858">
        <v>1</v>
      </c>
      <c r="F1423" s="1859">
        <v>2</v>
      </c>
      <c r="G1423" s="1872" t="s">
        <v>5212</v>
      </c>
      <c r="H1423" s="1856">
        <v>1</v>
      </c>
      <c r="I1423" s="1856">
        <v>1</v>
      </c>
      <c r="J1423" s="1873">
        <v>2</v>
      </c>
      <c r="K1423" s="1860"/>
      <c r="L1423" s="1854">
        <v>13121011623</v>
      </c>
      <c r="M1423" s="1855">
        <v>1</v>
      </c>
      <c r="N1423" s="1855">
        <v>1</v>
      </c>
      <c r="O1423" s="1856">
        <v>2</v>
      </c>
    </row>
    <row r="1424" spans="3:15">
      <c r="C1424" s="1861" t="s">
        <v>5213</v>
      </c>
      <c r="D1424" s="1858">
        <v>1</v>
      </c>
      <c r="E1424" s="1858">
        <v>1</v>
      </c>
      <c r="F1424" s="1859">
        <v>2</v>
      </c>
      <c r="G1424" s="1872" t="s">
        <v>5213</v>
      </c>
      <c r="H1424" s="1856">
        <v>1</v>
      </c>
      <c r="I1424" s="1856" t="s">
        <v>3908</v>
      </c>
      <c r="J1424" s="1873">
        <v>1</v>
      </c>
      <c r="K1424" s="1860"/>
      <c r="L1424" s="1854">
        <v>13121011624</v>
      </c>
      <c r="M1424" s="1855">
        <v>1</v>
      </c>
      <c r="N1424" s="1855">
        <v>1</v>
      </c>
      <c r="O1424" s="1856">
        <v>2</v>
      </c>
    </row>
    <row r="1425" spans="3:15">
      <c r="C1425" s="1861" t="s">
        <v>5214</v>
      </c>
      <c r="D1425" s="1858">
        <v>1</v>
      </c>
      <c r="E1425" s="1858">
        <v>1</v>
      </c>
      <c r="F1425" s="1859">
        <v>2</v>
      </c>
      <c r="G1425" s="1872" t="s">
        <v>5214</v>
      </c>
      <c r="H1425" s="1856">
        <v>1</v>
      </c>
      <c r="I1425" s="1856">
        <v>1</v>
      </c>
      <c r="J1425" s="1873">
        <v>2</v>
      </c>
      <c r="K1425" s="1860"/>
      <c r="L1425" s="1854">
        <v>13121011625</v>
      </c>
      <c r="M1425" s="1855">
        <v>1</v>
      </c>
      <c r="N1425" s="1855">
        <v>1</v>
      </c>
      <c r="O1425" s="1856">
        <v>2</v>
      </c>
    </row>
    <row r="1426" spans="3:15">
      <c r="C1426" s="1861" t="s">
        <v>5215</v>
      </c>
      <c r="D1426" s="1858">
        <v>1</v>
      </c>
      <c r="E1426" s="1858">
        <v>1</v>
      </c>
      <c r="F1426" s="1859">
        <v>2</v>
      </c>
      <c r="G1426" s="1872" t="s">
        <v>5215</v>
      </c>
      <c r="H1426" s="1856">
        <v>1</v>
      </c>
      <c r="I1426" s="1856">
        <v>1</v>
      </c>
      <c r="J1426" s="1873">
        <v>2</v>
      </c>
      <c r="K1426" s="1860"/>
      <c r="L1426" s="1854">
        <v>13121011626</v>
      </c>
      <c r="M1426" s="1855">
        <v>1</v>
      </c>
      <c r="N1426" s="1855">
        <v>1</v>
      </c>
      <c r="O1426" s="1856">
        <v>2</v>
      </c>
    </row>
    <row r="1427" spans="3:15">
      <c r="C1427" s="1861" t="s">
        <v>5216</v>
      </c>
      <c r="D1427" s="1858">
        <v>0</v>
      </c>
      <c r="E1427" s="1858">
        <v>0</v>
      </c>
      <c r="F1427" s="1859">
        <v>0</v>
      </c>
      <c r="G1427" s="1872" t="s">
        <v>5216</v>
      </c>
      <c r="H1427" s="1856">
        <v>0</v>
      </c>
      <c r="I1427" s="1856">
        <v>0</v>
      </c>
      <c r="J1427" s="1873">
        <v>0</v>
      </c>
      <c r="K1427" s="1860"/>
      <c r="L1427" s="1854">
        <v>13121011800</v>
      </c>
      <c r="M1427" s="1855">
        <v>0</v>
      </c>
      <c r="N1427" s="1855">
        <v>0</v>
      </c>
      <c r="O1427" s="1856">
        <v>0</v>
      </c>
    </row>
    <row r="1428" spans="3:15">
      <c r="C1428" s="1861" t="s">
        <v>5217</v>
      </c>
      <c r="D1428" s="1858">
        <v>0</v>
      </c>
      <c r="E1428" s="1858">
        <v>0</v>
      </c>
      <c r="F1428" s="1859">
        <v>0</v>
      </c>
      <c r="G1428" s="1872" t="s">
        <v>5217</v>
      </c>
      <c r="H1428" s="1856">
        <v>0</v>
      </c>
      <c r="I1428" s="1856" t="s">
        <v>3908</v>
      </c>
      <c r="J1428" s="1873">
        <v>0</v>
      </c>
      <c r="K1428" s="1860"/>
      <c r="L1428" s="1854">
        <v>13121011900</v>
      </c>
      <c r="M1428" s="1855">
        <v>0</v>
      </c>
      <c r="N1428" s="1855">
        <v>0</v>
      </c>
      <c r="O1428" s="1856">
        <v>0</v>
      </c>
    </row>
    <row r="1429" spans="3:15">
      <c r="C1429" s="1861" t="s">
        <v>5218</v>
      </c>
      <c r="D1429" s="1858">
        <v>0</v>
      </c>
      <c r="E1429" s="1858">
        <v>0</v>
      </c>
      <c r="F1429" s="1859">
        <v>0</v>
      </c>
      <c r="G1429" s="1872" t="s">
        <v>5218</v>
      </c>
      <c r="H1429" s="1856">
        <v>0</v>
      </c>
      <c r="I1429" s="1856">
        <v>0</v>
      </c>
      <c r="J1429" s="1873">
        <v>0</v>
      </c>
      <c r="K1429" s="1860"/>
      <c r="L1429" s="1854">
        <v>13121012000</v>
      </c>
      <c r="M1429" s="1855">
        <v>0</v>
      </c>
      <c r="N1429" s="1855">
        <v>0</v>
      </c>
      <c r="O1429" s="1856">
        <v>0</v>
      </c>
    </row>
    <row r="1430" spans="3:15">
      <c r="C1430" s="1861" t="s">
        <v>5219</v>
      </c>
      <c r="D1430" s="1858">
        <v>1</v>
      </c>
      <c r="E1430" s="1858">
        <v>0</v>
      </c>
      <c r="F1430" s="1859">
        <v>1</v>
      </c>
      <c r="G1430" s="1872" t="s">
        <v>5219</v>
      </c>
      <c r="H1430" s="1856">
        <v>1</v>
      </c>
      <c r="I1430" s="1856">
        <v>0</v>
      </c>
      <c r="J1430" s="1873">
        <v>1</v>
      </c>
      <c r="K1430" s="1860"/>
      <c r="L1430" s="1854">
        <v>13121012300</v>
      </c>
      <c r="M1430" s="1855">
        <v>1</v>
      </c>
      <c r="N1430" s="1855">
        <v>0</v>
      </c>
      <c r="O1430" s="1856">
        <v>1</v>
      </c>
    </row>
    <row r="1431" spans="3:15">
      <c r="C1431" s="1861" t="s">
        <v>5220</v>
      </c>
      <c r="D1431" s="1858" t="s">
        <v>3908</v>
      </c>
      <c r="E1431" s="1858" t="s">
        <v>3908</v>
      </c>
      <c r="F1431" s="1859">
        <v>0</v>
      </c>
      <c r="G1431" s="1872" t="s">
        <v>5220</v>
      </c>
      <c r="H1431" s="1856" t="s">
        <v>3908</v>
      </c>
      <c r="I1431" s="1856" t="s">
        <v>3908</v>
      </c>
      <c r="J1431" s="1873">
        <v>0</v>
      </c>
      <c r="K1431" s="1860"/>
      <c r="L1431" s="1854">
        <v>13121980000</v>
      </c>
      <c r="M1431" s="1855">
        <v>0</v>
      </c>
      <c r="N1431" s="1855">
        <v>0</v>
      </c>
      <c r="O1431" s="1856">
        <v>0</v>
      </c>
    </row>
    <row r="1432" spans="3:15">
      <c r="C1432" s="1861" t="s">
        <v>5221</v>
      </c>
      <c r="D1432" s="1858">
        <v>0</v>
      </c>
      <c r="E1432" s="1858">
        <v>0</v>
      </c>
      <c r="F1432" s="1859">
        <v>0</v>
      </c>
      <c r="G1432" s="1872" t="s">
        <v>5221</v>
      </c>
      <c r="H1432" s="1856">
        <v>0</v>
      </c>
      <c r="I1432" s="1856">
        <v>1</v>
      </c>
      <c r="J1432" s="1873">
        <v>1</v>
      </c>
      <c r="K1432" s="1860"/>
      <c r="L1432" s="1854">
        <v>13123080100</v>
      </c>
      <c r="M1432" s="1855">
        <v>0</v>
      </c>
      <c r="N1432" s="1855">
        <v>1</v>
      </c>
      <c r="O1432" s="1856">
        <v>1</v>
      </c>
    </row>
    <row r="1433" spans="3:15">
      <c r="C1433" s="1861" t="s">
        <v>5222</v>
      </c>
      <c r="D1433" s="1858">
        <v>0</v>
      </c>
      <c r="E1433" s="1858">
        <v>0</v>
      </c>
      <c r="F1433" s="1859">
        <v>0</v>
      </c>
      <c r="G1433" s="1872" t="s">
        <v>5222</v>
      </c>
      <c r="H1433" s="1856">
        <v>0</v>
      </c>
      <c r="I1433" s="1856">
        <v>0</v>
      </c>
      <c r="J1433" s="1873">
        <v>0</v>
      </c>
      <c r="K1433" s="1860"/>
      <c r="L1433" s="1854">
        <v>13123080200</v>
      </c>
      <c r="M1433" s="1855">
        <v>0</v>
      </c>
      <c r="N1433" s="1855">
        <v>0</v>
      </c>
      <c r="O1433" s="1856">
        <v>0</v>
      </c>
    </row>
    <row r="1434" spans="3:15">
      <c r="C1434" s="1861" t="s">
        <v>5223</v>
      </c>
      <c r="D1434" s="1858">
        <v>0</v>
      </c>
      <c r="E1434" s="1858">
        <v>0</v>
      </c>
      <c r="F1434" s="1859">
        <v>0</v>
      </c>
      <c r="G1434" s="1872" t="s">
        <v>5223</v>
      </c>
      <c r="H1434" s="1856">
        <v>0</v>
      </c>
      <c r="I1434" s="1856">
        <v>0</v>
      </c>
      <c r="J1434" s="1873">
        <v>0</v>
      </c>
      <c r="K1434" s="1860"/>
      <c r="L1434" s="1854">
        <v>13123080300</v>
      </c>
      <c r="M1434" s="1855">
        <v>0</v>
      </c>
      <c r="N1434" s="1855">
        <v>0</v>
      </c>
      <c r="O1434" s="1856">
        <v>0</v>
      </c>
    </row>
    <row r="1435" spans="3:15">
      <c r="C1435" s="1861" t="s">
        <v>5224</v>
      </c>
      <c r="D1435" s="1858">
        <v>0</v>
      </c>
      <c r="E1435" s="1858">
        <v>0</v>
      </c>
      <c r="F1435" s="1859">
        <v>0</v>
      </c>
      <c r="G1435" s="1872" t="s">
        <v>5224</v>
      </c>
      <c r="H1435" s="1856">
        <v>0</v>
      </c>
      <c r="I1435" s="1856">
        <v>0</v>
      </c>
      <c r="J1435" s="1873">
        <v>0</v>
      </c>
      <c r="K1435" s="1860"/>
      <c r="L1435" s="1854">
        <v>13123080400</v>
      </c>
      <c r="M1435" s="1855">
        <v>0</v>
      </c>
      <c r="N1435" s="1855">
        <v>0</v>
      </c>
      <c r="O1435" s="1856">
        <v>0</v>
      </c>
    </row>
    <row r="1436" spans="3:15">
      <c r="C1436" s="1861" t="s">
        <v>5225</v>
      </c>
      <c r="D1436" s="1858">
        <v>0</v>
      </c>
      <c r="E1436" s="1858">
        <v>0</v>
      </c>
      <c r="F1436" s="1859">
        <v>0</v>
      </c>
      <c r="G1436" s="1872" t="s">
        <v>5225</v>
      </c>
      <c r="H1436" s="1856">
        <v>0</v>
      </c>
      <c r="I1436" s="1856">
        <v>1</v>
      </c>
      <c r="J1436" s="1873">
        <v>1</v>
      </c>
      <c r="K1436" s="1860"/>
      <c r="L1436" s="1854">
        <v>13123080500</v>
      </c>
      <c r="M1436" s="1855">
        <v>0</v>
      </c>
      <c r="N1436" s="1855">
        <v>1</v>
      </c>
      <c r="O1436" s="1856">
        <v>1</v>
      </c>
    </row>
    <row r="1437" spans="3:15">
      <c r="C1437" s="1861" t="s">
        <v>5226</v>
      </c>
      <c r="D1437" s="1858">
        <v>0</v>
      </c>
      <c r="E1437" s="1858">
        <v>0</v>
      </c>
      <c r="F1437" s="1859">
        <v>0</v>
      </c>
      <c r="G1437" s="1872" t="s">
        <v>5226</v>
      </c>
      <c r="H1437" s="1856">
        <v>0</v>
      </c>
      <c r="I1437" s="1856">
        <v>1</v>
      </c>
      <c r="J1437" s="1873">
        <v>1</v>
      </c>
      <c r="K1437" s="1860"/>
      <c r="L1437" s="1854">
        <v>13125010100</v>
      </c>
      <c r="M1437" s="1855">
        <v>0</v>
      </c>
      <c r="N1437" s="1855">
        <v>1</v>
      </c>
      <c r="O1437" s="1856">
        <v>1</v>
      </c>
    </row>
    <row r="1438" spans="3:15">
      <c r="C1438" s="1861" t="s">
        <v>5227</v>
      </c>
      <c r="D1438" s="1858">
        <v>1</v>
      </c>
      <c r="E1438" s="1858">
        <v>1</v>
      </c>
      <c r="F1438" s="1859">
        <v>2</v>
      </c>
      <c r="G1438" s="1872" t="s">
        <v>5227</v>
      </c>
      <c r="H1438" s="1856">
        <v>1</v>
      </c>
      <c r="I1438" s="1856">
        <v>1</v>
      </c>
      <c r="J1438" s="1873">
        <v>2</v>
      </c>
      <c r="K1438" s="1860"/>
      <c r="L1438" s="1854">
        <v>13127000101</v>
      </c>
      <c r="M1438" s="1855">
        <v>1</v>
      </c>
      <c r="N1438" s="1855">
        <v>1</v>
      </c>
      <c r="O1438" s="1856">
        <v>2</v>
      </c>
    </row>
    <row r="1439" spans="3:15">
      <c r="C1439" s="1861" t="s">
        <v>5228</v>
      </c>
      <c r="D1439" s="1858">
        <v>1</v>
      </c>
      <c r="E1439" s="1858">
        <v>1</v>
      </c>
      <c r="F1439" s="1859">
        <v>2</v>
      </c>
      <c r="G1439" s="1872" t="s">
        <v>5228</v>
      </c>
      <c r="H1439" s="1856">
        <v>1</v>
      </c>
      <c r="I1439" s="1856">
        <v>1</v>
      </c>
      <c r="J1439" s="1873">
        <v>2</v>
      </c>
      <c r="K1439" s="1860"/>
      <c r="L1439" s="1854">
        <v>13127000102</v>
      </c>
      <c r="M1439" s="1855">
        <v>1</v>
      </c>
      <c r="N1439" s="1855">
        <v>1</v>
      </c>
      <c r="O1439" s="1856">
        <v>2</v>
      </c>
    </row>
    <row r="1440" spans="3:15">
      <c r="C1440" s="1861" t="s">
        <v>5229</v>
      </c>
      <c r="D1440" s="1858">
        <v>1</v>
      </c>
      <c r="E1440" s="1858">
        <v>1</v>
      </c>
      <c r="F1440" s="1859">
        <v>2</v>
      </c>
      <c r="G1440" s="1872" t="s">
        <v>5229</v>
      </c>
      <c r="H1440" s="1856">
        <v>1</v>
      </c>
      <c r="I1440" s="1856">
        <v>1</v>
      </c>
      <c r="J1440" s="1873">
        <v>2</v>
      </c>
      <c r="K1440" s="1860"/>
      <c r="L1440" s="1854">
        <v>13127000200</v>
      </c>
      <c r="M1440" s="1855">
        <v>1</v>
      </c>
      <c r="N1440" s="1855">
        <v>1</v>
      </c>
      <c r="O1440" s="1856">
        <v>2</v>
      </c>
    </row>
    <row r="1441" spans="3:15">
      <c r="C1441" s="1861" t="s">
        <v>5230</v>
      </c>
      <c r="D1441" s="1858">
        <v>1</v>
      </c>
      <c r="E1441" s="1858">
        <v>1</v>
      </c>
      <c r="F1441" s="1859">
        <v>2</v>
      </c>
      <c r="G1441" s="1872" t="s">
        <v>5230</v>
      </c>
      <c r="H1441" s="1856">
        <v>1</v>
      </c>
      <c r="I1441" s="1856">
        <v>1</v>
      </c>
      <c r="J1441" s="1873">
        <v>2</v>
      </c>
      <c r="K1441" s="1860"/>
      <c r="L1441" s="1854">
        <v>13127000300</v>
      </c>
      <c r="M1441" s="1855">
        <v>1</v>
      </c>
      <c r="N1441" s="1855">
        <v>1</v>
      </c>
      <c r="O1441" s="1856">
        <v>2</v>
      </c>
    </row>
    <row r="1442" spans="3:15">
      <c r="C1442" s="1861" t="s">
        <v>5231</v>
      </c>
      <c r="D1442" s="1858">
        <v>1</v>
      </c>
      <c r="E1442" s="1858">
        <v>0</v>
      </c>
      <c r="F1442" s="1859">
        <v>1</v>
      </c>
      <c r="G1442" s="1872" t="s">
        <v>5231</v>
      </c>
      <c r="H1442" s="1856">
        <v>0</v>
      </c>
      <c r="I1442" s="1856">
        <v>0</v>
      </c>
      <c r="J1442" s="1873">
        <v>0</v>
      </c>
      <c r="K1442" s="1860"/>
      <c r="L1442" s="1854">
        <v>13127000401</v>
      </c>
      <c r="M1442" s="1855">
        <v>1</v>
      </c>
      <c r="N1442" s="1855">
        <v>0</v>
      </c>
      <c r="O1442" s="1856">
        <v>1</v>
      </c>
    </row>
    <row r="1443" spans="3:15">
      <c r="C1443" s="1861" t="s">
        <v>5232</v>
      </c>
      <c r="D1443" s="1858">
        <v>0</v>
      </c>
      <c r="E1443" s="1858">
        <v>1</v>
      </c>
      <c r="F1443" s="1859">
        <v>1</v>
      </c>
      <c r="G1443" s="1872" t="s">
        <v>5232</v>
      </c>
      <c r="H1443" s="1856">
        <v>0</v>
      </c>
      <c r="I1443" s="1856">
        <v>1</v>
      </c>
      <c r="J1443" s="1873">
        <v>1</v>
      </c>
      <c r="K1443" s="1860"/>
      <c r="L1443" s="1854">
        <v>13127000403</v>
      </c>
      <c r="M1443" s="1855">
        <v>0</v>
      </c>
      <c r="N1443" s="1855">
        <v>1</v>
      </c>
      <c r="O1443" s="1856">
        <v>1</v>
      </c>
    </row>
    <row r="1444" spans="3:15">
      <c r="C1444" s="1861" t="s">
        <v>5233</v>
      </c>
      <c r="D1444" s="1858">
        <v>0</v>
      </c>
      <c r="E1444" s="1858">
        <v>1</v>
      </c>
      <c r="F1444" s="1859">
        <v>1</v>
      </c>
      <c r="G1444" s="1872" t="s">
        <v>5233</v>
      </c>
      <c r="H1444" s="1856">
        <v>0</v>
      </c>
      <c r="I1444" s="1856">
        <v>1</v>
      </c>
      <c r="J1444" s="1873">
        <v>1</v>
      </c>
      <c r="K1444" s="1860"/>
      <c r="L1444" s="1854">
        <v>13127000404</v>
      </c>
      <c r="M1444" s="1855">
        <v>0</v>
      </c>
      <c r="N1444" s="1855">
        <v>1</v>
      </c>
      <c r="O1444" s="1856">
        <v>1</v>
      </c>
    </row>
    <row r="1445" spans="3:15">
      <c r="C1445" s="1861" t="s">
        <v>5234</v>
      </c>
      <c r="D1445" s="1858">
        <v>0</v>
      </c>
      <c r="E1445" s="1858">
        <v>0</v>
      </c>
      <c r="F1445" s="1859">
        <v>0</v>
      </c>
      <c r="G1445" s="1872" t="s">
        <v>5234</v>
      </c>
      <c r="H1445" s="1856">
        <v>0</v>
      </c>
      <c r="I1445" s="1856">
        <v>0</v>
      </c>
      <c r="J1445" s="1873">
        <v>0</v>
      </c>
      <c r="K1445" s="1860"/>
      <c r="L1445" s="1854">
        <v>13127000501</v>
      </c>
      <c r="M1445" s="1855">
        <v>0</v>
      </c>
      <c r="N1445" s="1855">
        <v>0</v>
      </c>
      <c r="O1445" s="1856">
        <v>0</v>
      </c>
    </row>
    <row r="1446" spans="3:15">
      <c r="C1446" s="1861" t="s">
        <v>5235</v>
      </c>
      <c r="D1446" s="1858">
        <v>0</v>
      </c>
      <c r="E1446" s="1858">
        <v>0</v>
      </c>
      <c r="F1446" s="1859">
        <v>0</v>
      </c>
      <c r="G1446" s="1872" t="s">
        <v>5235</v>
      </c>
      <c r="H1446" s="1856">
        <v>0</v>
      </c>
      <c r="I1446" s="1856">
        <v>0</v>
      </c>
      <c r="J1446" s="1873">
        <v>0</v>
      </c>
      <c r="K1446" s="1860"/>
      <c r="L1446" s="1854">
        <v>13127000503</v>
      </c>
      <c r="M1446" s="1855">
        <v>0</v>
      </c>
      <c r="N1446" s="1855">
        <v>0</v>
      </c>
      <c r="O1446" s="1856">
        <v>0</v>
      </c>
    </row>
    <row r="1447" spans="3:15">
      <c r="C1447" s="1861" t="s">
        <v>5236</v>
      </c>
      <c r="D1447" s="1858">
        <v>0</v>
      </c>
      <c r="E1447" s="1858">
        <v>0</v>
      </c>
      <c r="F1447" s="1859">
        <v>0</v>
      </c>
      <c r="G1447" s="1872" t="s">
        <v>5236</v>
      </c>
      <c r="H1447" s="1856">
        <v>0</v>
      </c>
      <c r="I1447" s="1856">
        <v>0</v>
      </c>
      <c r="J1447" s="1873">
        <v>0</v>
      </c>
      <c r="K1447" s="1860"/>
      <c r="L1447" s="1854">
        <v>13127000504</v>
      </c>
      <c r="M1447" s="1855">
        <v>0</v>
      </c>
      <c r="N1447" s="1855">
        <v>0</v>
      </c>
      <c r="O1447" s="1856">
        <v>0</v>
      </c>
    </row>
    <row r="1448" spans="3:15">
      <c r="C1448" s="1861" t="s">
        <v>5237</v>
      </c>
      <c r="D1448" s="1858">
        <v>0</v>
      </c>
      <c r="E1448" s="1858">
        <v>0</v>
      </c>
      <c r="F1448" s="1859">
        <v>0</v>
      </c>
      <c r="G1448" s="1872" t="s">
        <v>5237</v>
      </c>
      <c r="H1448" s="1856">
        <v>0</v>
      </c>
      <c r="I1448" s="1856">
        <v>0</v>
      </c>
      <c r="J1448" s="1873">
        <v>0</v>
      </c>
      <c r="K1448" s="1860"/>
      <c r="L1448" s="1854">
        <v>13127000600</v>
      </c>
      <c r="M1448" s="1855">
        <v>0</v>
      </c>
      <c r="N1448" s="1855">
        <v>0</v>
      </c>
      <c r="O1448" s="1856">
        <v>0</v>
      </c>
    </row>
    <row r="1449" spans="3:15">
      <c r="C1449" s="1861" t="s">
        <v>5238</v>
      </c>
      <c r="D1449" s="1858">
        <v>0</v>
      </c>
      <c r="E1449" s="1858">
        <v>0</v>
      </c>
      <c r="F1449" s="1859">
        <v>0</v>
      </c>
      <c r="G1449" s="1872" t="s">
        <v>5238</v>
      </c>
      <c r="H1449" s="1856">
        <v>0</v>
      </c>
      <c r="I1449" s="1856">
        <v>0</v>
      </c>
      <c r="J1449" s="1873">
        <v>0</v>
      </c>
      <c r="K1449" s="1860"/>
      <c r="L1449" s="1854">
        <v>13127000700</v>
      </c>
      <c r="M1449" s="1855">
        <v>0</v>
      </c>
      <c r="N1449" s="1855">
        <v>0</v>
      </c>
      <c r="O1449" s="1856">
        <v>0</v>
      </c>
    </row>
    <row r="1450" spans="3:15">
      <c r="C1450" s="1861" t="s">
        <v>5239</v>
      </c>
      <c r="D1450" s="1858">
        <v>0</v>
      </c>
      <c r="E1450" s="1858">
        <v>0</v>
      </c>
      <c r="F1450" s="1859">
        <v>0</v>
      </c>
      <c r="G1450" s="1872" t="s">
        <v>5239</v>
      </c>
      <c r="H1450" s="1856">
        <v>0</v>
      </c>
      <c r="I1450" s="1856">
        <v>0</v>
      </c>
      <c r="J1450" s="1873">
        <v>0</v>
      </c>
      <c r="K1450" s="1860"/>
      <c r="L1450" s="1854">
        <v>13127000800</v>
      </c>
      <c r="M1450" s="1855">
        <v>0</v>
      </c>
      <c r="N1450" s="1855">
        <v>0</v>
      </c>
      <c r="O1450" s="1856">
        <v>0</v>
      </c>
    </row>
    <row r="1451" spans="3:15">
      <c r="C1451" s="1861" t="s">
        <v>5240</v>
      </c>
      <c r="D1451" s="1858">
        <v>0</v>
      </c>
      <c r="E1451" s="1858">
        <v>0</v>
      </c>
      <c r="F1451" s="1859">
        <v>0</v>
      </c>
      <c r="G1451" s="1872" t="s">
        <v>5240</v>
      </c>
      <c r="H1451" s="1856">
        <v>0</v>
      </c>
      <c r="I1451" s="1856">
        <v>0</v>
      </c>
      <c r="J1451" s="1873">
        <v>0</v>
      </c>
      <c r="K1451" s="1860"/>
      <c r="L1451" s="1854">
        <v>13127000900</v>
      </c>
      <c r="M1451" s="1855">
        <v>0</v>
      </c>
      <c r="N1451" s="1855">
        <v>0</v>
      </c>
      <c r="O1451" s="1856">
        <v>0</v>
      </c>
    </row>
    <row r="1452" spans="3:15">
      <c r="C1452" s="1861" t="s">
        <v>5241</v>
      </c>
      <c r="D1452" s="1858">
        <v>1</v>
      </c>
      <c r="E1452" s="1858">
        <v>1</v>
      </c>
      <c r="F1452" s="1859">
        <v>2</v>
      </c>
      <c r="G1452" s="1872" t="s">
        <v>5241</v>
      </c>
      <c r="H1452" s="1856">
        <v>1</v>
      </c>
      <c r="I1452" s="1856">
        <v>0</v>
      </c>
      <c r="J1452" s="1873">
        <v>1</v>
      </c>
      <c r="K1452" s="1860"/>
      <c r="L1452" s="1854">
        <v>13127001000</v>
      </c>
      <c r="M1452" s="1855">
        <v>1</v>
      </c>
      <c r="N1452" s="1855">
        <v>1</v>
      </c>
      <c r="O1452" s="1856">
        <v>2</v>
      </c>
    </row>
    <row r="1453" spans="3:15">
      <c r="C1453" s="1861" t="s">
        <v>5242</v>
      </c>
      <c r="D1453" s="1858" t="s">
        <v>3908</v>
      </c>
      <c r="E1453" s="1858" t="s">
        <v>3908</v>
      </c>
      <c r="F1453" s="1859">
        <v>0</v>
      </c>
      <c r="G1453" s="1872" t="s">
        <v>5242</v>
      </c>
      <c r="H1453" s="1856" t="s">
        <v>3908</v>
      </c>
      <c r="I1453" s="1856" t="s">
        <v>3908</v>
      </c>
      <c r="J1453" s="1873">
        <v>0</v>
      </c>
      <c r="K1453" s="1860"/>
      <c r="L1453" s="1854">
        <v>13127990000</v>
      </c>
      <c r="M1453" s="1855">
        <v>0</v>
      </c>
      <c r="N1453" s="1855">
        <v>0</v>
      </c>
      <c r="O1453" s="1856">
        <v>0</v>
      </c>
    </row>
    <row r="1454" spans="3:15">
      <c r="C1454" s="1861" t="s">
        <v>5243</v>
      </c>
      <c r="D1454" s="1858">
        <v>0</v>
      </c>
      <c r="E1454" s="1858">
        <v>0</v>
      </c>
      <c r="F1454" s="1859">
        <v>0</v>
      </c>
      <c r="G1454" s="1872" t="s">
        <v>5243</v>
      </c>
      <c r="H1454" s="1856">
        <v>0</v>
      </c>
      <c r="I1454" s="1856">
        <v>0</v>
      </c>
      <c r="J1454" s="1873">
        <v>0</v>
      </c>
      <c r="K1454" s="1860"/>
      <c r="L1454" s="1854">
        <v>13129970100</v>
      </c>
      <c r="M1454" s="1855">
        <v>0</v>
      </c>
      <c r="N1454" s="1855">
        <v>0</v>
      </c>
      <c r="O1454" s="1856">
        <v>0</v>
      </c>
    </row>
    <row r="1455" spans="3:15">
      <c r="C1455" s="1861" t="s">
        <v>5244</v>
      </c>
      <c r="D1455" s="1858">
        <v>0</v>
      </c>
      <c r="E1455" s="1858">
        <v>0</v>
      </c>
      <c r="F1455" s="1859">
        <v>0</v>
      </c>
      <c r="G1455" s="1872" t="s">
        <v>5244</v>
      </c>
      <c r="H1455" s="1856">
        <v>0</v>
      </c>
      <c r="I1455" s="1856">
        <v>0</v>
      </c>
      <c r="J1455" s="1873">
        <v>0</v>
      </c>
      <c r="K1455" s="1860"/>
      <c r="L1455" s="1854">
        <v>13129970200</v>
      </c>
      <c r="M1455" s="1855">
        <v>0</v>
      </c>
      <c r="N1455" s="1855">
        <v>0</v>
      </c>
      <c r="O1455" s="1856">
        <v>0</v>
      </c>
    </row>
    <row r="1456" spans="3:15">
      <c r="C1456" s="1861" t="s">
        <v>5245</v>
      </c>
      <c r="D1456" s="1858">
        <v>0</v>
      </c>
      <c r="E1456" s="1858">
        <v>0</v>
      </c>
      <c r="F1456" s="1859">
        <v>0</v>
      </c>
      <c r="G1456" s="1872" t="s">
        <v>5245</v>
      </c>
      <c r="H1456" s="1856">
        <v>0</v>
      </c>
      <c r="I1456" s="1856">
        <v>0</v>
      </c>
      <c r="J1456" s="1873">
        <v>0</v>
      </c>
      <c r="K1456" s="1860"/>
      <c r="L1456" s="1854">
        <v>13129970300</v>
      </c>
      <c r="M1456" s="1855">
        <v>0</v>
      </c>
      <c r="N1456" s="1855">
        <v>0</v>
      </c>
      <c r="O1456" s="1856">
        <v>0</v>
      </c>
    </row>
    <row r="1457" spans="3:15">
      <c r="C1457" s="1861" t="s">
        <v>5246</v>
      </c>
      <c r="D1457" s="1858">
        <v>0</v>
      </c>
      <c r="E1457" s="1858">
        <v>0</v>
      </c>
      <c r="F1457" s="1859">
        <v>0</v>
      </c>
      <c r="G1457" s="1872" t="s">
        <v>5246</v>
      </c>
      <c r="H1457" s="1856">
        <v>0</v>
      </c>
      <c r="I1457" s="1856">
        <v>0</v>
      </c>
      <c r="J1457" s="1873">
        <v>0</v>
      </c>
      <c r="K1457" s="1860"/>
      <c r="L1457" s="1854">
        <v>13129970400</v>
      </c>
      <c r="M1457" s="1855">
        <v>0</v>
      </c>
      <c r="N1457" s="1855">
        <v>0</v>
      </c>
      <c r="O1457" s="1856">
        <v>0</v>
      </c>
    </row>
    <row r="1458" spans="3:15">
      <c r="C1458" s="1861" t="s">
        <v>5247</v>
      </c>
      <c r="D1458" s="1858">
        <v>0</v>
      </c>
      <c r="E1458" s="1858">
        <v>0</v>
      </c>
      <c r="F1458" s="1859">
        <v>0</v>
      </c>
      <c r="G1458" s="1872" t="s">
        <v>5247</v>
      </c>
      <c r="H1458" s="1856">
        <v>0</v>
      </c>
      <c r="I1458" s="1856">
        <v>0</v>
      </c>
      <c r="J1458" s="1873">
        <v>0</v>
      </c>
      <c r="K1458" s="1860"/>
      <c r="L1458" s="1854">
        <v>13129970500</v>
      </c>
      <c r="M1458" s="1855">
        <v>0</v>
      </c>
      <c r="N1458" s="1855">
        <v>0</v>
      </c>
      <c r="O1458" s="1856">
        <v>0</v>
      </c>
    </row>
    <row r="1459" spans="3:15">
      <c r="C1459" s="1861" t="s">
        <v>5248</v>
      </c>
      <c r="D1459" s="1858">
        <v>0</v>
      </c>
      <c r="E1459" s="1858">
        <v>0</v>
      </c>
      <c r="F1459" s="1859">
        <v>0</v>
      </c>
      <c r="G1459" s="1872" t="s">
        <v>5248</v>
      </c>
      <c r="H1459" s="1856">
        <v>0</v>
      </c>
      <c r="I1459" s="1856">
        <v>0</v>
      </c>
      <c r="J1459" s="1873">
        <v>0</v>
      </c>
      <c r="K1459" s="1860"/>
      <c r="L1459" s="1854">
        <v>13129970600</v>
      </c>
      <c r="M1459" s="1855">
        <v>0</v>
      </c>
      <c r="N1459" s="1855">
        <v>0</v>
      </c>
      <c r="O1459" s="1856">
        <v>0</v>
      </c>
    </row>
    <row r="1460" spans="3:15">
      <c r="C1460" s="1861" t="s">
        <v>5249</v>
      </c>
      <c r="D1460" s="1858">
        <v>0</v>
      </c>
      <c r="E1460" s="1858">
        <v>0</v>
      </c>
      <c r="F1460" s="1859">
        <v>0</v>
      </c>
      <c r="G1460" s="1872" t="s">
        <v>5249</v>
      </c>
      <c r="H1460" s="1856">
        <v>0</v>
      </c>
      <c r="I1460" s="1856">
        <v>0</v>
      </c>
      <c r="J1460" s="1873">
        <v>0</v>
      </c>
      <c r="K1460" s="1860"/>
      <c r="L1460" s="1854">
        <v>13129970700</v>
      </c>
      <c r="M1460" s="1855">
        <v>0</v>
      </c>
      <c r="N1460" s="1855">
        <v>0</v>
      </c>
      <c r="O1460" s="1856">
        <v>0</v>
      </c>
    </row>
    <row r="1461" spans="3:15">
      <c r="C1461" s="1861" t="s">
        <v>5250</v>
      </c>
      <c r="D1461" s="1858">
        <v>1</v>
      </c>
      <c r="E1461" s="1858">
        <v>1</v>
      </c>
      <c r="F1461" s="1859">
        <v>2</v>
      </c>
      <c r="G1461" s="1872" t="s">
        <v>5250</v>
      </c>
      <c r="H1461" s="1856">
        <v>1</v>
      </c>
      <c r="I1461" s="1856">
        <v>1</v>
      </c>
      <c r="J1461" s="1873">
        <v>2</v>
      </c>
      <c r="K1461" s="1860"/>
      <c r="L1461" s="1854">
        <v>13129970800</v>
      </c>
      <c r="M1461" s="1855">
        <v>1</v>
      </c>
      <c r="N1461" s="1855">
        <v>1</v>
      </c>
      <c r="O1461" s="1856">
        <v>2</v>
      </c>
    </row>
    <row r="1462" spans="3:15">
      <c r="C1462" s="1861" t="s">
        <v>5251</v>
      </c>
      <c r="D1462" s="1858">
        <v>1</v>
      </c>
      <c r="E1462" s="1858">
        <v>0</v>
      </c>
      <c r="F1462" s="1859">
        <v>1</v>
      </c>
      <c r="G1462" s="1872" t="s">
        <v>5251</v>
      </c>
      <c r="H1462" s="1856">
        <v>1</v>
      </c>
      <c r="I1462" s="1856">
        <v>1</v>
      </c>
      <c r="J1462" s="1873">
        <v>2</v>
      </c>
      <c r="K1462" s="1860"/>
      <c r="L1462" s="1854">
        <v>13129970900</v>
      </c>
      <c r="M1462" s="1855">
        <v>1</v>
      </c>
      <c r="N1462" s="1855">
        <v>1</v>
      </c>
      <c r="O1462" s="1856">
        <v>2</v>
      </c>
    </row>
    <row r="1463" spans="3:15">
      <c r="C1463" s="1861" t="s">
        <v>5252</v>
      </c>
      <c r="D1463" s="1858">
        <v>0</v>
      </c>
      <c r="E1463" s="1858">
        <v>0</v>
      </c>
      <c r="F1463" s="1859">
        <v>0</v>
      </c>
      <c r="G1463" s="1872" t="s">
        <v>5252</v>
      </c>
      <c r="H1463" s="1856">
        <v>0</v>
      </c>
      <c r="I1463" s="1856">
        <v>1</v>
      </c>
      <c r="J1463" s="1873">
        <v>1</v>
      </c>
      <c r="K1463" s="1860"/>
      <c r="L1463" s="1854">
        <v>13131950100</v>
      </c>
      <c r="M1463" s="1855">
        <v>0</v>
      </c>
      <c r="N1463" s="1855">
        <v>1</v>
      </c>
      <c r="O1463" s="1856">
        <v>1</v>
      </c>
    </row>
    <row r="1464" spans="3:15">
      <c r="C1464" s="1861" t="s">
        <v>5253</v>
      </c>
      <c r="D1464" s="1858">
        <v>0</v>
      </c>
      <c r="E1464" s="1858">
        <v>0</v>
      </c>
      <c r="F1464" s="1859">
        <v>0</v>
      </c>
      <c r="G1464" s="1872" t="s">
        <v>5253</v>
      </c>
      <c r="H1464" s="1856">
        <v>0</v>
      </c>
      <c r="I1464" s="1856">
        <v>0</v>
      </c>
      <c r="J1464" s="1873">
        <v>0</v>
      </c>
      <c r="K1464" s="1860"/>
      <c r="L1464" s="1854">
        <v>13131950200</v>
      </c>
      <c r="M1464" s="1855">
        <v>0</v>
      </c>
      <c r="N1464" s="1855">
        <v>0</v>
      </c>
      <c r="O1464" s="1856">
        <v>0</v>
      </c>
    </row>
    <row r="1465" spans="3:15">
      <c r="C1465" s="1861" t="s">
        <v>5254</v>
      </c>
      <c r="D1465" s="1858">
        <v>0</v>
      </c>
      <c r="E1465" s="1858">
        <v>0</v>
      </c>
      <c r="F1465" s="1859">
        <v>0</v>
      </c>
      <c r="G1465" s="1872" t="s">
        <v>5254</v>
      </c>
      <c r="H1465" s="1856">
        <v>0</v>
      </c>
      <c r="I1465" s="1856">
        <v>0</v>
      </c>
      <c r="J1465" s="1873">
        <v>0</v>
      </c>
      <c r="K1465" s="1860"/>
      <c r="L1465" s="1854">
        <v>13131950300</v>
      </c>
      <c r="M1465" s="1855">
        <v>0</v>
      </c>
      <c r="N1465" s="1855">
        <v>0</v>
      </c>
      <c r="O1465" s="1856">
        <v>0</v>
      </c>
    </row>
    <row r="1466" spans="3:15">
      <c r="C1466" s="1861" t="s">
        <v>5255</v>
      </c>
      <c r="D1466" s="1858">
        <v>0</v>
      </c>
      <c r="E1466" s="1858">
        <v>0</v>
      </c>
      <c r="F1466" s="1859">
        <v>0</v>
      </c>
      <c r="G1466" s="1872" t="s">
        <v>5255</v>
      </c>
      <c r="H1466" s="1856">
        <v>0</v>
      </c>
      <c r="I1466" s="1856">
        <v>0</v>
      </c>
      <c r="J1466" s="1873">
        <v>0</v>
      </c>
      <c r="K1466" s="1860"/>
      <c r="L1466" s="1854">
        <v>13131950400</v>
      </c>
      <c r="M1466" s="1855">
        <v>0</v>
      </c>
      <c r="N1466" s="1855">
        <v>0</v>
      </c>
      <c r="O1466" s="1856">
        <v>0</v>
      </c>
    </row>
    <row r="1467" spans="3:15">
      <c r="C1467" s="1861" t="s">
        <v>5256</v>
      </c>
      <c r="D1467" s="1858">
        <v>0</v>
      </c>
      <c r="E1467" s="1858">
        <v>0</v>
      </c>
      <c r="F1467" s="1859">
        <v>0</v>
      </c>
      <c r="G1467" s="1872" t="s">
        <v>5256</v>
      </c>
      <c r="H1467" s="1856">
        <v>0</v>
      </c>
      <c r="I1467" s="1856">
        <v>0</v>
      </c>
      <c r="J1467" s="1873">
        <v>0</v>
      </c>
      <c r="K1467" s="1860"/>
      <c r="L1467" s="1854">
        <v>13131950500</v>
      </c>
      <c r="M1467" s="1855">
        <v>0</v>
      </c>
      <c r="N1467" s="1855">
        <v>0</v>
      </c>
      <c r="O1467" s="1856">
        <v>0</v>
      </c>
    </row>
    <row r="1468" spans="3:15">
      <c r="C1468" s="1861" t="s">
        <v>5257</v>
      </c>
      <c r="D1468" s="1858">
        <v>1</v>
      </c>
      <c r="E1468" s="1858">
        <v>0</v>
      </c>
      <c r="F1468" s="1859">
        <v>1</v>
      </c>
      <c r="G1468" s="1872" t="s">
        <v>5257</v>
      </c>
      <c r="H1468" s="1856">
        <v>1</v>
      </c>
      <c r="I1468" s="1856">
        <v>1</v>
      </c>
      <c r="J1468" s="1873">
        <v>2</v>
      </c>
      <c r="K1468" s="1860"/>
      <c r="L1468" s="1854">
        <v>13131950600</v>
      </c>
      <c r="M1468" s="1855">
        <v>1</v>
      </c>
      <c r="N1468" s="1855">
        <v>1</v>
      </c>
      <c r="O1468" s="1856">
        <v>2</v>
      </c>
    </row>
    <row r="1469" spans="3:15">
      <c r="C1469" s="1861" t="s">
        <v>5258</v>
      </c>
      <c r="D1469" s="1858">
        <v>0</v>
      </c>
      <c r="E1469" s="1858">
        <v>0</v>
      </c>
      <c r="F1469" s="1859">
        <v>0</v>
      </c>
      <c r="G1469" s="1872" t="s">
        <v>5258</v>
      </c>
      <c r="H1469" s="1856">
        <v>0</v>
      </c>
      <c r="I1469" s="1856" t="s">
        <v>3908</v>
      </c>
      <c r="J1469" s="1873">
        <v>0</v>
      </c>
      <c r="K1469" s="1860"/>
      <c r="L1469" s="1854">
        <v>13133950100</v>
      </c>
      <c r="M1469" s="1855">
        <v>0</v>
      </c>
      <c r="N1469" s="1855">
        <v>0</v>
      </c>
      <c r="O1469" s="1856">
        <v>0</v>
      </c>
    </row>
    <row r="1470" spans="3:15">
      <c r="C1470" s="1861" t="s">
        <v>5259</v>
      </c>
      <c r="D1470" s="1858">
        <v>0</v>
      </c>
      <c r="E1470" s="1858">
        <v>0</v>
      </c>
      <c r="F1470" s="1859">
        <v>0</v>
      </c>
      <c r="G1470" s="1872" t="s">
        <v>5259</v>
      </c>
      <c r="H1470" s="1856">
        <v>0</v>
      </c>
      <c r="I1470" s="1856">
        <v>0</v>
      </c>
      <c r="J1470" s="1873">
        <v>0</v>
      </c>
      <c r="K1470" s="1860"/>
      <c r="L1470" s="1854">
        <v>13133950200</v>
      </c>
      <c r="M1470" s="1855">
        <v>0</v>
      </c>
      <c r="N1470" s="1855">
        <v>0</v>
      </c>
      <c r="O1470" s="1856">
        <v>0</v>
      </c>
    </row>
    <row r="1471" spans="3:15">
      <c r="C1471" s="1861" t="s">
        <v>5260</v>
      </c>
      <c r="D1471" s="1858">
        <v>1</v>
      </c>
      <c r="E1471" s="1858">
        <v>1</v>
      </c>
      <c r="F1471" s="1859">
        <v>2</v>
      </c>
      <c r="G1471" s="1872" t="s">
        <v>5260</v>
      </c>
      <c r="H1471" s="1856">
        <v>1</v>
      </c>
      <c r="I1471" s="1856" t="s">
        <v>3908</v>
      </c>
      <c r="J1471" s="1873">
        <v>1</v>
      </c>
      <c r="K1471" s="1860"/>
      <c r="L1471" s="1854">
        <v>13133950301</v>
      </c>
      <c r="M1471" s="1855">
        <v>1</v>
      </c>
      <c r="N1471" s="1855">
        <v>1</v>
      </c>
      <c r="O1471" s="1856">
        <v>2</v>
      </c>
    </row>
    <row r="1472" spans="3:15">
      <c r="C1472" s="1861" t="s">
        <v>5261</v>
      </c>
      <c r="D1472" s="1858">
        <v>1</v>
      </c>
      <c r="E1472" s="1858">
        <v>1</v>
      </c>
      <c r="F1472" s="1859">
        <v>2</v>
      </c>
      <c r="G1472" s="1872" t="s">
        <v>5261</v>
      </c>
      <c r="H1472" s="1856">
        <v>1</v>
      </c>
      <c r="I1472" s="1856">
        <v>1</v>
      </c>
      <c r="J1472" s="1873">
        <v>2</v>
      </c>
      <c r="K1472" s="1860"/>
      <c r="L1472" s="1854">
        <v>13133950302</v>
      </c>
      <c r="M1472" s="1855">
        <v>1</v>
      </c>
      <c r="N1472" s="1855">
        <v>1</v>
      </c>
      <c r="O1472" s="1856">
        <v>2</v>
      </c>
    </row>
    <row r="1473" spans="3:15">
      <c r="C1473" s="1861" t="s">
        <v>5262</v>
      </c>
      <c r="D1473" s="1858">
        <v>0</v>
      </c>
      <c r="E1473" s="1858">
        <v>0</v>
      </c>
      <c r="F1473" s="1859">
        <v>0</v>
      </c>
      <c r="G1473" s="1872" t="s">
        <v>5262</v>
      </c>
      <c r="H1473" s="1856">
        <v>0</v>
      </c>
      <c r="I1473" s="1856">
        <v>0</v>
      </c>
      <c r="J1473" s="1873">
        <v>0</v>
      </c>
      <c r="K1473" s="1860"/>
      <c r="L1473" s="1854">
        <v>13133950303</v>
      </c>
      <c r="M1473" s="1855">
        <v>0</v>
      </c>
      <c r="N1473" s="1855">
        <v>0</v>
      </c>
      <c r="O1473" s="1856">
        <v>0</v>
      </c>
    </row>
    <row r="1474" spans="3:15">
      <c r="C1474" s="1861" t="s">
        <v>5263</v>
      </c>
      <c r="D1474" s="1858">
        <v>0</v>
      </c>
      <c r="E1474" s="1858">
        <v>0</v>
      </c>
      <c r="F1474" s="1859">
        <v>0</v>
      </c>
      <c r="G1474" s="1872" t="s">
        <v>5263</v>
      </c>
      <c r="H1474" s="1856">
        <v>0</v>
      </c>
      <c r="I1474" s="1856">
        <v>0</v>
      </c>
      <c r="J1474" s="1873">
        <v>0</v>
      </c>
      <c r="K1474" s="1860"/>
      <c r="L1474" s="1854">
        <v>13133950400</v>
      </c>
      <c r="M1474" s="1855">
        <v>0</v>
      </c>
      <c r="N1474" s="1855">
        <v>0</v>
      </c>
      <c r="O1474" s="1856">
        <v>0</v>
      </c>
    </row>
    <row r="1475" spans="3:15">
      <c r="C1475" s="1861" t="s">
        <v>5264</v>
      </c>
      <c r="D1475" s="1858">
        <v>1</v>
      </c>
      <c r="E1475" s="1858">
        <v>0</v>
      </c>
      <c r="F1475" s="1859">
        <v>1</v>
      </c>
      <c r="G1475" s="1872" t="s">
        <v>5264</v>
      </c>
      <c r="H1475" s="1856">
        <v>0</v>
      </c>
      <c r="I1475" s="1856">
        <v>0</v>
      </c>
      <c r="J1475" s="1873">
        <v>0</v>
      </c>
      <c r="K1475" s="1860"/>
      <c r="L1475" s="1854">
        <v>13133950500</v>
      </c>
      <c r="M1475" s="1855">
        <v>1</v>
      </c>
      <c r="N1475" s="1855">
        <v>0</v>
      </c>
      <c r="O1475" s="1856">
        <v>1</v>
      </c>
    </row>
    <row r="1476" spans="3:15">
      <c r="C1476" s="1861" t="s">
        <v>5265</v>
      </c>
      <c r="D1476" s="1858">
        <v>1</v>
      </c>
      <c r="E1476" s="1858">
        <v>1</v>
      </c>
      <c r="F1476" s="1859">
        <v>2</v>
      </c>
      <c r="G1476" s="1872" t="s">
        <v>5265</v>
      </c>
      <c r="H1476" s="1856">
        <v>1</v>
      </c>
      <c r="I1476" s="1856">
        <v>0</v>
      </c>
      <c r="J1476" s="1873">
        <v>1</v>
      </c>
      <c r="K1476" s="1860"/>
      <c r="L1476" s="1854">
        <v>13135050103</v>
      </c>
      <c r="M1476" s="1855">
        <v>1</v>
      </c>
      <c r="N1476" s="1855">
        <v>1</v>
      </c>
      <c r="O1476" s="1856">
        <v>2</v>
      </c>
    </row>
    <row r="1477" spans="3:15">
      <c r="C1477" s="1861" t="s">
        <v>5266</v>
      </c>
      <c r="D1477" s="1858">
        <v>0</v>
      </c>
      <c r="E1477" s="1858">
        <v>0</v>
      </c>
      <c r="F1477" s="1859">
        <v>0</v>
      </c>
      <c r="G1477" s="1872" t="s">
        <v>5266</v>
      </c>
      <c r="H1477" s="1856">
        <v>0</v>
      </c>
      <c r="I1477" s="1856">
        <v>0</v>
      </c>
      <c r="J1477" s="1873">
        <v>0</v>
      </c>
      <c r="K1477" s="1860"/>
      <c r="L1477" s="1854">
        <v>13135050105</v>
      </c>
      <c r="M1477" s="1855">
        <v>0</v>
      </c>
      <c r="N1477" s="1855">
        <v>0</v>
      </c>
      <c r="O1477" s="1856">
        <v>0</v>
      </c>
    </row>
    <row r="1478" spans="3:15">
      <c r="C1478" s="1861" t="s">
        <v>5267</v>
      </c>
      <c r="D1478" s="1858">
        <v>1</v>
      </c>
      <c r="E1478" s="1858">
        <v>0</v>
      </c>
      <c r="F1478" s="1859">
        <v>1</v>
      </c>
      <c r="G1478" s="1872" t="s">
        <v>5267</v>
      </c>
      <c r="H1478" s="1856">
        <v>1</v>
      </c>
      <c r="I1478" s="1856">
        <v>0</v>
      </c>
      <c r="J1478" s="1873">
        <v>1</v>
      </c>
      <c r="K1478" s="1860"/>
      <c r="L1478" s="1854">
        <v>13135050106</v>
      </c>
      <c r="M1478" s="1855">
        <v>1</v>
      </c>
      <c r="N1478" s="1855">
        <v>0</v>
      </c>
      <c r="O1478" s="1856">
        <v>1</v>
      </c>
    </row>
    <row r="1479" spans="3:15">
      <c r="C1479" s="1861" t="s">
        <v>5268</v>
      </c>
      <c r="D1479" s="1858">
        <v>1</v>
      </c>
      <c r="E1479" s="1858">
        <v>1</v>
      </c>
      <c r="F1479" s="1859">
        <v>2</v>
      </c>
      <c r="G1479" s="1872" t="s">
        <v>5268</v>
      </c>
      <c r="H1479" s="1856">
        <v>1</v>
      </c>
      <c r="I1479" s="1856">
        <v>1</v>
      </c>
      <c r="J1479" s="1873">
        <v>2</v>
      </c>
      <c r="K1479" s="1860"/>
      <c r="L1479" s="1854">
        <v>13135050107</v>
      </c>
      <c r="M1479" s="1855">
        <v>1</v>
      </c>
      <c r="N1479" s="1855">
        <v>1</v>
      </c>
      <c r="O1479" s="1856">
        <v>2</v>
      </c>
    </row>
    <row r="1480" spans="3:15">
      <c r="C1480" s="1861" t="s">
        <v>5269</v>
      </c>
      <c r="D1480" s="1858">
        <v>1</v>
      </c>
      <c r="E1480" s="1858">
        <v>1</v>
      </c>
      <c r="F1480" s="1859">
        <v>2</v>
      </c>
      <c r="G1480" s="1872" t="s">
        <v>5269</v>
      </c>
      <c r="H1480" s="1856">
        <v>1</v>
      </c>
      <c r="I1480" s="1856">
        <v>1</v>
      </c>
      <c r="J1480" s="1873">
        <v>2</v>
      </c>
      <c r="K1480" s="1860"/>
      <c r="L1480" s="1854">
        <v>13135050108</v>
      </c>
      <c r="M1480" s="1855">
        <v>1</v>
      </c>
      <c r="N1480" s="1855">
        <v>1</v>
      </c>
      <c r="O1480" s="1856">
        <v>2</v>
      </c>
    </row>
    <row r="1481" spans="3:15">
      <c r="C1481" s="1861" t="s">
        <v>5270</v>
      </c>
      <c r="D1481" s="1858">
        <v>1</v>
      </c>
      <c r="E1481" s="1858">
        <v>1</v>
      </c>
      <c r="F1481" s="1859">
        <v>2</v>
      </c>
      <c r="G1481" s="1872" t="s">
        <v>5270</v>
      </c>
      <c r="H1481" s="1856">
        <v>1</v>
      </c>
      <c r="I1481" s="1856">
        <v>0</v>
      </c>
      <c r="J1481" s="1873">
        <v>1</v>
      </c>
      <c r="K1481" s="1860"/>
      <c r="L1481" s="1854">
        <v>13135050109</v>
      </c>
      <c r="M1481" s="1855">
        <v>1</v>
      </c>
      <c r="N1481" s="1855">
        <v>1</v>
      </c>
      <c r="O1481" s="1856">
        <v>2</v>
      </c>
    </row>
    <row r="1482" spans="3:15">
      <c r="C1482" s="1861" t="s">
        <v>5271</v>
      </c>
      <c r="D1482" s="1858">
        <v>1</v>
      </c>
      <c r="E1482" s="1858">
        <v>0</v>
      </c>
      <c r="F1482" s="1859">
        <v>1</v>
      </c>
      <c r="G1482" s="1872" t="s">
        <v>5271</v>
      </c>
      <c r="H1482" s="1856">
        <v>1</v>
      </c>
      <c r="I1482" s="1856">
        <v>0</v>
      </c>
      <c r="J1482" s="1873">
        <v>1</v>
      </c>
      <c r="K1482" s="1860"/>
      <c r="L1482" s="1854">
        <v>13135050205</v>
      </c>
      <c r="M1482" s="1855">
        <v>1</v>
      </c>
      <c r="N1482" s="1855">
        <v>0</v>
      </c>
      <c r="O1482" s="1856">
        <v>1</v>
      </c>
    </row>
    <row r="1483" spans="3:15">
      <c r="C1483" s="1861" t="s">
        <v>5272</v>
      </c>
      <c r="D1483" s="1858">
        <v>1</v>
      </c>
      <c r="E1483" s="1858">
        <v>1</v>
      </c>
      <c r="F1483" s="1859">
        <v>2</v>
      </c>
      <c r="G1483" s="1872" t="s">
        <v>5272</v>
      </c>
      <c r="H1483" s="1856">
        <v>1</v>
      </c>
      <c r="I1483" s="1856">
        <v>1</v>
      </c>
      <c r="J1483" s="1873">
        <v>2</v>
      </c>
      <c r="K1483" s="1860"/>
      <c r="L1483" s="1854">
        <v>13135050208</v>
      </c>
      <c r="M1483" s="1855">
        <v>1</v>
      </c>
      <c r="N1483" s="1855">
        <v>1</v>
      </c>
      <c r="O1483" s="1856">
        <v>2</v>
      </c>
    </row>
    <row r="1484" spans="3:15">
      <c r="C1484" s="1861" t="s">
        <v>5273</v>
      </c>
      <c r="D1484" s="1858">
        <v>0</v>
      </c>
      <c r="E1484" s="1858">
        <v>0</v>
      </c>
      <c r="F1484" s="1859">
        <v>0</v>
      </c>
      <c r="G1484" s="1872" t="s">
        <v>5273</v>
      </c>
      <c r="H1484" s="1856">
        <v>1</v>
      </c>
      <c r="I1484" s="1856">
        <v>0</v>
      </c>
      <c r="J1484" s="1873">
        <v>1</v>
      </c>
      <c r="K1484" s="1860"/>
      <c r="L1484" s="1854">
        <v>13135050209</v>
      </c>
      <c r="M1484" s="1855">
        <v>1</v>
      </c>
      <c r="N1484" s="1855">
        <v>0</v>
      </c>
      <c r="O1484" s="1856">
        <v>1</v>
      </c>
    </row>
    <row r="1485" spans="3:15">
      <c r="C1485" s="1861" t="s">
        <v>5274</v>
      </c>
      <c r="D1485" s="1858">
        <v>1</v>
      </c>
      <c r="E1485" s="1858">
        <v>1</v>
      </c>
      <c r="F1485" s="1859">
        <v>2</v>
      </c>
      <c r="G1485" s="1872" t="s">
        <v>5274</v>
      </c>
      <c r="H1485" s="1856">
        <v>1</v>
      </c>
      <c r="I1485" s="1856">
        <v>1</v>
      </c>
      <c r="J1485" s="1873">
        <v>2</v>
      </c>
      <c r="K1485" s="1860"/>
      <c r="L1485" s="1854">
        <v>13135050210</v>
      </c>
      <c r="M1485" s="1855">
        <v>1</v>
      </c>
      <c r="N1485" s="1855">
        <v>1</v>
      </c>
      <c r="O1485" s="1856">
        <v>2</v>
      </c>
    </row>
    <row r="1486" spans="3:15">
      <c r="C1486" s="1861" t="s">
        <v>5275</v>
      </c>
      <c r="D1486" s="1858">
        <v>0</v>
      </c>
      <c r="E1486" s="1858">
        <v>0</v>
      </c>
      <c r="F1486" s="1859">
        <v>0</v>
      </c>
      <c r="G1486" s="1872" t="s">
        <v>5275</v>
      </c>
      <c r="H1486" s="1856">
        <v>0</v>
      </c>
      <c r="I1486" s="1856">
        <v>0</v>
      </c>
      <c r="J1486" s="1873">
        <v>0</v>
      </c>
      <c r="K1486" s="1860"/>
      <c r="L1486" s="1854">
        <v>13135050211</v>
      </c>
      <c r="M1486" s="1855">
        <v>0</v>
      </c>
      <c r="N1486" s="1855">
        <v>0</v>
      </c>
      <c r="O1486" s="1856">
        <v>0</v>
      </c>
    </row>
    <row r="1487" spans="3:15">
      <c r="C1487" s="1861" t="s">
        <v>5276</v>
      </c>
      <c r="D1487" s="1858">
        <v>1</v>
      </c>
      <c r="E1487" s="1858">
        <v>1</v>
      </c>
      <c r="F1487" s="1859">
        <v>2</v>
      </c>
      <c r="G1487" s="1872" t="s">
        <v>5276</v>
      </c>
      <c r="H1487" s="1856">
        <v>1</v>
      </c>
      <c r="I1487" s="1856">
        <v>1</v>
      </c>
      <c r="J1487" s="1873">
        <v>2</v>
      </c>
      <c r="K1487" s="1860"/>
      <c r="L1487" s="1854">
        <v>13135050212</v>
      </c>
      <c r="M1487" s="1855">
        <v>1</v>
      </c>
      <c r="N1487" s="1855">
        <v>1</v>
      </c>
      <c r="O1487" s="1856">
        <v>2</v>
      </c>
    </row>
    <row r="1488" spans="3:15">
      <c r="C1488" s="1861" t="s">
        <v>5277</v>
      </c>
      <c r="D1488" s="1858">
        <v>1</v>
      </c>
      <c r="E1488" s="1858">
        <v>1</v>
      </c>
      <c r="F1488" s="1859">
        <v>2</v>
      </c>
      <c r="G1488" s="1872" t="s">
        <v>5277</v>
      </c>
      <c r="H1488" s="1856">
        <v>1</v>
      </c>
      <c r="I1488" s="1856">
        <v>1</v>
      </c>
      <c r="J1488" s="1873">
        <v>2</v>
      </c>
      <c r="K1488" s="1860"/>
      <c r="L1488" s="1854">
        <v>13135050213</v>
      </c>
      <c r="M1488" s="1855">
        <v>1</v>
      </c>
      <c r="N1488" s="1855">
        <v>1</v>
      </c>
      <c r="O1488" s="1856">
        <v>2</v>
      </c>
    </row>
    <row r="1489" spans="3:15">
      <c r="C1489" s="1861" t="s">
        <v>5278</v>
      </c>
      <c r="D1489" s="1858">
        <v>1</v>
      </c>
      <c r="E1489" s="1858">
        <v>1</v>
      </c>
      <c r="F1489" s="1859">
        <v>2</v>
      </c>
      <c r="G1489" s="1872" t="s">
        <v>5278</v>
      </c>
      <c r="H1489" s="1856">
        <v>1</v>
      </c>
      <c r="I1489" s="1856">
        <v>1</v>
      </c>
      <c r="J1489" s="1873">
        <v>2</v>
      </c>
      <c r="K1489" s="1860"/>
      <c r="L1489" s="1854">
        <v>13135050214</v>
      </c>
      <c r="M1489" s="1855">
        <v>1</v>
      </c>
      <c r="N1489" s="1855">
        <v>1</v>
      </c>
      <c r="O1489" s="1856">
        <v>2</v>
      </c>
    </row>
    <row r="1490" spans="3:15">
      <c r="C1490" s="1861" t="s">
        <v>5279</v>
      </c>
      <c r="D1490" s="1858">
        <v>1</v>
      </c>
      <c r="E1490" s="1858">
        <v>1</v>
      </c>
      <c r="F1490" s="1859">
        <v>2</v>
      </c>
      <c r="G1490" s="1872" t="s">
        <v>5279</v>
      </c>
      <c r="H1490" s="1856">
        <v>1</v>
      </c>
      <c r="I1490" s="1856" t="s">
        <v>3908</v>
      </c>
      <c r="J1490" s="1873">
        <v>1</v>
      </c>
      <c r="K1490" s="1860"/>
      <c r="L1490" s="1854">
        <v>13135050215</v>
      </c>
      <c r="M1490" s="1855">
        <v>1</v>
      </c>
      <c r="N1490" s="1855">
        <v>1</v>
      </c>
      <c r="O1490" s="1856">
        <v>2</v>
      </c>
    </row>
    <row r="1491" spans="3:15">
      <c r="C1491" s="1861" t="s">
        <v>5280</v>
      </c>
      <c r="D1491" s="1858">
        <v>1</v>
      </c>
      <c r="E1491" s="1858">
        <v>1</v>
      </c>
      <c r="F1491" s="1859">
        <v>2</v>
      </c>
      <c r="G1491" s="1872" t="s">
        <v>5280</v>
      </c>
      <c r="H1491" s="1856">
        <v>1</v>
      </c>
      <c r="I1491" s="1856">
        <v>1</v>
      </c>
      <c r="J1491" s="1873">
        <v>2</v>
      </c>
      <c r="K1491" s="1860"/>
      <c r="L1491" s="1854">
        <v>13135050216</v>
      </c>
      <c r="M1491" s="1855">
        <v>1</v>
      </c>
      <c r="N1491" s="1855">
        <v>1</v>
      </c>
      <c r="O1491" s="1856">
        <v>2</v>
      </c>
    </row>
    <row r="1492" spans="3:15">
      <c r="C1492" s="1861" t="s">
        <v>5281</v>
      </c>
      <c r="D1492" s="1858">
        <v>1</v>
      </c>
      <c r="E1492" s="1858">
        <v>1</v>
      </c>
      <c r="F1492" s="1859">
        <v>2</v>
      </c>
      <c r="G1492" s="1872" t="s">
        <v>5281</v>
      </c>
      <c r="H1492" s="1856">
        <v>1</v>
      </c>
      <c r="I1492" s="1856">
        <v>1</v>
      </c>
      <c r="J1492" s="1873">
        <v>2</v>
      </c>
      <c r="K1492" s="1860"/>
      <c r="L1492" s="1854">
        <v>13135050217</v>
      </c>
      <c r="M1492" s="1855">
        <v>1</v>
      </c>
      <c r="N1492" s="1855">
        <v>1</v>
      </c>
      <c r="O1492" s="1856">
        <v>2</v>
      </c>
    </row>
    <row r="1493" spans="3:15">
      <c r="C1493" s="1861" t="s">
        <v>5282</v>
      </c>
      <c r="D1493" s="1858">
        <v>1</v>
      </c>
      <c r="E1493" s="1858">
        <v>1</v>
      </c>
      <c r="F1493" s="1859">
        <v>2</v>
      </c>
      <c r="G1493" s="1872" t="s">
        <v>5282</v>
      </c>
      <c r="H1493" s="1856">
        <v>1</v>
      </c>
      <c r="I1493" s="1856">
        <v>0</v>
      </c>
      <c r="J1493" s="1873">
        <v>1</v>
      </c>
      <c r="K1493" s="1860"/>
      <c r="L1493" s="1854">
        <v>13135050218</v>
      </c>
      <c r="M1493" s="1855">
        <v>1</v>
      </c>
      <c r="N1493" s="1855">
        <v>1</v>
      </c>
      <c r="O1493" s="1856">
        <v>2</v>
      </c>
    </row>
    <row r="1494" spans="3:15">
      <c r="C1494" s="1861" t="s">
        <v>5283</v>
      </c>
      <c r="D1494" s="1858">
        <v>1</v>
      </c>
      <c r="E1494" s="1858">
        <v>1</v>
      </c>
      <c r="F1494" s="1859">
        <v>2</v>
      </c>
      <c r="G1494" s="1872" t="s">
        <v>5283</v>
      </c>
      <c r="H1494" s="1856">
        <v>1</v>
      </c>
      <c r="I1494" s="1856">
        <v>1</v>
      </c>
      <c r="J1494" s="1873">
        <v>2</v>
      </c>
      <c r="K1494" s="1860"/>
      <c r="L1494" s="1854">
        <v>13135050219</v>
      </c>
      <c r="M1494" s="1855">
        <v>1</v>
      </c>
      <c r="N1494" s="1855">
        <v>1</v>
      </c>
      <c r="O1494" s="1856">
        <v>2</v>
      </c>
    </row>
    <row r="1495" spans="3:15">
      <c r="C1495" s="1861" t="s">
        <v>5284</v>
      </c>
      <c r="D1495" s="1858">
        <v>0</v>
      </c>
      <c r="E1495" s="1858">
        <v>0</v>
      </c>
      <c r="F1495" s="1859">
        <v>0</v>
      </c>
      <c r="G1495" s="1872" t="s">
        <v>5284</v>
      </c>
      <c r="H1495" s="1856">
        <v>1</v>
      </c>
      <c r="I1495" s="1856">
        <v>0</v>
      </c>
      <c r="J1495" s="1873">
        <v>1</v>
      </c>
      <c r="K1495" s="1860"/>
      <c r="L1495" s="1854">
        <v>13135050220</v>
      </c>
      <c r="M1495" s="1855">
        <v>1</v>
      </c>
      <c r="N1495" s="1855">
        <v>0</v>
      </c>
      <c r="O1495" s="1856">
        <v>1</v>
      </c>
    </row>
    <row r="1496" spans="3:15">
      <c r="C1496" s="1861" t="s">
        <v>5285</v>
      </c>
      <c r="D1496" s="1858">
        <v>1</v>
      </c>
      <c r="E1496" s="1858">
        <v>0</v>
      </c>
      <c r="F1496" s="1859">
        <v>1</v>
      </c>
      <c r="G1496" s="1872" t="s">
        <v>5285</v>
      </c>
      <c r="H1496" s="1856">
        <v>1</v>
      </c>
      <c r="I1496" s="1856">
        <v>0</v>
      </c>
      <c r="J1496" s="1873">
        <v>1</v>
      </c>
      <c r="K1496" s="1860"/>
      <c r="L1496" s="1854">
        <v>13135050304</v>
      </c>
      <c r="M1496" s="1855">
        <v>1</v>
      </c>
      <c r="N1496" s="1855">
        <v>0</v>
      </c>
      <c r="O1496" s="1856">
        <v>1</v>
      </c>
    </row>
    <row r="1497" spans="3:15">
      <c r="C1497" s="1861" t="s">
        <v>5286</v>
      </c>
      <c r="D1497" s="1858">
        <v>0</v>
      </c>
      <c r="E1497" s="1858">
        <v>0</v>
      </c>
      <c r="F1497" s="1859">
        <v>0</v>
      </c>
      <c r="G1497" s="1872" t="s">
        <v>5286</v>
      </c>
      <c r="H1497" s="1856">
        <v>1</v>
      </c>
      <c r="I1497" s="1856">
        <v>0</v>
      </c>
      <c r="J1497" s="1873">
        <v>1</v>
      </c>
      <c r="K1497" s="1860"/>
      <c r="L1497" s="1854">
        <v>13135050306</v>
      </c>
      <c r="M1497" s="1855">
        <v>1</v>
      </c>
      <c r="N1497" s="1855">
        <v>0</v>
      </c>
      <c r="O1497" s="1856">
        <v>1</v>
      </c>
    </row>
    <row r="1498" spans="3:15">
      <c r="C1498" s="1861" t="s">
        <v>5287</v>
      </c>
      <c r="D1498" s="1858">
        <v>1</v>
      </c>
      <c r="E1498" s="1858">
        <v>1</v>
      </c>
      <c r="F1498" s="1859">
        <v>2</v>
      </c>
      <c r="G1498" s="1872" t="s">
        <v>5287</v>
      </c>
      <c r="H1498" s="1856">
        <v>1</v>
      </c>
      <c r="I1498" s="1856">
        <v>1</v>
      </c>
      <c r="J1498" s="1873">
        <v>2</v>
      </c>
      <c r="K1498" s="1860"/>
      <c r="L1498" s="1854">
        <v>13135050308</v>
      </c>
      <c r="M1498" s="1855">
        <v>1</v>
      </c>
      <c r="N1498" s="1855">
        <v>1</v>
      </c>
      <c r="O1498" s="1856">
        <v>2</v>
      </c>
    </row>
    <row r="1499" spans="3:15">
      <c r="C1499" s="1861" t="s">
        <v>5288</v>
      </c>
      <c r="D1499" s="1858">
        <v>1</v>
      </c>
      <c r="E1499" s="1858">
        <v>1</v>
      </c>
      <c r="F1499" s="1859">
        <v>2</v>
      </c>
      <c r="G1499" s="1872" t="s">
        <v>5288</v>
      </c>
      <c r="H1499" s="1856">
        <v>1</v>
      </c>
      <c r="I1499" s="1856">
        <v>1</v>
      </c>
      <c r="J1499" s="1873">
        <v>2</v>
      </c>
      <c r="K1499" s="1860"/>
      <c r="L1499" s="1854">
        <v>13135050309</v>
      </c>
      <c r="M1499" s="1855">
        <v>1</v>
      </c>
      <c r="N1499" s="1855">
        <v>1</v>
      </c>
      <c r="O1499" s="1856">
        <v>2</v>
      </c>
    </row>
    <row r="1500" spans="3:15">
      <c r="C1500" s="1861" t="s">
        <v>5289</v>
      </c>
      <c r="D1500" s="1858">
        <v>1</v>
      </c>
      <c r="E1500" s="1858">
        <v>1</v>
      </c>
      <c r="F1500" s="1859">
        <v>2</v>
      </c>
      <c r="G1500" s="1872" t="s">
        <v>5289</v>
      </c>
      <c r="H1500" s="1856">
        <v>1</v>
      </c>
      <c r="I1500" s="1856">
        <v>1</v>
      </c>
      <c r="J1500" s="1873">
        <v>2</v>
      </c>
      <c r="K1500" s="1860"/>
      <c r="L1500" s="1854">
        <v>13135050310</v>
      </c>
      <c r="M1500" s="1855">
        <v>1</v>
      </c>
      <c r="N1500" s="1855">
        <v>1</v>
      </c>
      <c r="O1500" s="1856">
        <v>2</v>
      </c>
    </row>
    <row r="1501" spans="3:15">
      <c r="C1501" s="1861" t="s">
        <v>5290</v>
      </c>
      <c r="D1501" s="1858">
        <v>1</v>
      </c>
      <c r="E1501" s="1858">
        <v>1</v>
      </c>
      <c r="F1501" s="1859">
        <v>2</v>
      </c>
      <c r="G1501" s="1872" t="s">
        <v>5290</v>
      </c>
      <c r="H1501" s="1856">
        <v>1</v>
      </c>
      <c r="I1501" s="1856">
        <v>0</v>
      </c>
      <c r="J1501" s="1873">
        <v>1</v>
      </c>
      <c r="K1501" s="1860"/>
      <c r="L1501" s="1854">
        <v>13135050311</v>
      </c>
      <c r="M1501" s="1855">
        <v>1</v>
      </c>
      <c r="N1501" s="1855">
        <v>1</v>
      </c>
      <c r="O1501" s="1856">
        <v>2</v>
      </c>
    </row>
    <row r="1502" spans="3:15">
      <c r="C1502" s="1861" t="s">
        <v>5291</v>
      </c>
      <c r="D1502" s="1858">
        <v>0</v>
      </c>
      <c r="E1502" s="1858">
        <v>0</v>
      </c>
      <c r="F1502" s="1859">
        <v>0</v>
      </c>
      <c r="G1502" s="1872" t="s">
        <v>5291</v>
      </c>
      <c r="H1502" s="1856">
        <v>0</v>
      </c>
      <c r="I1502" s="1856">
        <v>0</v>
      </c>
      <c r="J1502" s="1873">
        <v>0</v>
      </c>
      <c r="K1502" s="1860"/>
      <c r="L1502" s="1854">
        <v>13135050313</v>
      </c>
      <c r="M1502" s="1855">
        <v>0</v>
      </c>
      <c r="N1502" s="1855">
        <v>0</v>
      </c>
      <c r="O1502" s="1856">
        <v>0</v>
      </c>
    </row>
    <row r="1503" spans="3:15">
      <c r="C1503" s="1861" t="s">
        <v>5292</v>
      </c>
      <c r="D1503" s="1858">
        <v>1</v>
      </c>
      <c r="E1503" s="1858">
        <v>0</v>
      </c>
      <c r="F1503" s="1859">
        <v>1</v>
      </c>
      <c r="G1503" s="1872" t="s">
        <v>5292</v>
      </c>
      <c r="H1503" s="1856">
        <v>1</v>
      </c>
      <c r="I1503" s="1856">
        <v>0</v>
      </c>
      <c r="J1503" s="1873">
        <v>1</v>
      </c>
      <c r="K1503" s="1860"/>
      <c r="L1503" s="1854">
        <v>13135050314</v>
      </c>
      <c r="M1503" s="1855">
        <v>1</v>
      </c>
      <c r="N1503" s="1855">
        <v>0</v>
      </c>
      <c r="O1503" s="1856">
        <v>1</v>
      </c>
    </row>
    <row r="1504" spans="3:15">
      <c r="C1504" s="1861" t="s">
        <v>5293</v>
      </c>
      <c r="D1504" s="1858">
        <v>1</v>
      </c>
      <c r="E1504" s="1858">
        <v>0</v>
      </c>
      <c r="F1504" s="1859">
        <v>1</v>
      </c>
      <c r="G1504" s="1872" t="s">
        <v>5293</v>
      </c>
      <c r="H1504" s="1856">
        <v>1</v>
      </c>
      <c r="I1504" s="1856">
        <v>0</v>
      </c>
      <c r="J1504" s="1873">
        <v>1</v>
      </c>
      <c r="K1504" s="1860"/>
      <c r="L1504" s="1854">
        <v>13135050315</v>
      </c>
      <c r="M1504" s="1855">
        <v>1</v>
      </c>
      <c r="N1504" s="1855">
        <v>0</v>
      </c>
      <c r="O1504" s="1856">
        <v>1</v>
      </c>
    </row>
    <row r="1505" spans="3:15">
      <c r="C1505" s="1861" t="s">
        <v>5294</v>
      </c>
      <c r="D1505" s="1858">
        <v>0</v>
      </c>
      <c r="E1505" s="1858">
        <v>0</v>
      </c>
      <c r="F1505" s="1859">
        <v>0</v>
      </c>
      <c r="G1505" s="1872" t="s">
        <v>5294</v>
      </c>
      <c r="H1505" s="1856">
        <v>1</v>
      </c>
      <c r="I1505" s="1856" t="s">
        <v>3908</v>
      </c>
      <c r="J1505" s="1873">
        <v>1</v>
      </c>
      <c r="K1505" s="1860"/>
      <c r="L1505" s="1854">
        <v>13135050317</v>
      </c>
      <c r="M1505" s="1855">
        <v>1</v>
      </c>
      <c r="N1505" s="1855">
        <v>0</v>
      </c>
      <c r="O1505" s="1856">
        <v>1</v>
      </c>
    </row>
    <row r="1506" spans="3:15">
      <c r="C1506" s="1861" t="s">
        <v>5295</v>
      </c>
      <c r="D1506" s="1858">
        <v>1</v>
      </c>
      <c r="E1506" s="1858">
        <v>0</v>
      </c>
      <c r="F1506" s="1859">
        <v>1</v>
      </c>
      <c r="G1506" s="1872" t="s">
        <v>5295</v>
      </c>
      <c r="H1506" s="1856">
        <v>1</v>
      </c>
      <c r="I1506" s="1856" t="s">
        <v>3908</v>
      </c>
      <c r="J1506" s="1873">
        <v>1</v>
      </c>
      <c r="K1506" s="1860"/>
      <c r="L1506" s="1854">
        <v>13135050318</v>
      </c>
      <c r="M1506" s="1855">
        <v>1</v>
      </c>
      <c r="N1506" s="1855">
        <v>0</v>
      </c>
      <c r="O1506" s="1856">
        <v>1</v>
      </c>
    </row>
    <row r="1507" spans="3:15">
      <c r="C1507" s="1861" t="s">
        <v>5296</v>
      </c>
      <c r="D1507" s="1858">
        <v>0</v>
      </c>
      <c r="E1507" s="1858">
        <v>0</v>
      </c>
      <c r="F1507" s="1859">
        <v>0</v>
      </c>
      <c r="G1507" s="1872" t="s">
        <v>5296</v>
      </c>
      <c r="H1507" s="1856">
        <v>0</v>
      </c>
      <c r="I1507" s="1856" t="s">
        <v>3908</v>
      </c>
      <c r="J1507" s="1873">
        <v>0</v>
      </c>
      <c r="K1507" s="1860"/>
      <c r="L1507" s="1854">
        <v>13135050319</v>
      </c>
      <c r="M1507" s="1855">
        <v>0</v>
      </c>
      <c r="N1507" s="1855">
        <v>0</v>
      </c>
      <c r="O1507" s="1856">
        <v>0</v>
      </c>
    </row>
    <row r="1508" spans="3:15">
      <c r="C1508" s="1861" t="s">
        <v>5297</v>
      </c>
      <c r="D1508" s="1858">
        <v>0</v>
      </c>
      <c r="E1508" s="1858">
        <v>0</v>
      </c>
      <c r="F1508" s="1859">
        <v>0</v>
      </c>
      <c r="G1508" s="1872" t="s">
        <v>5297</v>
      </c>
      <c r="H1508" s="1856">
        <v>0</v>
      </c>
      <c r="I1508" s="1856" t="s">
        <v>3908</v>
      </c>
      <c r="J1508" s="1873">
        <v>0</v>
      </c>
      <c r="K1508" s="1860"/>
      <c r="L1508" s="1854">
        <v>13135050320</v>
      </c>
      <c r="M1508" s="1855">
        <v>0</v>
      </c>
      <c r="N1508" s="1855">
        <v>0</v>
      </c>
      <c r="O1508" s="1856">
        <v>0</v>
      </c>
    </row>
    <row r="1509" spans="3:15">
      <c r="C1509" s="1861" t="s">
        <v>5298</v>
      </c>
      <c r="D1509" s="1858">
        <v>1</v>
      </c>
      <c r="E1509" s="1858">
        <v>1</v>
      </c>
      <c r="F1509" s="1859">
        <v>2</v>
      </c>
      <c r="G1509" s="1872" t="s">
        <v>5298</v>
      </c>
      <c r="H1509" s="1856">
        <v>1</v>
      </c>
      <c r="I1509" s="1856">
        <v>1</v>
      </c>
      <c r="J1509" s="1873">
        <v>2</v>
      </c>
      <c r="K1509" s="1860"/>
      <c r="L1509" s="1854">
        <v>13135050321</v>
      </c>
      <c r="M1509" s="1855">
        <v>1</v>
      </c>
      <c r="N1509" s="1855">
        <v>1</v>
      </c>
      <c r="O1509" s="1856">
        <v>2</v>
      </c>
    </row>
    <row r="1510" spans="3:15">
      <c r="C1510" s="1861" t="s">
        <v>5299</v>
      </c>
      <c r="D1510" s="1858">
        <v>1</v>
      </c>
      <c r="E1510" s="1858">
        <v>1</v>
      </c>
      <c r="F1510" s="1859">
        <v>2</v>
      </c>
      <c r="G1510" s="1872" t="s">
        <v>5299</v>
      </c>
      <c r="H1510" s="1856">
        <v>1</v>
      </c>
      <c r="I1510" s="1856">
        <v>1</v>
      </c>
      <c r="J1510" s="1873">
        <v>2</v>
      </c>
      <c r="K1510" s="1860"/>
      <c r="L1510" s="1854">
        <v>13135050322</v>
      </c>
      <c r="M1510" s="1855">
        <v>1</v>
      </c>
      <c r="N1510" s="1855">
        <v>1</v>
      </c>
      <c r="O1510" s="1856">
        <v>2</v>
      </c>
    </row>
    <row r="1511" spans="3:15">
      <c r="C1511" s="1861" t="s">
        <v>5300</v>
      </c>
      <c r="D1511" s="1858">
        <v>0</v>
      </c>
      <c r="E1511" s="1858">
        <v>0</v>
      </c>
      <c r="F1511" s="1859">
        <v>0</v>
      </c>
      <c r="G1511" s="1872" t="s">
        <v>5300</v>
      </c>
      <c r="H1511" s="1856">
        <v>1</v>
      </c>
      <c r="I1511" s="1856">
        <v>0</v>
      </c>
      <c r="J1511" s="1873">
        <v>1</v>
      </c>
      <c r="K1511" s="1860"/>
      <c r="L1511" s="1854">
        <v>13135050410</v>
      </c>
      <c r="M1511" s="1855">
        <v>1</v>
      </c>
      <c r="N1511" s="1855">
        <v>0</v>
      </c>
      <c r="O1511" s="1856">
        <v>1</v>
      </c>
    </row>
    <row r="1512" spans="3:15">
      <c r="C1512" s="1861" t="s">
        <v>5301</v>
      </c>
      <c r="D1512" s="1858">
        <v>1</v>
      </c>
      <c r="E1512" s="1858">
        <v>1</v>
      </c>
      <c r="F1512" s="1859">
        <v>2</v>
      </c>
      <c r="G1512" s="1872" t="s">
        <v>5301</v>
      </c>
      <c r="H1512" s="1856">
        <v>1</v>
      </c>
      <c r="I1512" s="1856">
        <v>1</v>
      </c>
      <c r="J1512" s="1873">
        <v>2</v>
      </c>
      <c r="K1512" s="1860"/>
      <c r="L1512" s="1854">
        <v>13135050415</v>
      </c>
      <c r="M1512" s="1855">
        <v>1</v>
      </c>
      <c r="N1512" s="1855">
        <v>1</v>
      </c>
      <c r="O1512" s="1856">
        <v>2</v>
      </c>
    </row>
    <row r="1513" spans="3:15">
      <c r="C1513" s="1861" t="s">
        <v>5302</v>
      </c>
      <c r="D1513" s="1858">
        <v>0</v>
      </c>
      <c r="E1513" s="1858">
        <v>0</v>
      </c>
      <c r="F1513" s="1859">
        <v>0</v>
      </c>
      <c r="G1513" s="1872" t="s">
        <v>5302</v>
      </c>
      <c r="H1513" s="1856">
        <v>0</v>
      </c>
      <c r="I1513" s="1856">
        <v>0</v>
      </c>
      <c r="J1513" s="1873">
        <v>0</v>
      </c>
      <c r="K1513" s="1860"/>
      <c r="L1513" s="1854">
        <v>13135050416</v>
      </c>
      <c r="M1513" s="1855">
        <v>0</v>
      </c>
      <c r="N1513" s="1855">
        <v>0</v>
      </c>
      <c r="O1513" s="1856">
        <v>0</v>
      </c>
    </row>
    <row r="1514" spans="3:15">
      <c r="C1514" s="1861" t="s">
        <v>5303</v>
      </c>
      <c r="D1514" s="1858">
        <v>0</v>
      </c>
      <c r="E1514" s="1858">
        <v>0</v>
      </c>
      <c r="F1514" s="1859">
        <v>0</v>
      </c>
      <c r="G1514" s="1872" t="s">
        <v>5303</v>
      </c>
      <c r="H1514" s="1856">
        <v>0</v>
      </c>
      <c r="I1514" s="1856" t="s">
        <v>3908</v>
      </c>
      <c r="J1514" s="1873">
        <v>0</v>
      </c>
      <c r="K1514" s="1860"/>
      <c r="L1514" s="1854">
        <v>13135050417</v>
      </c>
      <c r="M1514" s="1855">
        <v>0</v>
      </c>
      <c r="N1514" s="1855">
        <v>0</v>
      </c>
      <c r="O1514" s="1856">
        <v>0</v>
      </c>
    </row>
    <row r="1515" spans="3:15">
      <c r="C1515" s="1861" t="s">
        <v>5304</v>
      </c>
      <c r="D1515" s="1858">
        <v>0</v>
      </c>
      <c r="E1515" s="1858">
        <v>0</v>
      </c>
      <c r="F1515" s="1859">
        <v>0</v>
      </c>
      <c r="G1515" s="1872" t="s">
        <v>5304</v>
      </c>
      <c r="H1515" s="1856">
        <v>0</v>
      </c>
      <c r="I1515" s="1856">
        <v>0</v>
      </c>
      <c r="J1515" s="1873">
        <v>0</v>
      </c>
      <c r="K1515" s="1860"/>
      <c r="L1515" s="1854">
        <v>13135050418</v>
      </c>
      <c r="M1515" s="1855">
        <v>0</v>
      </c>
      <c r="N1515" s="1855">
        <v>0</v>
      </c>
      <c r="O1515" s="1856">
        <v>0</v>
      </c>
    </row>
    <row r="1516" spans="3:15">
      <c r="C1516" s="1861" t="s">
        <v>5305</v>
      </c>
      <c r="D1516" s="1858">
        <v>0</v>
      </c>
      <c r="E1516" s="1858">
        <v>0</v>
      </c>
      <c r="F1516" s="1859">
        <v>0</v>
      </c>
      <c r="G1516" s="1872" t="s">
        <v>5305</v>
      </c>
      <c r="H1516" s="1856">
        <v>0</v>
      </c>
      <c r="I1516" s="1856" t="s">
        <v>3908</v>
      </c>
      <c r="J1516" s="1873">
        <v>0</v>
      </c>
      <c r="K1516" s="1860"/>
      <c r="L1516" s="1854">
        <v>13135050419</v>
      </c>
      <c r="M1516" s="1855">
        <v>0</v>
      </c>
      <c r="N1516" s="1855">
        <v>0</v>
      </c>
      <c r="O1516" s="1856">
        <v>0</v>
      </c>
    </row>
    <row r="1517" spans="3:15">
      <c r="C1517" s="1861" t="s">
        <v>5306</v>
      </c>
      <c r="D1517" s="1858">
        <v>0</v>
      </c>
      <c r="E1517" s="1858">
        <v>0</v>
      </c>
      <c r="F1517" s="1859">
        <v>0</v>
      </c>
      <c r="G1517" s="1872" t="s">
        <v>5306</v>
      </c>
      <c r="H1517" s="1856">
        <v>0</v>
      </c>
      <c r="I1517" s="1856">
        <v>0</v>
      </c>
      <c r="J1517" s="1873">
        <v>0</v>
      </c>
      <c r="K1517" s="1860"/>
      <c r="L1517" s="1854">
        <v>13135050421</v>
      </c>
      <c r="M1517" s="1855">
        <v>0</v>
      </c>
      <c r="N1517" s="1855">
        <v>0</v>
      </c>
      <c r="O1517" s="1856">
        <v>0</v>
      </c>
    </row>
    <row r="1518" spans="3:15">
      <c r="C1518" s="1861" t="s">
        <v>5307</v>
      </c>
      <c r="D1518" s="1858">
        <v>0</v>
      </c>
      <c r="E1518" s="1858">
        <v>0</v>
      </c>
      <c r="F1518" s="1859">
        <v>0</v>
      </c>
      <c r="G1518" s="1872" t="s">
        <v>5307</v>
      </c>
      <c r="H1518" s="1856">
        <v>0</v>
      </c>
      <c r="I1518" s="1856">
        <v>0</v>
      </c>
      <c r="J1518" s="1873">
        <v>0</v>
      </c>
      <c r="K1518" s="1860"/>
      <c r="L1518" s="1854">
        <v>13135050422</v>
      </c>
      <c r="M1518" s="1855">
        <v>0</v>
      </c>
      <c r="N1518" s="1855">
        <v>0</v>
      </c>
      <c r="O1518" s="1856">
        <v>0</v>
      </c>
    </row>
    <row r="1519" spans="3:15">
      <c r="C1519" s="1861" t="s">
        <v>5308</v>
      </c>
      <c r="D1519" s="1858">
        <v>0</v>
      </c>
      <c r="E1519" s="1858">
        <v>0</v>
      </c>
      <c r="F1519" s="1859">
        <v>0</v>
      </c>
      <c r="G1519" s="1872" t="s">
        <v>5308</v>
      </c>
      <c r="H1519" s="1856">
        <v>0</v>
      </c>
      <c r="I1519" s="1856" t="s">
        <v>3908</v>
      </c>
      <c r="J1519" s="1873">
        <v>0</v>
      </c>
      <c r="K1519" s="1860"/>
      <c r="L1519" s="1854">
        <v>13135050423</v>
      </c>
      <c r="M1519" s="1855">
        <v>0</v>
      </c>
      <c r="N1519" s="1855">
        <v>0</v>
      </c>
      <c r="O1519" s="1856">
        <v>0</v>
      </c>
    </row>
    <row r="1520" spans="3:15">
      <c r="C1520" s="1861" t="s">
        <v>5309</v>
      </c>
      <c r="D1520" s="1858">
        <v>0</v>
      </c>
      <c r="E1520" s="1858">
        <v>0</v>
      </c>
      <c r="F1520" s="1859">
        <v>0</v>
      </c>
      <c r="G1520" s="1872" t="s">
        <v>5309</v>
      </c>
      <c r="H1520" s="1856">
        <v>0</v>
      </c>
      <c r="I1520" s="1856" t="s">
        <v>3908</v>
      </c>
      <c r="J1520" s="1873">
        <v>0</v>
      </c>
      <c r="K1520" s="1860"/>
      <c r="L1520" s="1854">
        <v>13135050424</v>
      </c>
      <c r="M1520" s="1855">
        <v>0</v>
      </c>
      <c r="N1520" s="1855">
        <v>0</v>
      </c>
      <c r="O1520" s="1856">
        <v>0</v>
      </c>
    </row>
    <row r="1521" spans="3:15">
      <c r="C1521" s="1861" t="s">
        <v>5310</v>
      </c>
      <c r="D1521" s="1858">
        <v>1</v>
      </c>
      <c r="E1521" s="1858">
        <v>1</v>
      </c>
      <c r="F1521" s="1859">
        <v>2</v>
      </c>
      <c r="G1521" s="1872" t="s">
        <v>5310</v>
      </c>
      <c r="H1521" s="1856">
        <v>1</v>
      </c>
      <c r="I1521" s="1856">
        <v>1</v>
      </c>
      <c r="J1521" s="1873">
        <v>2</v>
      </c>
      <c r="K1521" s="1860"/>
      <c r="L1521" s="1854">
        <v>13135050425</v>
      </c>
      <c r="M1521" s="1855">
        <v>1</v>
      </c>
      <c r="N1521" s="1855">
        <v>1</v>
      </c>
      <c r="O1521" s="1856">
        <v>2</v>
      </c>
    </row>
    <row r="1522" spans="3:15">
      <c r="C1522" s="1861" t="s">
        <v>5311</v>
      </c>
      <c r="D1522" s="1858">
        <v>1</v>
      </c>
      <c r="E1522" s="1858">
        <v>1</v>
      </c>
      <c r="F1522" s="1859">
        <v>2</v>
      </c>
      <c r="G1522" s="1872" t="s">
        <v>5311</v>
      </c>
      <c r="H1522" s="1856">
        <v>1</v>
      </c>
      <c r="I1522" s="1856">
        <v>1</v>
      </c>
      <c r="J1522" s="1873">
        <v>2</v>
      </c>
      <c r="K1522" s="1860"/>
      <c r="L1522" s="1854">
        <v>13135050426</v>
      </c>
      <c r="M1522" s="1855">
        <v>1</v>
      </c>
      <c r="N1522" s="1855">
        <v>1</v>
      </c>
      <c r="O1522" s="1856">
        <v>2</v>
      </c>
    </row>
    <row r="1523" spans="3:15">
      <c r="C1523" s="1861" t="s">
        <v>5312</v>
      </c>
      <c r="D1523" s="1858">
        <v>1</v>
      </c>
      <c r="E1523" s="1858">
        <v>1</v>
      </c>
      <c r="F1523" s="1859">
        <v>2</v>
      </c>
      <c r="G1523" s="1872" t="s">
        <v>5312</v>
      </c>
      <c r="H1523" s="1856">
        <v>1</v>
      </c>
      <c r="I1523" s="1856">
        <v>1</v>
      </c>
      <c r="J1523" s="1873">
        <v>2</v>
      </c>
      <c r="K1523" s="1860"/>
      <c r="L1523" s="1854">
        <v>13135050427</v>
      </c>
      <c r="M1523" s="1855">
        <v>1</v>
      </c>
      <c r="N1523" s="1855">
        <v>1</v>
      </c>
      <c r="O1523" s="1856">
        <v>2</v>
      </c>
    </row>
    <row r="1524" spans="3:15">
      <c r="C1524" s="1861" t="s">
        <v>5313</v>
      </c>
      <c r="D1524" s="1858">
        <v>1</v>
      </c>
      <c r="E1524" s="1858">
        <v>1</v>
      </c>
      <c r="F1524" s="1859">
        <v>2</v>
      </c>
      <c r="G1524" s="1872" t="s">
        <v>5313</v>
      </c>
      <c r="H1524" s="1856">
        <v>1</v>
      </c>
      <c r="I1524" s="1856">
        <v>1</v>
      </c>
      <c r="J1524" s="1873">
        <v>2</v>
      </c>
      <c r="K1524" s="1860"/>
      <c r="L1524" s="1854">
        <v>13135050428</v>
      </c>
      <c r="M1524" s="1855">
        <v>1</v>
      </c>
      <c r="N1524" s="1855">
        <v>1</v>
      </c>
      <c r="O1524" s="1856">
        <v>2</v>
      </c>
    </row>
    <row r="1525" spans="3:15">
      <c r="C1525" s="1861" t="s">
        <v>5314</v>
      </c>
      <c r="D1525" s="1858">
        <v>1</v>
      </c>
      <c r="E1525" s="1858">
        <v>1</v>
      </c>
      <c r="F1525" s="1859">
        <v>2</v>
      </c>
      <c r="G1525" s="1872" t="s">
        <v>5314</v>
      </c>
      <c r="H1525" s="1856">
        <v>1</v>
      </c>
      <c r="I1525" s="1856">
        <v>1</v>
      </c>
      <c r="J1525" s="1873">
        <v>2</v>
      </c>
      <c r="K1525" s="1860"/>
      <c r="L1525" s="1854">
        <v>13135050429</v>
      </c>
      <c r="M1525" s="1855">
        <v>1</v>
      </c>
      <c r="N1525" s="1855">
        <v>1</v>
      </c>
      <c r="O1525" s="1856">
        <v>2</v>
      </c>
    </row>
    <row r="1526" spans="3:15">
      <c r="C1526" s="1861" t="s">
        <v>5315</v>
      </c>
      <c r="D1526" s="1858">
        <v>1</v>
      </c>
      <c r="E1526" s="1858">
        <v>1</v>
      </c>
      <c r="F1526" s="1859">
        <v>2</v>
      </c>
      <c r="G1526" s="1872" t="s">
        <v>5315</v>
      </c>
      <c r="H1526" s="1856">
        <v>1</v>
      </c>
      <c r="I1526" s="1856">
        <v>0</v>
      </c>
      <c r="J1526" s="1873">
        <v>1</v>
      </c>
      <c r="K1526" s="1860"/>
      <c r="L1526" s="1854">
        <v>13135050430</v>
      </c>
      <c r="M1526" s="1855">
        <v>1</v>
      </c>
      <c r="N1526" s="1855">
        <v>1</v>
      </c>
      <c r="O1526" s="1856">
        <v>2</v>
      </c>
    </row>
    <row r="1527" spans="3:15">
      <c r="C1527" s="1861" t="s">
        <v>5316</v>
      </c>
      <c r="D1527" s="1858">
        <v>0</v>
      </c>
      <c r="E1527" s="1858">
        <v>0</v>
      </c>
      <c r="F1527" s="1859">
        <v>0</v>
      </c>
      <c r="G1527" s="1872" t="s">
        <v>5316</v>
      </c>
      <c r="H1527" s="1856">
        <v>0</v>
      </c>
      <c r="I1527" s="1856">
        <v>0</v>
      </c>
      <c r="J1527" s="1873">
        <v>0</v>
      </c>
      <c r="K1527" s="1860"/>
      <c r="L1527" s="1854">
        <v>13135050431</v>
      </c>
      <c r="M1527" s="1855">
        <v>0</v>
      </c>
      <c r="N1527" s="1855">
        <v>0</v>
      </c>
      <c r="O1527" s="1856">
        <v>0</v>
      </c>
    </row>
    <row r="1528" spans="3:15">
      <c r="C1528" s="1861" t="s">
        <v>5317</v>
      </c>
      <c r="D1528" s="1858">
        <v>1</v>
      </c>
      <c r="E1528" s="1858">
        <v>1</v>
      </c>
      <c r="F1528" s="1859">
        <v>2</v>
      </c>
      <c r="G1528" s="1872" t="s">
        <v>5317</v>
      </c>
      <c r="H1528" s="1856">
        <v>1</v>
      </c>
      <c r="I1528" s="1856" t="s">
        <v>3908</v>
      </c>
      <c r="J1528" s="1873">
        <v>1</v>
      </c>
      <c r="K1528" s="1860"/>
      <c r="L1528" s="1854">
        <v>13135050432</v>
      </c>
      <c r="M1528" s="1855">
        <v>1</v>
      </c>
      <c r="N1528" s="1855">
        <v>1</v>
      </c>
      <c r="O1528" s="1856">
        <v>2</v>
      </c>
    </row>
    <row r="1529" spans="3:15">
      <c r="C1529" s="1861" t="s">
        <v>5318</v>
      </c>
      <c r="D1529" s="1858">
        <v>0</v>
      </c>
      <c r="E1529" s="1858">
        <v>0</v>
      </c>
      <c r="F1529" s="1859">
        <v>0</v>
      </c>
      <c r="G1529" s="1872" t="s">
        <v>5318</v>
      </c>
      <c r="H1529" s="1856">
        <v>1</v>
      </c>
      <c r="I1529" s="1856">
        <v>0</v>
      </c>
      <c r="J1529" s="1873">
        <v>1</v>
      </c>
      <c r="K1529" s="1860"/>
      <c r="L1529" s="1854">
        <v>13135050433</v>
      </c>
      <c r="M1529" s="1855">
        <v>1</v>
      </c>
      <c r="N1529" s="1855">
        <v>0</v>
      </c>
      <c r="O1529" s="1856">
        <v>1</v>
      </c>
    </row>
    <row r="1530" spans="3:15">
      <c r="C1530" s="1861" t="s">
        <v>5319</v>
      </c>
      <c r="D1530" s="1858">
        <v>0</v>
      </c>
      <c r="E1530" s="1858">
        <v>0</v>
      </c>
      <c r="F1530" s="1859">
        <v>0</v>
      </c>
      <c r="G1530" s="1872" t="s">
        <v>5319</v>
      </c>
      <c r="H1530" s="1856">
        <v>1</v>
      </c>
      <c r="I1530" s="1856">
        <v>0</v>
      </c>
      <c r="J1530" s="1873">
        <v>1</v>
      </c>
      <c r="K1530" s="1860"/>
      <c r="L1530" s="1854">
        <v>13135050434</v>
      </c>
      <c r="M1530" s="1855">
        <v>1</v>
      </c>
      <c r="N1530" s="1855">
        <v>0</v>
      </c>
      <c r="O1530" s="1856">
        <v>1</v>
      </c>
    </row>
    <row r="1531" spans="3:15">
      <c r="C1531" s="1861" t="s">
        <v>5320</v>
      </c>
      <c r="D1531" s="1858">
        <v>1</v>
      </c>
      <c r="E1531" s="1858">
        <v>0</v>
      </c>
      <c r="F1531" s="1859">
        <v>1</v>
      </c>
      <c r="G1531" s="1872" t="s">
        <v>5320</v>
      </c>
      <c r="H1531" s="1856">
        <v>0</v>
      </c>
      <c r="I1531" s="1856">
        <v>0</v>
      </c>
      <c r="J1531" s="1873">
        <v>0</v>
      </c>
      <c r="K1531" s="1860"/>
      <c r="L1531" s="1854">
        <v>13135050435</v>
      </c>
      <c r="M1531" s="1855">
        <v>1</v>
      </c>
      <c r="N1531" s="1855">
        <v>0</v>
      </c>
      <c r="O1531" s="1856">
        <v>1</v>
      </c>
    </row>
    <row r="1532" spans="3:15">
      <c r="C1532" s="1861" t="s">
        <v>5321</v>
      </c>
      <c r="D1532" s="1858">
        <v>0</v>
      </c>
      <c r="E1532" s="1858">
        <v>0</v>
      </c>
      <c r="F1532" s="1859">
        <v>0</v>
      </c>
      <c r="G1532" s="1872" t="s">
        <v>5321</v>
      </c>
      <c r="H1532" s="1856">
        <v>0</v>
      </c>
      <c r="I1532" s="1856">
        <v>0</v>
      </c>
      <c r="J1532" s="1873">
        <v>0</v>
      </c>
      <c r="K1532" s="1860"/>
      <c r="L1532" s="1854">
        <v>13135050436</v>
      </c>
      <c r="M1532" s="1855">
        <v>0</v>
      </c>
      <c r="N1532" s="1855">
        <v>0</v>
      </c>
      <c r="O1532" s="1856">
        <v>0</v>
      </c>
    </row>
    <row r="1533" spans="3:15">
      <c r="C1533" s="1861" t="s">
        <v>5322</v>
      </c>
      <c r="D1533" s="1858">
        <v>1</v>
      </c>
      <c r="E1533" s="1858">
        <v>0</v>
      </c>
      <c r="F1533" s="1859">
        <v>1</v>
      </c>
      <c r="G1533" s="1872" t="s">
        <v>5322</v>
      </c>
      <c r="H1533" s="1856">
        <v>0</v>
      </c>
      <c r="I1533" s="1856">
        <v>0</v>
      </c>
      <c r="J1533" s="1873">
        <v>0</v>
      </c>
      <c r="K1533" s="1860"/>
      <c r="L1533" s="1854">
        <v>13135050511</v>
      </c>
      <c r="M1533" s="1855">
        <v>1</v>
      </c>
      <c r="N1533" s="1855">
        <v>0</v>
      </c>
      <c r="O1533" s="1856">
        <v>1</v>
      </c>
    </row>
    <row r="1534" spans="3:15">
      <c r="C1534" s="1861" t="s">
        <v>5323</v>
      </c>
      <c r="D1534" s="1858">
        <v>0</v>
      </c>
      <c r="E1534" s="1858">
        <v>0</v>
      </c>
      <c r="F1534" s="1859">
        <v>0</v>
      </c>
      <c r="G1534" s="1872" t="s">
        <v>5323</v>
      </c>
      <c r="H1534" s="1856">
        <v>0</v>
      </c>
      <c r="I1534" s="1856">
        <v>0</v>
      </c>
      <c r="J1534" s="1873">
        <v>0</v>
      </c>
      <c r="K1534" s="1860"/>
      <c r="L1534" s="1854">
        <v>13135050520</v>
      </c>
      <c r="M1534" s="1855">
        <v>0</v>
      </c>
      <c r="N1534" s="1855">
        <v>0</v>
      </c>
      <c r="O1534" s="1856">
        <v>0</v>
      </c>
    </row>
    <row r="1535" spans="3:15">
      <c r="C1535" s="1861" t="s">
        <v>5324</v>
      </c>
      <c r="D1535" s="1858">
        <v>0</v>
      </c>
      <c r="E1535" s="1858">
        <v>0</v>
      </c>
      <c r="F1535" s="1859">
        <v>0</v>
      </c>
      <c r="G1535" s="1872" t="s">
        <v>5324</v>
      </c>
      <c r="H1535" s="1856">
        <v>0</v>
      </c>
      <c r="I1535" s="1856">
        <v>0</v>
      </c>
      <c r="J1535" s="1873">
        <v>0</v>
      </c>
      <c r="K1535" s="1860"/>
      <c r="L1535" s="1854">
        <v>13135050521</v>
      </c>
      <c r="M1535" s="1855">
        <v>0</v>
      </c>
      <c r="N1535" s="1855">
        <v>0</v>
      </c>
      <c r="O1535" s="1856">
        <v>0</v>
      </c>
    </row>
    <row r="1536" spans="3:15">
      <c r="C1536" s="1861" t="s">
        <v>5325</v>
      </c>
      <c r="D1536" s="1858">
        <v>0</v>
      </c>
      <c r="E1536" s="1858">
        <v>0</v>
      </c>
      <c r="F1536" s="1859">
        <v>0</v>
      </c>
      <c r="G1536" s="1872" t="s">
        <v>5325</v>
      </c>
      <c r="H1536" s="1856">
        <v>0</v>
      </c>
      <c r="I1536" s="1856">
        <v>0</v>
      </c>
      <c r="J1536" s="1873">
        <v>0</v>
      </c>
      <c r="K1536" s="1860"/>
      <c r="L1536" s="1854">
        <v>13135050522</v>
      </c>
      <c r="M1536" s="1855">
        <v>0</v>
      </c>
      <c r="N1536" s="1855">
        <v>0</v>
      </c>
      <c r="O1536" s="1856">
        <v>0</v>
      </c>
    </row>
    <row r="1537" spans="3:15">
      <c r="C1537" s="1861" t="s">
        <v>5326</v>
      </c>
      <c r="D1537" s="1858">
        <v>1</v>
      </c>
      <c r="E1537" s="1858">
        <v>1</v>
      </c>
      <c r="F1537" s="1859">
        <v>2</v>
      </c>
      <c r="G1537" s="1872" t="s">
        <v>5326</v>
      </c>
      <c r="H1537" s="1856">
        <v>0</v>
      </c>
      <c r="I1537" s="1856" t="s">
        <v>3908</v>
      </c>
      <c r="J1537" s="1873">
        <v>0</v>
      </c>
      <c r="K1537" s="1860"/>
      <c r="L1537" s="1854">
        <v>13135050523</v>
      </c>
      <c r="M1537" s="1855">
        <v>1</v>
      </c>
      <c r="N1537" s="1855">
        <v>1</v>
      </c>
      <c r="O1537" s="1856">
        <v>2</v>
      </c>
    </row>
    <row r="1538" spans="3:15">
      <c r="C1538" s="1861" t="s">
        <v>5327</v>
      </c>
      <c r="D1538" s="1858">
        <v>0</v>
      </c>
      <c r="E1538" s="1858">
        <v>0</v>
      </c>
      <c r="F1538" s="1859">
        <v>0</v>
      </c>
      <c r="G1538" s="1872" t="s">
        <v>5327</v>
      </c>
      <c r="H1538" s="1856">
        <v>0</v>
      </c>
      <c r="I1538" s="1856">
        <v>0</v>
      </c>
      <c r="J1538" s="1873">
        <v>0</v>
      </c>
      <c r="K1538" s="1860"/>
      <c r="L1538" s="1854">
        <v>13135050524</v>
      </c>
      <c r="M1538" s="1855">
        <v>0</v>
      </c>
      <c r="N1538" s="1855">
        <v>0</v>
      </c>
      <c r="O1538" s="1856">
        <v>0</v>
      </c>
    </row>
    <row r="1539" spans="3:15">
      <c r="C1539" s="1861" t="s">
        <v>5328</v>
      </c>
      <c r="D1539" s="1858">
        <v>1</v>
      </c>
      <c r="E1539" s="1858">
        <v>1</v>
      </c>
      <c r="F1539" s="1859">
        <v>2</v>
      </c>
      <c r="G1539" s="1872" t="s">
        <v>5328</v>
      </c>
      <c r="H1539" s="1856">
        <v>1</v>
      </c>
      <c r="I1539" s="1856">
        <v>1</v>
      </c>
      <c r="J1539" s="1873">
        <v>2</v>
      </c>
      <c r="K1539" s="1860"/>
      <c r="L1539" s="1854">
        <v>13135050525</v>
      </c>
      <c r="M1539" s="1855">
        <v>1</v>
      </c>
      <c r="N1539" s="1855">
        <v>1</v>
      </c>
      <c r="O1539" s="1856">
        <v>2</v>
      </c>
    </row>
    <row r="1540" spans="3:15">
      <c r="C1540" s="1861" t="s">
        <v>5329</v>
      </c>
      <c r="D1540" s="1858">
        <v>0</v>
      </c>
      <c r="E1540" s="1858">
        <v>0</v>
      </c>
      <c r="F1540" s="1859">
        <v>0</v>
      </c>
      <c r="G1540" s="1872" t="s">
        <v>5329</v>
      </c>
      <c r="H1540" s="1856">
        <v>1</v>
      </c>
      <c r="I1540" s="1856">
        <v>0</v>
      </c>
      <c r="J1540" s="1873">
        <v>1</v>
      </c>
      <c r="K1540" s="1860"/>
      <c r="L1540" s="1854">
        <v>13135050526</v>
      </c>
      <c r="M1540" s="1855">
        <v>1</v>
      </c>
      <c r="N1540" s="1855">
        <v>0</v>
      </c>
      <c r="O1540" s="1856">
        <v>1</v>
      </c>
    </row>
    <row r="1541" spans="3:15">
      <c r="C1541" s="1861" t="s">
        <v>5330</v>
      </c>
      <c r="D1541" s="1858">
        <v>1</v>
      </c>
      <c r="E1541" s="1858">
        <v>1</v>
      </c>
      <c r="F1541" s="1859">
        <v>2</v>
      </c>
      <c r="G1541" s="1872" t="s">
        <v>5330</v>
      </c>
      <c r="H1541" s="1856">
        <v>1</v>
      </c>
      <c r="I1541" s="1856">
        <v>1</v>
      </c>
      <c r="J1541" s="1873">
        <v>2</v>
      </c>
      <c r="K1541" s="1860"/>
      <c r="L1541" s="1854">
        <v>13135050527</v>
      </c>
      <c r="M1541" s="1855">
        <v>1</v>
      </c>
      <c r="N1541" s="1855">
        <v>1</v>
      </c>
      <c r="O1541" s="1856">
        <v>2</v>
      </c>
    </row>
    <row r="1542" spans="3:15">
      <c r="C1542" s="1861" t="s">
        <v>5331</v>
      </c>
      <c r="D1542" s="1858">
        <v>1</v>
      </c>
      <c r="E1542" s="1858">
        <v>1</v>
      </c>
      <c r="F1542" s="1859">
        <v>2</v>
      </c>
      <c r="G1542" s="1872" t="s">
        <v>5331</v>
      </c>
      <c r="H1542" s="1856">
        <v>1</v>
      </c>
      <c r="I1542" s="1856">
        <v>1</v>
      </c>
      <c r="J1542" s="1873">
        <v>2</v>
      </c>
      <c r="K1542" s="1860"/>
      <c r="L1542" s="1854">
        <v>13135050528</v>
      </c>
      <c r="M1542" s="1855">
        <v>1</v>
      </c>
      <c r="N1542" s="1855">
        <v>1</v>
      </c>
      <c r="O1542" s="1856">
        <v>2</v>
      </c>
    </row>
    <row r="1543" spans="3:15">
      <c r="C1543" s="1861" t="s">
        <v>5332</v>
      </c>
      <c r="D1543" s="1858">
        <v>1</v>
      </c>
      <c r="E1543" s="1858">
        <v>0</v>
      </c>
      <c r="F1543" s="1859">
        <v>1</v>
      </c>
      <c r="G1543" s="1872" t="s">
        <v>5332</v>
      </c>
      <c r="H1543" s="1856">
        <v>1</v>
      </c>
      <c r="I1543" s="1856" t="s">
        <v>3908</v>
      </c>
      <c r="J1543" s="1873">
        <v>1</v>
      </c>
      <c r="K1543" s="1860"/>
      <c r="L1543" s="1854">
        <v>13135050529</v>
      </c>
      <c r="M1543" s="1855">
        <v>1</v>
      </c>
      <c r="N1543" s="1855">
        <v>0</v>
      </c>
      <c r="O1543" s="1856">
        <v>1</v>
      </c>
    </row>
    <row r="1544" spans="3:15">
      <c r="C1544" s="1861" t="s">
        <v>5333</v>
      </c>
      <c r="D1544" s="1858">
        <v>1</v>
      </c>
      <c r="E1544" s="1858">
        <v>1</v>
      </c>
      <c r="F1544" s="1859">
        <v>2</v>
      </c>
      <c r="G1544" s="1872" t="s">
        <v>5333</v>
      </c>
      <c r="H1544" s="1856">
        <v>1</v>
      </c>
      <c r="I1544" s="1856">
        <v>1</v>
      </c>
      <c r="J1544" s="1873">
        <v>2</v>
      </c>
      <c r="K1544" s="1860"/>
      <c r="L1544" s="1854">
        <v>13135050530</v>
      </c>
      <c r="M1544" s="1855">
        <v>1</v>
      </c>
      <c r="N1544" s="1855">
        <v>1</v>
      </c>
      <c r="O1544" s="1856">
        <v>2</v>
      </c>
    </row>
    <row r="1545" spans="3:15">
      <c r="C1545" s="1861" t="s">
        <v>5334</v>
      </c>
      <c r="D1545" s="1858">
        <v>1</v>
      </c>
      <c r="E1545" s="1858">
        <v>0</v>
      </c>
      <c r="F1545" s="1859">
        <v>1</v>
      </c>
      <c r="G1545" s="1872" t="s">
        <v>5334</v>
      </c>
      <c r="H1545" s="1856">
        <v>0</v>
      </c>
      <c r="I1545" s="1856">
        <v>0</v>
      </c>
      <c r="J1545" s="1873">
        <v>0</v>
      </c>
      <c r="K1545" s="1860"/>
      <c r="L1545" s="1854">
        <v>13135050531</v>
      </c>
      <c r="M1545" s="1855">
        <v>1</v>
      </c>
      <c r="N1545" s="1855">
        <v>0</v>
      </c>
      <c r="O1545" s="1856">
        <v>1</v>
      </c>
    </row>
    <row r="1546" spans="3:15">
      <c r="C1546" s="1861" t="s">
        <v>5335</v>
      </c>
      <c r="D1546" s="1858">
        <v>1</v>
      </c>
      <c r="E1546" s="1858">
        <v>0</v>
      </c>
      <c r="F1546" s="1859">
        <v>1</v>
      </c>
      <c r="G1546" s="1872" t="s">
        <v>5335</v>
      </c>
      <c r="H1546" s="1856">
        <v>1</v>
      </c>
      <c r="I1546" s="1856">
        <v>0</v>
      </c>
      <c r="J1546" s="1873">
        <v>1</v>
      </c>
      <c r="K1546" s="1860"/>
      <c r="L1546" s="1854">
        <v>13135050532</v>
      </c>
      <c r="M1546" s="1855">
        <v>1</v>
      </c>
      <c r="N1546" s="1855">
        <v>0</v>
      </c>
      <c r="O1546" s="1856">
        <v>1</v>
      </c>
    </row>
    <row r="1547" spans="3:15">
      <c r="C1547" s="1861" t="s">
        <v>5336</v>
      </c>
      <c r="D1547" s="1858">
        <v>1</v>
      </c>
      <c r="E1547" s="1858">
        <v>0</v>
      </c>
      <c r="F1547" s="1859">
        <v>1</v>
      </c>
      <c r="G1547" s="1872" t="s">
        <v>5336</v>
      </c>
      <c r="H1547" s="1856">
        <v>1</v>
      </c>
      <c r="I1547" s="1856">
        <v>0</v>
      </c>
      <c r="J1547" s="1873">
        <v>1</v>
      </c>
      <c r="K1547" s="1860"/>
      <c r="L1547" s="1854">
        <v>13135050533</v>
      </c>
      <c r="M1547" s="1855">
        <v>1</v>
      </c>
      <c r="N1547" s="1855">
        <v>0</v>
      </c>
      <c r="O1547" s="1856">
        <v>1</v>
      </c>
    </row>
    <row r="1548" spans="3:15">
      <c r="C1548" s="1861" t="s">
        <v>5337</v>
      </c>
      <c r="D1548" s="1858">
        <v>1</v>
      </c>
      <c r="E1548" s="1858">
        <v>1</v>
      </c>
      <c r="F1548" s="1859">
        <v>2</v>
      </c>
      <c r="G1548" s="1872" t="s">
        <v>5337</v>
      </c>
      <c r="H1548" s="1856">
        <v>1</v>
      </c>
      <c r="I1548" s="1856" t="s">
        <v>3908</v>
      </c>
      <c r="J1548" s="1873">
        <v>1</v>
      </c>
      <c r="K1548" s="1860"/>
      <c r="L1548" s="1854">
        <v>13135050534</v>
      </c>
      <c r="M1548" s="1855">
        <v>1</v>
      </c>
      <c r="N1548" s="1855">
        <v>1</v>
      </c>
      <c r="O1548" s="1856">
        <v>2</v>
      </c>
    </row>
    <row r="1549" spans="3:15">
      <c r="C1549" s="1861" t="s">
        <v>5338</v>
      </c>
      <c r="D1549" s="1858">
        <v>1</v>
      </c>
      <c r="E1549" s="1858">
        <v>0</v>
      </c>
      <c r="F1549" s="1859">
        <v>1</v>
      </c>
      <c r="G1549" s="1872" t="s">
        <v>5338</v>
      </c>
      <c r="H1549" s="1856">
        <v>1</v>
      </c>
      <c r="I1549" s="1856">
        <v>0</v>
      </c>
      <c r="J1549" s="1873">
        <v>1</v>
      </c>
      <c r="K1549" s="1860"/>
      <c r="L1549" s="1854">
        <v>13135050535</v>
      </c>
      <c r="M1549" s="1855">
        <v>1</v>
      </c>
      <c r="N1549" s="1855">
        <v>0</v>
      </c>
      <c r="O1549" s="1856">
        <v>1</v>
      </c>
    </row>
    <row r="1550" spans="3:15">
      <c r="C1550" s="1861" t="s">
        <v>5339</v>
      </c>
      <c r="D1550" s="1858">
        <v>1</v>
      </c>
      <c r="E1550" s="1858">
        <v>1</v>
      </c>
      <c r="F1550" s="1859">
        <v>2</v>
      </c>
      <c r="G1550" s="1872" t="s">
        <v>5339</v>
      </c>
      <c r="H1550" s="1856">
        <v>1</v>
      </c>
      <c r="I1550" s="1856">
        <v>0</v>
      </c>
      <c r="J1550" s="1873">
        <v>1</v>
      </c>
      <c r="K1550" s="1860"/>
      <c r="L1550" s="1854">
        <v>13135050536</v>
      </c>
      <c r="M1550" s="1855">
        <v>1</v>
      </c>
      <c r="N1550" s="1855">
        <v>1</v>
      </c>
      <c r="O1550" s="1856">
        <v>2</v>
      </c>
    </row>
    <row r="1551" spans="3:15">
      <c r="C1551" s="1861" t="s">
        <v>5340</v>
      </c>
      <c r="D1551" s="1858">
        <v>0</v>
      </c>
      <c r="E1551" s="1858">
        <v>0</v>
      </c>
      <c r="F1551" s="1859">
        <v>0</v>
      </c>
      <c r="G1551" s="1872" t="s">
        <v>5340</v>
      </c>
      <c r="H1551" s="1856">
        <v>0</v>
      </c>
      <c r="I1551" s="1856" t="s">
        <v>3908</v>
      </c>
      <c r="J1551" s="1873">
        <v>0</v>
      </c>
      <c r="K1551" s="1860"/>
      <c r="L1551" s="1854">
        <v>13135050537</v>
      </c>
      <c r="M1551" s="1855">
        <v>0</v>
      </c>
      <c r="N1551" s="1855">
        <v>0</v>
      </c>
      <c r="O1551" s="1856">
        <v>0</v>
      </c>
    </row>
    <row r="1552" spans="3:15">
      <c r="C1552" s="1861" t="s">
        <v>5341</v>
      </c>
      <c r="D1552" s="1858">
        <v>1</v>
      </c>
      <c r="E1552" s="1858">
        <v>1</v>
      </c>
      <c r="F1552" s="1859">
        <v>2</v>
      </c>
      <c r="G1552" s="1872" t="s">
        <v>5341</v>
      </c>
      <c r="H1552" s="1856">
        <v>1</v>
      </c>
      <c r="I1552" s="1856">
        <v>0</v>
      </c>
      <c r="J1552" s="1873">
        <v>1</v>
      </c>
      <c r="K1552" s="1860"/>
      <c r="L1552" s="1854">
        <v>13135050538</v>
      </c>
      <c r="M1552" s="1855">
        <v>1</v>
      </c>
      <c r="N1552" s="1855">
        <v>1</v>
      </c>
      <c r="O1552" s="1856">
        <v>2</v>
      </c>
    </row>
    <row r="1553" spans="3:15">
      <c r="C1553" s="1861" t="s">
        <v>5342</v>
      </c>
      <c r="D1553" s="1858">
        <v>0</v>
      </c>
      <c r="E1553" s="1858">
        <v>0</v>
      </c>
      <c r="F1553" s="1859">
        <v>0</v>
      </c>
      <c r="G1553" s="1872" t="s">
        <v>5342</v>
      </c>
      <c r="H1553" s="1856">
        <v>0</v>
      </c>
      <c r="I1553" s="1856">
        <v>0</v>
      </c>
      <c r="J1553" s="1873">
        <v>0</v>
      </c>
      <c r="K1553" s="1860"/>
      <c r="L1553" s="1854">
        <v>13135050539</v>
      </c>
      <c r="M1553" s="1855">
        <v>0</v>
      </c>
      <c r="N1553" s="1855">
        <v>0</v>
      </c>
      <c r="O1553" s="1856">
        <v>0</v>
      </c>
    </row>
    <row r="1554" spans="3:15">
      <c r="C1554" s="1861" t="s">
        <v>5343</v>
      </c>
      <c r="D1554" s="1858">
        <v>1</v>
      </c>
      <c r="E1554" s="1858">
        <v>1</v>
      </c>
      <c r="F1554" s="1859">
        <v>2</v>
      </c>
      <c r="G1554" s="1872" t="s">
        <v>5343</v>
      </c>
      <c r="H1554" s="1856">
        <v>0</v>
      </c>
      <c r="I1554" s="1856">
        <v>0</v>
      </c>
      <c r="J1554" s="1873">
        <v>0</v>
      </c>
      <c r="K1554" s="1860"/>
      <c r="L1554" s="1854">
        <v>13135050540</v>
      </c>
      <c r="M1554" s="1855">
        <v>1</v>
      </c>
      <c r="N1554" s="1855">
        <v>1</v>
      </c>
      <c r="O1554" s="1856">
        <v>2</v>
      </c>
    </row>
    <row r="1555" spans="3:15">
      <c r="C1555" s="1861" t="s">
        <v>5344</v>
      </c>
      <c r="D1555" s="1858">
        <v>0</v>
      </c>
      <c r="E1555" s="1858">
        <v>0</v>
      </c>
      <c r="F1555" s="1859">
        <v>0</v>
      </c>
      <c r="G1555" s="1872" t="s">
        <v>5344</v>
      </c>
      <c r="H1555" s="1856">
        <v>0</v>
      </c>
      <c r="I1555" s="1856" t="s">
        <v>3908</v>
      </c>
      <c r="J1555" s="1873">
        <v>0</v>
      </c>
      <c r="K1555" s="1860"/>
      <c r="L1555" s="1854">
        <v>13135050541</v>
      </c>
      <c r="M1555" s="1855">
        <v>0</v>
      </c>
      <c r="N1555" s="1855">
        <v>0</v>
      </c>
      <c r="O1555" s="1856">
        <v>0</v>
      </c>
    </row>
    <row r="1556" spans="3:15">
      <c r="C1556" s="1861" t="s">
        <v>5345</v>
      </c>
      <c r="D1556" s="1858">
        <v>0</v>
      </c>
      <c r="E1556" s="1858">
        <v>0</v>
      </c>
      <c r="F1556" s="1859">
        <v>0</v>
      </c>
      <c r="G1556" s="1872" t="s">
        <v>5345</v>
      </c>
      <c r="H1556" s="1856">
        <v>0</v>
      </c>
      <c r="I1556" s="1856">
        <v>0</v>
      </c>
      <c r="J1556" s="1873">
        <v>0</v>
      </c>
      <c r="K1556" s="1860"/>
      <c r="L1556" s="1854">
        <v>13135050542</v>
      </c>
      <c r="M1556" s="1855">
        <v>0</v>
      </c>
      <c r="N1556" s="1855">
        <v>0</v>
      </c>
      <c r="O1556" s="1856">
        <v>0</v>
      </c>
    </row>
    <row r="1557" spans="3:15">
      <c r="C1557" s="1861" t="s">
        <v>5346</v>
      </c>
      <c r="D1557" s="1858">
        <v>1</v>
      </c>
      <c r="E1557" s="1858">
        <v>1</v>
      </c>
      <c r="F1557" s="1859">
        <v>2</v>
      </c>
      <c r="G1557" s="1872" t="s">
        <v>5346</v>
      </c>
      <c r="H1557" s="1856">
        <v>1</v>
      </c>
      <c r="I1557" s="1856">
        <v>1</v>
      </c>
      <c r="J1557" s="1873">
        <v>2</v>
      </c>
      <c r="K1557" s="1860"/>
      <c r="L1557" s="1854">
        <v>13135050543</v>
      </c>
      <c r="M1557" s="1855">
        <v>1</v>
      </c>
      <c r="N1557" s="1855">
        <v>1</v>
      </c>
      <c r="O1557" s="1856">
        <v>2</v>
      </c>
    </row>
    <row r="1558" spans="3:15">
      <c r="C1558" s="1861" t="s">
        <v>5347</v>
      </c>
      <c r="D1558" s="1858">
        <v>1</v>
      </c>
      <c r="E1558" s="1858">
        <v>1</v>
      </c>
      <c r="F1558" s="1859">
        <v>2</v>
      </c>
      <c r="G1558" s="1872" t="s">
        <v>5347</v>
      </c>
      <c r="H1558" s="1856">
        <v>1</v>
      </c>
      <c r="I1558" s="1856">
        <v>1</v>
      </c>
      <c r="J1558" s="1873">
        <v>2</v>
      </c>
      <c r="K1558" s="1860"/>
      <c r="L1558" s="1854">
        <v>13135050544</v>
      </c>
      <c r="M1558" s="1855">
        <v>1</v>
      </c>
      <c r="N1558" s="1855">
        <v>1</v>
      </c>
      <c r="O1558" s="1856">
        <v>2</v>
      </c>
    </row>
    <row r="1559" spans="3:15">
      <c r="C1559" s="1861" t="s">
        <v>5348</v>
      </c>
      <c r="D1559" s="1858">
        <v>1</v>
      </c>
      <c r="E1559" s="1858">
        <v>0</v>
      </c>
      <c r="F1559" s="1859">
        <v>1</v>
      </c>
      <c r="G1559" s="1872" t="s">
        <v>5348</v>
      </c>
      <c r="H1559" s="1856">
        <v>1</v>
      </c>
      <c r="I1559" s="1856">
        <v>0</v>
      </c>
      <c r="J1559" s="1873">
        <v>1</v>
      </c>
      <c r="K1559" s="1860"/>
      <c r="L1559" s="1854">
        <v>13135050545</v>
      </c>
      <c r="M1559" s="1855">
        <v>1</v>
      </c>
      <c r="N1559" s="1855">
        <v>0</v>
      </c>
      <c r="O1559" s="1856">
        <v>1</v>
      </c>
    </row>
    <row r="1560" spans="3:15">
      <c r="C1560" s="1861" t="s">
        <v>5349</v>
      </c>
      <c r="D1560" s="1858">
        <v>1</v>
      </c>
      <c r="E1560" s="1858">
        <v>1</v>
      </c>
      <c r="F1560" s="1859">
        <v>2</v>
      </c>
      <c r="G1560" s="1872" t="s">
        <v>5349</v>
      </c>
      <c r="H1560" s="1856">
        <v>1</v>
      </c>
      <c r="I1560" s="1856">
        <v>1</v>
      </c>
      <c r="J1560" s="1873">
        <v>2</v>
      </c>
      <c r="K1560" s="1860"/>
      <c r="L1560" s="1854">
        <v>13135050546</v>
      </c>
      <c r="M1560" s="1855">
        <v>1</v>
      </c>
      <c r="N1560" s="1855">
        <v>1</v>
      </c>
      <c r="O1560" s="1856">
        <v>2</v>
      </c>
    </row>
    <row r="1561" spans="3:15">
      <c r="C1561" s="1861" t="s">
        <v>5350</v>
      </c>
      <c r="D1561" s="1858">
        <v>1</v>
      </c>
      <c r="E1561" s="1858">
        <v>1</v>
      </c>
      <c r="F1561" s="1859">
        <v>2</v>
      </c>
      <c r="G1561" s="1872" t="s">
        <v>5350</v>
      </c>
      <c r="H1561" s="1856">
        <v>1</v>
      </c>
      <c r="I1561" s="1856">
        <v>1</v>
      </c>
      <c r="J1561" s="1873">
        <v>2</v>
      </c>
      <c r="K1561" s="1860"/>
      <c r="L1561" s="1854">
        <v>13135050547</v>
      </c>
      <c r="M1561" s="1855">
        <v>1</v>
      </c>
      <c r="N1561" s="1855">
        <v>1</v>
      </c>
      <c r="O1561" s="1856">
        <v>2</v>
      </c>
    </row>
    <row r="1562" spans="3:15">
      <c r="C1562" s="1861" t="s">
        <v>5351</v>
      </c>
      <c r="D1562" s="1858">
        <v>1</v>
      </c>
      <c r="E1562" s="1858">
        <v>1</v>
      </c>
      <c r="F1562" s="1859">
        <v>2</v>
      </c>
      <c r="G1562" s="1872" t="s">
        <v>5351</v>
      </c>
      <c r="H1562" s="1856">
        <v>1</v>
      </c>
      <c r="I1562" s="1856">
        <v>1</v>
      </c>
      <c r="J1562" s="1873">
        <v>2</v>
      </c>
      <c r="K1562" s="1860"/>
      <c r="L1562" s="1854">
        <v>13135050548</v>
      </c>
      <c r="M1562" s="1855">
        <v>1</v>
      </c>
      <c r="N1562" s="1855">
        <v>1</v>
      </c>
      <c r="O1562" s="1856">
        <v>2</v>
      </c>
    </row>
    <row r="1563" spans="3:15">
      <c r="C1563" s="1861" t="s">
        <v>5352</v>
      </c>
      <c r="D1563" s="1858">
        <v>1</v>
      </c>
      <c r="E1563" s="1858">
        <v>1</v>
      </c>
      <c r="F1563" s="1859">
        <v>2</v>
      </c>
      <c r="G1563" s="1872" t="s">
        <v>5352</v>
      </c>
      <c r="H1563" s="1856">
        <v>1</v>
      </c>
      <c r="I1563" s="1856">
        <v>1</v>
      </c>
      <c r="J1563" s="1873">
        <v>2</v>
      </c>
      <c r="K1563" s="1860"/>
      <c r="L1563" s="1854">
        <v>13135050549</v>
      </c>
      <c r="M1563" s="1855">
        <v>1</v>
      </c>
      <c r="N1563" s="1855">
        <v>1</v>
      </c>
      <c r="O1563" s="1856">
        <v>2</v>
      </c>
    </row>
    <row r="1564" spans="3:15">
      <c r="C1564" s="1861" t="s">
        <v>5353</v>
      </c>
      <c r="D1564" s="1858">
        <v>1</v>
      </c>
      <c r="E1564" s="1858">
        <v>1</v>
      </c>
      <c r="F1564" s="1859">
        <v>2</v>
      </c>
      <c r="G1564" s="1872" t="s">
        <v>5353</v>
      </c>
      <c r="H1564" s="1856">
        <v>1</v>
      </c>
      <c r="I1564" s="1856">
        <v>1</v>
      </c>
      <c r="J1564" s="1873">
        <v>2</v>
      </c>
      <c r="K1564" s="1860"/>
      <c r="L1564" s="1854">
        <v>13135050605</v>
      </c>
      <c r="M1564" s="1855">
        <v>1</v>
      </c>
      <c r="N1564" s="1855">
        <v>1</v>
      </c>
      <c r="O1564" s="1856">
        <v>2</v>
      </c>
    </row>
    <row r="1565" spans="3:15">
      <c r="C1565" s="1861" t="s">
        <v>5354</v>
      </c>
      <c r="D1565" s="1858">
        <v>1</v>
      </c>
      <c r="E1565" s="1858">
        <v>1</v>
      </c>
      <c r="F1565" s="1859">
        <v>2</v>
      </c>
      <c r="G1565" s="1872" t="s">
        <v>5354</v>
      </c>
      <c r="H1565" s="1856">
        <v>1</v>
      </c>
      <c r="I1565" s="1856">
        <v>1</v>
      </c>
      <c r="J1565" s="1873">
        <v>2</v>
      </c>
      <c r="K1565" s="1860"/>
      <c r="L1565" s="1854">
        <v>13135050606</v>
      </c>
      <c r="M1565" s="1855">
        <v>1</v>
      </c>
      <c r="N1565" s="1855">
        <v>1</v>
      </c>
      <c r="O1565" s="1856">
        <v>2</v>
      </c>
    </row>
    <row r="1566" spans="3:15">
      <c r="C1566" s="1861" t="s">
        <v>5355</v>
      </c>
      <c r="D1566" s="1858">
        <v>1</v>
      </c>
      <c r="E1566" s="1858">
        <v>1</v>
      </c>
      <c r="F1566" s="1859">
        <v>2</v>
      </c>
      <c r="G1566" s="1872" t="s">
        <v>5355</v>
      </c>
      <c r="H1566" s="1856">
        <v>1</v>
      </c>
      <c r="I1566" s="1856">
        <v>1</v>
      </c>
      <c r="J1566" s="1873">
        <v>2</v>
      </c>
      <c r="K1566" s="1860"/>
      <c r="L1566" s="1854">
        <v>13135050607</v>
      </c>
      <c r="M1566" s="1855">
        <v>1</v>
      </c>
      <c r="N1566" s="1855">
        <v>1</v>
      </c>
      <c r="O1566" s="1856">
        <v>2</v>
      </c>
    </row>
    <row r="1567" spans="3:15">
      <c r="C1567" s="1861" t="s">
        <v>5356</v>
      </c>
      <c r="D1567" s="1858">
        <v>1</v>
      </c>
      <c r="E1567" s="1858">
        <v>1</v>
      </c>
      <c r="F1567" s="1859">
        <v>2</v>
      </c>
      <c r="G1567" s="1872" t="s">
        <v>5356</v>
      </c>
      <c r="H1567" s="1856">
        <v>1</v>
      </c>
      <c r="I1567" s="1856">
        <v>1</v>
      </c>
      <c r="J1567" s="1873">
        <v>2</v>
      </c>
      <c r="K1567" s="1860"/>
      <c r="L1567" s="1854">
        <v>13135050608</v>
      </c>
      <c r="M1567" s="1855">
        <v>1</v>
      </c>
      <c r="N1567" s="1855">
        <v>1</v>
      </c>
      <c r="O1567" s="1856">
        <v>2</v>
      </c>
    </row>
    <row r="1568" spans="3:15">
      <c r="C1568" s="1861" t="s">
        <v>5357</v>
      </c>
      <c r="D1568" s="1858">
        <v>1</v>
      </c>
      <c r="E1568" s="1858">
        <v>1</v>
      </c>
      <c r="F1568" s="1859">
        <v>2</v>
      </c>
      <c r="G1568" s="1872" t="s">
        <v>5357</v>
      </c>
      <c r="H1568" s="1856">
        <v>1</v>
      </c>
      <c r="I1568" s="1856">
        <v>1</v>
      </c>
      <c r="J1568" s="1873">
        <v>2</v>
      </c>
      <c r="K1568" s="1860"/>
      <c r="L1568" s="1854">
        <v>13135050609</v>
      </c>
      <c r="M1568" s="1855">
        <v>1</v>
      </c>
      <c r="N1568" s="1855">
        <v>1</v>
      </c>
      <c r="O1568" s="1856">
        <v>2</v>
      </c>
    </row>
    <row r="1569" spans="3:15">
      <c r="C1569" s="1861" t="s">
        <v>5358</v>
      </c>
      <c r="D1569" s="1858">
        <v>1</v>
      </c>
      <c r="E1569" s="1858">
        <v>1</v>
      </c>
      <c r="F1569" s="1859">
        <v>2</v>
      </c>
      <c r="G1569" s="1872" t="s">
        <v>5358</v>
      </c>
      <c r="H1569" s="1856">
        <v>1</v>
      </c>
      <c r="I1569" s="1856">
        <v>1</v>
      </c>
      <c r="J1569" s="1873">
        <v>2</v>
      </c>
      <c r="K1569" s="1860"/>
      <c r="L1569" s="1854">
        <v>13135050610</v>
      </c>
      <c r="M1569" s="1855">
        <v>1</v>
      </c>
      <c r="N1569" s="1855">
        <v>1</v>
      </c>
      <c r="O1569" s="1856">
        <v>2</v>
      </c>
    </row>
    <row r="1570" spans="3:15">
      <c r="C1570" s="1861" t="s">
        <v>5359</v>
      </c>
      <c r="D1570" s="1858">
        <v>0</v>
      </c>
      <c r="E1570" s="1858">
        <v>1</v>
      </c>
      <c r="F1570" s="1859">
        <v>1</v>
      </c>
      <c r="G1570" s="1872" t="s">
        <v>5359</v>
      </c>
      <c r="H1570" s="1856">
        <v>0</v>
      </c>
      <c r="I1570" s="1856">
        <v>1</v>
      </c>
      <c r="J1570" s="1873">
        <v>1</v>
      </c>
      <c r="K1570" s="1860"/>
      <c r="L1570" s="1854">
        <v>13135050709</v>
      </c>
      <c r="M1570" s="1855">
        <v>0</v>
      </c>
      <c r="N1570" s="1855">
        <v>1</v>
      </c>
      <c r="O1570" s="1856">
        <v>1</v>
      </c>
    </row>
    <row r="1571" spans="3:15">
      <c r="C1571" s="1861" t="s">
        <v>5360</v>
      </c>
      <c r="D1571" s="1858">
        <v>1</v>
      </c>
      <c r="E1571" s="1858">
        <v>1</v>
      </c>
      <c r="F1571" s="1859">
        <v>2</v>
      </c>
      <c r="G1571" s="1872" t="s">
        <v>5360</v>
      </c>
      <c r="H1571" s="1856">
        <v>1</v>
      </c>
      <c r="I1571" s="1856">
        <v>1</v>
      </c>
      <c r="J1571" s="1873">
        <v>2</v>
      </c>
      <c r="K1571" s="1860"/>
      <c r="L1571" s="1854">
        <v>13135050712</v>
      </c>
      <c r="M1571" s="1855">
        <v>1</v>
      </c>
      <c r="N1571" s="1855">
        <v>1</v>
      </c>
      <c r="O1571" s="1856">
        <v>2</v>
      </c>
    </row>
    <row r="1572" spans="3:15">
      <c r="C1572" s="1861" t="s">
        <v>5361</v>
      </c>
      <c r="D1572" s="1858">
        <v>1</v>
      </c>
      <c r="E1572" s="1858">
        <v>1</v>
      </c>
      <c r="F1572" s="1859">
        <v>2</v>
      </c>
      <c r="G1572" s="1872" t="s">
        <v>5361</v>
      </c>
      <c r="H1572" s="1856">
        <v>1</v>
      </c>
      <c r="I1572" s="1856">
        <v>1</v>
      </c>
      <c r="J1572" s="1873">
        <v>2</v>
      </c>
      <c r="K1572" s="1860"/>
      <c r="L1572" s="1854">
        <v>13135050713</v>
      </c>
      <c r="M1572" s="1855">
        <v>1</v>
      </c>
      <c r="N1572" s="1855">
        <v>1</v>
      </c>
      <c r="O1572" s="1856">
        <v>2</v>
      </c>
    </row>
    <row r="1573" spans="3:15">
      <c r="C1573" s="1861" t="s">
        <v>5362</v>
      </c>
      <c r="D1573" s="1858">
        <v>1</v>
      </c>
      <c r="E1573" s="1858">
        <v>1</v>
      </c>
      <c r="F1573" s="1859">
        <v>2</v>
      </c>
      <c r="G1573" s="1872" t="s">
        <v>5362</v>
      </c>
      <c r="H1573" s="1856">
        <v>1</v>
      </c>
      <c r="I1573" s="1856">
        <v>1</v>
      </c>
      <c r="J1573" s="1873">
        <v>2</v>
      </c>
      <c r="K1573" s="1860"/>
      <c r="L1573" s="1854">
        <v>13135050714</v>
      </c>
      <c r="M1573" s="1855">
        <v>1</v>
      </c>
      <c r="N1573" s="1855">
        <v>1</v>
      </c>
      <c r="O1573" s="1856">
        <v>2</v>
      </c>
    </row>
    <row r="1574" spans="3:15">
      <c r="C1574" s="1861" t="s">
        <v>5363</v>
      </c>
      <c r="D1574" s="1858">
        <v>1</v>
      </c>
      <c r="E1574" s="1858">
        <v>1</v>
      </c>
      <c r="F1574" s="1859">
        <v>2</v>
      </c>
      <c r="G1574" s="1872" t="s">
        <v>5363</v>
      </c>
      <c r="H1574" s="1856">
        <v>1</v>
      </c>
      <c r="I1574" s="1856">
        <v>1</v>
      </c>
      <c r="J1574" s="1873">
        <v>2</v>
      </c>
      <c r="K1574" s="1860"/>
      <c r="L1574" s="1854">
        <v>13135050715</v>
      </c>
      <c r="M1574" s="1855">
        <v>1</v>
      </c>
      <c r="N1574" s="1855">
        <v>1</v>
      </c>
      <c r="O1574" s="1856">
        <v>2</v>
      </c>
    </row>
    <row r="1575" spans="3:15">
      <c r="C1575" s="1861" t="s">
        <v>5364</v>
      </c>
      <c r="D1575" s="1858">
        <v>1</v>
      </c>
      <c r="E1575" s="1858">
        <v>1</v>
      </c>
      <c r="F1575" s="1859">
        <v>2</v>
      </c>
      <c r="G1575" s="1872" t="s">
        <v>5364</v>
      </c>
      <c r="H1575" s="1856">
        <v>1</v>
      </c>
      <c r="I1575" s="1856" t="s">
        <v>3908</v>
      </c>
      <c r="J1575" s="1873">
        <v>1</v>
      </c>
      <c r="K1575" s="1860"/>
      <c r="L1575" s="1854">
        <v>13135050718</v>
      </c>
      <c r="M1575" s="1855">
        <v>1</v>
      </c>
      <c r="N1575" s="1855">
        <v>1</v>
      </c>
      <c r="O1575" s="1856">
        <v>2</v>
      </c>
    </row>
    <row r="1576" spans="3:15">
      <c r="C1576" s="1861" t="s">
        <v>5365</v>
      </c>
      <c r="D1576" s="1858">
        <v>1</v>
      </c>
      <c r="E1576" s="1858">
        <v>1</v>
      </c>
      <c r="F1576" s="1859">
        <v>2</v>
      </c>
      <c r="G1576" s="1872" t="s">
        <v>5365</v>
      </c>
      <c r="H1576" s="1856">
        <v>1</v>
      </c>
      <c r="I1576" s="1856">
        <v>0</v>
      </c>
      <c r="J1576" s="1873">
        <v>1</v>
      </c>
      <c r="K1576" s="1860"/>
      <c r="L1576" s="1854">
        <v>13135050719</v>
      </c>
      <c r="M1576" s="1855">
        <v>1</v>
      </c>
      <c r="N1576" s="1855">
        <v>1</v>
      </c>
      <c r="O1576" s="1856">
        <v>2</v>
      </c>
    </row>
    <row r="1577" spans="3:15">
      <c r="C1577" s="1861" t="s">
        <v>5366</v>
      </c>
      <c r="D1577" s="1858">
        <v>1</v>
      </c>
      <c r="E1577" s="1858">
        <v>1</v>
      </c>
      <c r="F1577" s="1859">
        <v>2</v>
      </c>
      <c r="G1577" s="1872" t="s">
        <v>5366</v>
      </c>
      <c r="H1577" s="1856">
        <v>1</v>
      </c>
      <c r="I1577" s="1856">
        <v>1</v>
      </c>
      <c r="J1577" s="1873">
        <v>2</v>
      </c>
      <c r="K1577" s="1860"/>
      <c r="L1577" s="1854">
        <v>13135050720</v>
      </c>
      <c r="M1577" s="1855">
        <v>1</v>
      </c>
      <c r="N1577" s="1855">
        <v>1</v>
      </c>
      <c r="O1577" s="1856">
        <v>2</v>
      </c>
    </row>
    <row r="1578" spans="3:15">
      <c r="C1578" s="1861" t="s">
        <v>5367</v>
      </c>
      <c r="D1578" s="1858">
        <v>1</v>
      </c>
      <c r="E1578" s="1858">
        <v>0</v>
      </c>
      <c r="F1578" s="1859">
        <v>1</v>
      </c>
      <c r="G1578" s="1872" t="s">
        <v>5367</v>
      </c>
      <c r="H1578" s="1856">
        <v>1</v>
      </c>
      <c r="I1578" s="1856">
        <v>1</v>
      </c>
      <c r="J1578" s="1873">
        <v>2</v>
      </c>
      <c r="K1578" s="1860"/>
      <c r="L1578" s="1854">
        <v>13135050721</v>
      </c>
      <c r="M1578" s="1855">
        <v>1</v>
      </c>
      <c r="N1578" s="1855">
        <v>1</v>
      </c>
      <c r="O1578" s="1856">
        <v>2</v>
      </c>
    </row>
    <row r="1579" spans="3:15">
      <c r="C1579" s="1861" t="s">
        <v>5368</v>
      </c>
      <c r="D1579" s="1858">
        <v>0</v>
      </c>
      <c r="E1579" s="1858">
        <v>0</v>
      </c>
      <c r="F1579" s="1859">
        <v>0</v>
      </c>
      <c r="G1579" s="1872" t="s">
        <v>5368</v>
      </c>
      <c r="H1579" s="1856">
        <v>0</v>
      </c>
      <c r="I1579" s="1856">
        <v>0</v>
      </c>
      <c r="J1579" s="1873">
        <v>0</v>
      </c>
      <c r="K1579" s="1860"/>
      <c r="L1579" s="1854">
        <v>13135050722</v>
      </c>
      <c r="M1579" s="1855">
        <v>0</v>
      </c>
      <c r="N1579" s="1855">
        <v>0</v>
      </c>
      <c r="O1579" s="1856">
        <v>0</v>
      </c>
    </row>
    <row r="1580" spans="3:15">
      <c r="C1580" s="1861" t="s">
        <v>5369</v>
      </c>
      <c r="D1580" s="1858">
        <v>0</v>
      </c>
      <c r="E1580" s="1858">
        <v>1</v>
      </c>
      <c r="F1580" s="1859">
        <v>1</v>
      </c>
      <c r="G1580" s="1872" t="s">
        <v>5369</v>
      </c>
      <c r="H1580" s="1856">
        <v>1</v>
      </c>
      <c r="I1580" s="1856">
        <v>1</v>
      </c>
      <c r="J1580" s="1873">
        <v>2</v>
      </c>
      <c r="K1580" s="1860"/>
      <c r="L1580" s="1854">
        <v>13135050723</v>
      </c>
      <c r="M1580" s="1855">
        <v>1</v>
      </c>
      <c r="N1580" s="1855">
        <v>1</v>
      </c>
      <c r="O1580" s="1856">
        <v>2</v>
      </c>
    </row>
    <row r="1581" spans="3:15">
      <c r="C1581" s="1861" t="s">
        <v>5370</v>
      </c>
      <c r="D1581" s="1858">
        <v>1</v>
      </c>
      <c r="E1581" s="1858">
        <v>1</v>
      </c>
      <c r="F1581" s="1859">
        <v>2</v>
      </c>
      <c r="G1581" s="1872" t="s">
        <v>5370</v>
      </c>
      <c r="H1581" s="1856">
        <v>1</v>
      </c>
      <c r="I1581" s="1856">
        <v>1</v>
      </c>
      <c r="J1581" s="1873">
        <v>2</v>
      </c>
      <c r="K1581" s="1860"/>
      <c r="L1581" s="1854">
        <v>13135050724</v>
      </c>
      <c r="M1581" s="1855">
        <v>1</v>
      </c>
      <c r="N1581" s="1855">
        <v>1</v>
      </c>
      <c r="O1581" s="1856">
        <v>2</v>
      </c>
    </row>
    <row r="1582" spans="3:15">
      <c r="C1582" s="1861" t="s">
        <v>5371</v>
      </c>
      <c r="D1582" s="1858">
        <v>1</v>
      </c>
      <c r="E1582" s="1858">
        <v>1</v>
      </c>
      <c r="F1582" s="1859">
        <v>2</v>
      </c>
      <c r="G1582" s="1872" t="s">
        <v>5371</v>
      </c>
      <c r="H1582" s="1856">
        <v>1</v>
      </c>
      <c r="I1582" s="1856">
        <v>1</v>
      </c>
      <c r="J1582" s="1873">
        <v>2</v>
      </c>
      <c r="K1582" s="1860"/>
      <c r="L1582" s="1854">
        <v>13135050725</v>
      </c>
      <c r="M1582" s="1855">
        <v>1</v>
      </c>
      <c r="N1582" s="1855">
        <v>1</v>
      </c>
      <c r="O1582" s="1856">
        <v>2</v>
      </c>
    </row>
    <row r="1583" spans="3:15">
      <c r="C1583" s="1861" t="s">
        <v>5372</v>
      </c>
      <c r="D1583" s="1858">
        <v>1</v>
      </c>
      <c r="E1583" s="1858">
        <v>1</v>
      </c>
      <c r="F1583" s="1859">
        <v>2</v>
      </c>
      <c r="G1583" s="1872" t="s">
        <v>5372</v>
      </c>
      <c r="H1583" s="1856">
        <v>1</v>
      </c>
      <c r="I1583" s="1856">
        <v>1</v>
      </c>
      <c r="J1583" s="1873">
        <v>2</v>
      </c>
      <c r="K1583" s="1860"/>
      <c r="L1583" s="1854">
        <v>13135050726</v>
      </c>
      <c r="M1583" s="1855">
        <v>1</v>
      </c>
      <c r="N1583" s="1855">
        <v>1</v>
      </c>
      <c r="O1583" s="1856">
        <v>2</v>
      </c>
    </row>
    <row r="1584" spans="3:15">
      <c r="C1584" s="1861" t="s">
        <v>5373</v>
      </c>
      <c r="D1584" s="1858">
        <v>1</v>
      </c>
      <c r="E1584" s="1858">
        <v>1</v>
      </c>
      <c r="F1584" s="1859">
        <v>2</v>
      </c>
      <c r="G1584" s="1872" t="s">
        <v>5373</v>
      </c>
      <c r="H1584" s="1856">
        <v>1</v>
      </c>
      <c r="I1584" s="1856">
        <v>1</v>
      </c>
      <c r="J1584" s="1873">
        <v>2</v>
      </c>
      <c r="K1584" s="1860"/>
      <c r="L1584" s="1854">
        <v>13135050727</v>
      </c>
      <c r="M1584" s="1855">
        <v>1</v>
      </c>
      <c r="N1584" s="1855">
        <v>1</v>
      </c>
      <c r="O1584" s="1856">
        <v>2</v>
      </c>
    </row>
    <row r="1585" spans="3:15">
      <c r="C1585" s="1861" t="s">
        <v>5374</v>
      </c>
      <c r="D1585" s="1858">
        <v>1</v>
      </c>
      <c r="E1585" s="1858">
        <v>1</v>
      </c>
      <c r="F1585" s="1859">
        <v>2</v>
      </c>
      <c r="G1585" s="1872" t="s">
        <v>5374</v>
      </c>
      <c r="H1585" s="1856">
        <v>1</v>
      </c>
      <c r="I1585" s="1856">
        <v>1</v>
      </c>
      <c r="J1585" s="1873">
        <v>2</v>
      </c>
      <c r="K1585" s="1860"/>
      <c r="L1585" s="1854">
        <v>13135050728</v>
      </c>
      <c r="M1585" s="1855">
        <v>1</v>
      </c>
      <c r="N1585" s="1855">
        <v>1</v>
      </c>
      <c r="O1585" s="1856">
        <v>2</v>
      </c>
    </row>
    <row r="1586" spans="3:15">
      <c r="C1586" s="1861" t="s">
        <v>5375</v>
      </c>
      <c r="D1586" s="1858">
        <v>0</v>
      </c>
      <c r="E1586" s="1858">
        <v>0</v>
      </c>
      <c r="F1586" s="1859">
        <v>0</v>
      </c>
      <c r="G1586" s="1872" t="s">
        <v>5375</v>
      </c>
      <c r="H1586" s="1856">
        <v>1</v>
      </c>
      <c r="I1586" s="1856">
        <v>0</v>
      </c>
      <c r="J1586" s="1873">
        <v>1</v>
      </c>
      <c r="K1586" s="1860"/>
      <c r="L1586" s="1854">
        <v>13135050729</v>
      </c>
      <c r="M1586" s="1855">
        <v>1</v>
      </c>
      <c r="N1586" s="1855">
        <v>0</v>
      </c>
      <c r="O1586" s="1856">
        <v>1</v>
      </c>
    </row>
    <row r="1587" spans="3:15">
      <c r="C1587" s="1861" t="s">
        <v>5376</v>
      </c>
      <c r="D1587" s="1858">
        <v>1</v>
      </c>
      <c r="E1587" s="1858">
        <v>1</v>
      </c>
      <c r="F1587" s="1859">
        <v>2</v>
      </c>
      <c r="G1587" s="1872" t="s">
        <v>5376</v>
      </c>
      <c r="H1587" s="1856">
        <v>1</v>
      </c>
      <c r="I1587" s="1856">
        <v>0</v>
      </c>
      <c r="J1587" s="1873">
        <v>1</v>
      </c>
      <c r="K1587" s="1860"/>
      <c r="L1587" s="1854">
        <v>13135050730</v>
      </c>
      <c r="M1587" s="1855">
        <v>1</v>
      </c>
      <c r="N1587" s="1855">
        <v>1</v>
      </c>
      <c r="O1587" s="1856">
        <v>2</v>
      </c>
    </row>
    <row r="1588" spans="3:15">
      <c r="C1588" s="1861" t="s">
        <v>5377</v>
      </c>
      <c r="D1588" s="1858">
        <v>1</v>
      </c>
      <c r="E1588" s="1858">
        <v>1</v>
      </c>
      <c r="F1588" s="1859">
        <v>2</v>
      </c>
      <c r="G1588" s="1872" t="s">
        <v>5377</v>
      </c>
      <c r="H1588" s="1856">
        <v>0</v>
      </c>
      <c r="I1588" s="1856">
        <v>1</v>
      </c>
      <c r="J1588" s="1873">
        <v>1</v>
      </c>
      <c r="K1588" s="1860"/>
      <c r="L1588" s="1854">
        <v>13135050731</v>
      </c>
      <c r="M1588" s="1855">
        <v>1</v>
      </c>
      <c r="N1588" s="1855">
        <v>1</v>
      </c>
      <c r="O1588" s="1856">
        <v>2</v>
      </c>
    </row>
    <row r="1589" spans="3:15">
      <c r="C1589" s="1861" t="s">
        <v>5378</v>
      </c>
      <c r="D1589" s="1858">
        <v>1</v>
      </c>
      <c r="E1589" s="1858">
        <v>1</v>
      </c>
      <c r="F1589" s="1859">
        <v>2</v>
      </c>
      <c r="G1589" s="1872" t="s">
        <v>5378</v>
      </c>
      <c r="H1589" s="1856">
        <v>0</v>
      </c>
      <c r="I1589" s="1856">
        <v>1</v>
      </c>
      <c r="J1589" s="1873">
        <v>1</v>
      </c>
      <c r="K1589" s="1860"/>
      <c r="L1589" s="1854">
        <v>13137000100</v>
      </c>
      <c r="M1589" s="1855">
        <v>1</v>
      </c>
      <c r="N1589" s="1855">
        <v>1</v>
      </c>
      <c r="O1589" s="1856">
        <v>2</v>
      </c>
    </row>
    <row r="1590" spans="3:15">
      <c r="C1590" s="1861" t="s">
        <v>5379</v>
      </c>
      <c r="D1590" s="1858">
        <v>1</v>
      </c>
      <c r="E1590" s="1858">
        <v>0</v>
      </c>
      <c r="F1590" s="1859">
        <v>1</v>
      </c>
      <c r="G1590" s="1872" t="s">
        <v>5379</v>
      </c>
      <c r="H1590" s="1856">
        <v>0</v>
      </c>
      <c r="I1590" s="1856">
        <v>0</v>
      </c>
      <c r="J1590" s="1873">
        <v>0</v>
      </c>
      <c r="K1590" s="1860"/>
      <c r="L1590" s="1854">
        <v>13137000201</v>
      </c>
      <c r="M1590" s="1855">
        <v>1</v>
      </c>
      <c r="N1590" s="1855">
        <v>0</v>
      </c>
      <c r="O1590" s="1856">
        <v>1</v>
      </c>
    </row>
    <row r="1591" spans="3:15">
      <c r="C1591" s="1861" t="s">
        <v>5380</v>
      </c>
      <c r="D1591" s="1858">
        <v>1</v>
      </c>
      <c r="E1591" s="1858">
        <v>1</v>
      </c>
      <c r="F1591" s="1859">
        <v>2</v>
      </c>
      <c r="G1591" s="1872" t="s">
        <v>5380</v>
      </c>
      <c r="H1591" s="1856">
        <v>1</v>
      </c>
      <c r="I1591" s="1856">
        <v>0</v>
      </c>
      <c r="J1591" s="1873">
        <v>1</v>
      </c>
      <c r="K1591" s="1860"/>
      <c r="L1591" s="1854">
        <v>13137000202</v>
      </c>
      <c r="M1591" s="1855">
        <v>1</v>
      </c>
      <c r="N1591" s="1855">
        <v>1</v>
      </c>
      <c r="O1591" s="1856">
        <v>2</v>
      </c>
    </row>
    <row r="1592" spans="3:15">
      <c r="C1592" s="1861" t="s">
        <v>5381</v>
      </c>
      <c r="D1592" s="1858">
        <v>0</v>
      </c>
      <c r="E1592" s="1858">
        <v>0</v>
      </c>
      <c r="F1592" s="1859">
        <v>0</v>
      </c>
      <c r="G1592" s="1872" t="s">
        <v>5381</v>
      </c>
      <c r="H1592" s="1856">
        <v>0</v>
      </c>
      <c r="I1592" s="1856">
        <v>0</v>
      </c>
      <c r="J1592" s="1873">
        <v>0</v>
      </c>
      <c r="K1592" s="1860"/>
      <c r="L1592" s="1854">
        <v>13137000300</v>
      </c>
      <c r="M1592" s="1855">
        <v>0</v>
      </c>
      <c r="N1592" s="1855">
        <v>0</v>
      </c>
      <c r="O1592" s="1856">
        <v>0</v>
      </c>
    </row>
    <row r="1593" spans="3:15">
      <c r="C1593" s="1861" t="s">
        <v>5382</v>
      </c>
      <c r="D1593" s="1858">
        <v>1</v>
      </c>
      <c r="E1593" s="1858">
        <v>0</v>
      </c>
      <c r="F1593" s="1859">
        <v>1</v>
      </c>
      <c r="G1593" s="1872" t="s">
        <v>5382</v>
      </c>
      <c r="H1593" s="1856">
        <v>0</v>
      </c>
      <c r="I1593" s="1856">
        <v>1</v>
      </c>
      <c r="J1593" s="1873">
        <v>1</v>
      </c>
      <c r="K1593" s="1860"/>
      <c r="L1593" s="1854">
        <v>13137000400</v>
      </c>
      <c r="M1593" s="1855">
        <v>1</v>
      </c>
      <c r="N1593" s="1855">
        <v>1</v>
      </c>
      <c r="O1593" s="1856">
        <v>1</v>
      </c>
    </row>
    <row r="1594" spans="3:15">
      <c r="C1594" s="1861" t="s">
        <v>5383</v>
      </c>
      <c r="D1594" s="1858">
        <v>0</v>
      </c>
      <c r="E1594" s="1858">
        <v>0</v>
      </c>
      <c r="F1594" s="1859">
        <v>0</v>
      </c>
      <c r="G1594" s="1872" t="s">
        <v>5383</v>
      </c>
      <c r="H1594" s="1856">
        <v>0</v>
      </c>
      <c r="I1594" s="1856">
        <v>1</v>
      </c>
      <c r="J1594" s="1873">
        <v>1</v>
      </c>
      <c r="K1594" s="1860"/>
      <c r="L1594" s="1854">
        <v>13137000500</v>
      </c>
      <c r="M1594" s="1855">
        <v>0</v>
      </c>
      <c r="N1594" s="1855">
        <v>1</v>
      </c>
      <c r="O1594" s="1856">
        <v>1</v>
      </c>
    </row>
    <row r="1595" spans="3:15">
      <c r="C1595" s="1861" t="s">
        <v>5384</v>
      </c>
      <c r="D1595" s="1858">
        <v>0</v>
      </c>
      <c r="E1595" s="1858">
        <v>0</v>
      </c>
      <c r="F1595" s="1859">
        <v>0</v>
      </c>
      <c r="G1595" s="1872" t="s">
        <v>5384</v>
      </c>
      <c r="H1595" s="1856">
        <v>0</v>
      </c>
      <c r="I1595" s="1856">
        <v>0</v>
      </c>
      <c r="J1595" s="1873">
        <v>0</v>
      </c>
      <c r="K1595" s="1860"/>
      <c r="L1595" s="1854">
        <v>13137000601</v>
      </c>
      <c r="M1595" s="1855">
        <v>0</v>
      </c>
      <c r="N1595" s="1855">
        <v>0</v>
      </c>
      <c r="O1595" s="1856">
        <v>0</v>
      </c>
    </row>
    <row r="1596" spans="3:15">
      <c r="C1596" s="1861" t="s">
        <v>5385</v>
      </c>
      <c r="D1596" s="1858">
        <v>0</v>
      </c>
      <c r="E1596" s="1858">
        <v>0</v>
      </c>
      <c r="F1596" s="1859">
        <v>0</v>
      </c>
      <c r="G1596" s="1872" t="s">
        <v>5385</v>
      </c>
      <c r="H1596" s="1856">
        <v>0</v>
      </c>
      <c r="I1596" s="1856">
        <v>0</v>
      </c>
      <c r="J1596" s="1873">
        <v>0</v>
      </c>
      <c r="K1596" s="1860"/>
      <c r="L1596" s="1854">
        <v>13137000602</v>
      </c>
      <c r="M1596" s="1855">
        <v>0</v>
      </c>
      <c r="N1596" s="1855">
        <v>0</v>
      </c>
      <c r="O1596" s="1856">
        <v>0</v>
      </c>
    </row>
    <row r="1597" spans="3:15">
      <c r="C1597" s="1861" t="s">
        <v>5386</v>
      </c>
      <c r="D1597" s="1858">
        <v>1</v>
      </c>
      <c r="E1597" s="1858">
        <v>0</v>
      </c>
      <c r="F1597" s="1859">
        <v>1</v>
      </c>
      <c r="G1597" s="1872" t="s">
        <v>5386</v>
      </c>
      <c r="H1597" s="1856">
        <v>0</v>
      </c>
      <c r="I1597" s="1856">
        <v>0</v>
      </c>
      <c r="J1597" s="1873">
        <v>0</v>
      </c>
      <c r="K1597" s="1860"/>
      <c r="L1597" s="1854">
        <v>13139000101</v>
      </c>
      <c r="M1597" s="1855">
        <v>1</v>
      </c>
      <c r="N1597" s="1855">
        <v>0</v>
      </c>
      <c r="O1597" s="1856">
        <v>1</v>
      </c>
    </row>
    <row r="1598" spans="3:15">
      <c r="C1598" s="1861" t="s">
        <v>5387</v>
      </c>
      <c r="D1598" s="1858">
        <v>1</v>
      </c>
      <c r="E1598" s="1858">
        <v>0</v>
      </c>
      <c r="F1598" s="1859">
        <v>1</v>
      </c>
      <c r="G1598" s="1872" t="s">
        <v>5387</v>
      </c>
      <c r="H1598" s="1856">
        <v>1</v>
      </c>
      <c r="I1598" s="1856">
        <v>0</v>
      </c>
      <c r="J1598" s="1873">
        <v>1</v>
      </c>
      <c r="K1598" s="1860"/>
      <c r="L1598" s="1854">
        <v>13139000102</v>
      </c>
      <c r="M1598" s="1855">
        <v>1</v>
      </c>
      <c r="N1598" s="1855">
        <v>0</v>
      </c>
      <c r="O1598" s="1856">
        <v>1</v>
      </c>
    </row>
    <row r="1599" spans="3:15">
      <c r="C1599" s="1861" t="s">
        <v>5388</v>
      </c>
      <c r="D1599" s="1858">
        <v>0</v>
      </c>
      <c r="E1599" s="1858">
        <v>0</v>
      </c>
      <c r="F1599" s="1859">
        <v>0</v>
      </c>
      <c r="G1599" s="1872" t="s">
        <v>5388</v>
      </c>
      <c r="H1599" s="1856">
        <v>1</v>
      </c>
      <c r="I1599" s="1856">
        <v>0</v>
      </c>
      <c r="J1599" s="1873">
        <v>1</v>
      </c>
      <c r="K1599" s="1860"/>
      <c r="L1599" s="1854">
        <v>13139000201</v>
      </c>
      <c r="M1599" s="1855">
        <v>1</v>
      </c>
      <c r="N1599" s="1855">
        <v>0</v>
      </c>
      <c r="O1599" s="1856">
        <v>1</v>
      </c>
    </row>
    <row r="1600" spans="3:15">
      <c r="C1600" s="1861" t="s">
        <v>5389</v>
      </c>
      <c r="D1600" s="1858">
        <v>1</v>
      </c>
      <c r="E1600" s="1858">
        <v>1</v>
      </c>
      <c r="F1600" s="1859">
        <v>2</v>
      </c>
      <c r="G1600" s="1872" t="s">
        <v>5389</v>
      </c>
      <c r="H1600" s="1856">
        <v>1</v>
      </c>
      <c r="I1600" s="1856">
        <v>1</v>
      </c>
      <c r="J1600" s="1873">
        <v>2</v>
      </c>
      <c r="K1600" s="1860"/>
      <c r="L1600" s="1854">
        <v>13139000203</v>
      </c>
      <c r="M1600" s="1855">
        <v>1</v>
      </c>
      <c r="N1600" s="1855">
        <v>1</v>
      </c>
      <c r="O1600" s="1856">
        <v>2</v>
      </c>
    </row>
    <row r="1601" spans="3:15">
      <c r="C1601" s="1861" t="s">
        <v>5390</v>
      </c>
      <c r="D1601" s="1858">
        <v>1</v>
      </c>
      <c r="E1601" s="1858">
        <v>1</v>
      </c>
      <c r="F1601" s="1859">
        <v>2</v>
      </c>
      <c r="G1601" s="1872" t="s">
        <v>5390</v>
      </c>
      <c r="H1601" s="1856">
        <v>1</v>
      </c>
      <c r="I1601" s="1856">
        <v>1</v>
      </c>
      <c r="J1601" s="1873">
        <v>2</v>
      </c>
      <c r="K1601" s="1860"/>
      <c r="L1601" s="1854">
        <v>13139000204</v>
      </c>
      <c r="M1601" s="1855">
        <v>1</v>
      </c>
      <c r="N1601" s="1855">
        <v>1</v>
      </c>
      <c r="O1601" s="1856">
        <v>2</v>
      </c>
    </row>
    <row r="1602" spans="3:15">
      <c r="C1602" s="1861" t="s">
        <v>5391</v>
      </c>
      <c r="D1602" s="1858">
        <v>1</v>
      </c>
      <c r="E1602" s="1858">
        <v>1</v>
      </c>
      <c r="F1602" s="1859">
        <v>2</v>
      </c>
      <c r="G1602" s="1872" t="s">
        <v>5391</v>
      </c>
      <c r="H1602" s="1856">
        <v>1</v>
      </c>
      <c r="I1602" s="1856">
        <v>0</v>
      </c>
      <c r="J1602" s="1873">
        <v>1</v>
      </c>
      <c r="K1602" s="1860"/>
      <c r="L1602" s="1854">
        <v>13139000302</v>
      </c>
      <c r="M1602" s="1855">
        <v>1</v>
      </c>
      <c r="N1602" s="1855">
        <v>1</v>
      </c>
      <c r="O1602" s="1856">
        <v>2</v>
      </c>
    </row>
    <row r="1603" spans="3:15">
      <c r="C1603" s="1861" t="s">
        <v>5392</v>
      </c>
      <c r="D1603" s="1858">
        <v>1</v>
      </c>
      <c r="E1603" s="1858">
        <v>1</v>
      </c>
      <c r="F1603" s="1859">
        <v>2</v>
      </c>
      <c r="G1603" s="1872" t="s">
        <v>5392</v>
      </c>
      <c r="H1603" s="1856">
        <v>1</v>
      </c>
      <c r="I1603" s="1856">
        <v>1</v>
      </c>
      <c r="J1603" s="1873">
        <v>2</v>
      </c>
      <c r="K1603" s="1860"/>
      <c r="L1603" s="1854">
        <v>13139000303</v>
      </c>
      <c r="M1603" s="1855">
        <v>1</v>
      </c>
      <c r="N1603" s="1855">
        <v>1</v>
      </c>
      <c r="O1603" s="1856">
        <v>2</v>
      </c>
    </row>
    <row r="1604" spans="3:15">
      <c r="C1604" s="1861" t="s">
        <v>5393</v>
      </c>
      <c r="D1604" s="1858">
        <v>1</v>
      </c>
      <c r="E1604" s="1858">
        <v>1</v>
      </c>
      <c r="F1604" s="1859">
        <v>2</v>
      </c>
      <c r="G1604" s="1872" t="s">
        <v>5393</v>
      </c>
      <c r="H1604" s="1856">
        <v>1</v>
      </c>
      <c r="I1604" s="1856">
        <v>1</v>
      </c>
      <c r="J1604" s="1873">
        <v>2</v>
      </c>
      <c r="K1604" s="1860"/>
      <c r="L1604" s="1854">
        <v>13139000304</v>
      </c>
      <c r="M1604" s="1855">
        <v>1</v>
      </c>
      <c r="N1604" s="1855">
        <v>1</v>
      </c>
      <c r="O1604" s="1856">
        <v>2</v>
      </c>
    </row>
    <row r="1605" spans="3:15">
      <c r="C1605" s="1861" t="s">
        <v>5394</v>
      </c>
      <c r="D1605" s="1858">
        <v>1</v>
      </c>
      <c r="E1605" s="1858">
        <v>1</v>
      </c>
      <c r="F1605" s="1859">
        <v>2</v>
      </c>
      <c r="G1605" s="1872" t="s">
        <v>5394</v>
      </c>
      <c r="H1605" s="1856">
        <v>1</v>
      </c>
      <c r="I1605" s="1856">
        <v>1</v>
      </c>
      <c r="J1605" s="1873">
        <v>2</v>
      </c>
      <c r="K1605" s="1860"/>
      <c r="L1605" s="1854">
        <v>13139000305</v>
      </c>
      <c r="M1605" s="1855">
        <v>1</v>
      </c>
      <c r="N1605" s="1855">
        <v>1</v>
      </c>
      <c r="O1605" s="1856">
        <v>2</v>
      </c>
    </row>
    <row r="1606" spans="3:15">
      <c r="C1606" s="1861" t="s">
        <v>5395</v>
      </c>
      <c r="D1606" s="1858">
        <v>1</v>
      </c>
      <c r="E1606" s="1858">
        <v>0</v>
      </c>
      <c r="F1606" s="1859">
        <v>1</v>
      </c>
      <c r="G1606" s="1872" t="s">
        <v>5395</v>
      </c>
      <c r="H1606" s="1856">
        <v>1</v>
      </c>
      <c r="I1606" s="1856">
        <v>1</v>
      </c>
      <c r="J1606" s="1873">
        <v>2</v>
      </c>
      <c r="K1606" s="1860"/>
      <c r="L1606" s="1854">
        <v>13139000400</v>
      </c>
      <c r="M1606" s="1855">
        <v>1</v>
      </c>
      <c r="N1606" s="1855">
        <v>1</v>
      </c>
      <c r="O1606" s="1856">
        <v>2</v>
      </c>
    </row>
    <row r="1607" spans="3:15">
      <c r="C1607" s="1861" t="s">
        <v>5396</v>
      </c>
      <c r="D1607" s="1858">
        <v>1</v>
      </c>
      <c r="E1607" s="1858">
        <v>1</v>
      </c>
      <c r="F1607" s="1859">
        <v>2</v>
      </c>
      <c r="G1607" s="1872" t="s">
        <v>5396</v>
      </c>
      <c r="H1607" s="1856">
        <v>1</v>
      </c>
      <c r="I1607" s="1856">
        <v>1</v>
      </c>
      <c r="J1607" s="1873">
        <v>2</v>
      </c>
      <c r="K1607" s="1860"/>
      <c r="L1607" s="1854">
        <v>13139000500</v>
      </c>
      <c r="M1607" s="1855">
        <v>1</v>
      </c>
      <c r="N1607" s="1855">
        <v>1</v>
      </c>
      <c r="O1607" s="1856">
        <v>2</v>
      </c>
    </row>
    <row r="1608" spans="3:15">
      <c r="C1608" s="1861" t="s">
        <v>5397</v>
      </c>
      <c r="D1608" s="1858">
        <v>0</v>
      </c>
      <c r="E1608" s="1858">
        <v>0</v>
      </c>
      <c r="F1608" s="1859">
        <v>0</v>
      </c>
      <c r="G1608" s="1872" t="s">
        <v>5397</v>
      </c>
      <c r="H1608" s="1856">
        <v>0</v>
      </c>
      <c r="I1608" s="1856">
        <v>0</v>
      </c>
      <c r="J1608" s="1873">
        <v>0</v>
      </c>
      <c r="K1608" s="1860"/>
      <c r="L1608" s="1854">
        <v>13139000600</v>
      </c>
      <c r="M1608" s="1855">
        <v>0</v>
      </c>
      <c r="N1608" s="1855">
        <v>0</v>
      </c>
      <c r="O1608" s="1856">
        <v>0</v>
      </c>
    </row>
    <row r="1609" spans="3:15">
      <c r="C1609" s="1861" t="s">
        <v>5398</v>
      </c>
      <c r="D1609" s="1858">
        <v>0</v>
      </c>
      <c r="E1609" s="1858">
        <v>0</v>
      </c>
      <c r="F1609" s="1859">
        <v>0</v>
      </c>
      <c r="G1609" s="1872" t="s">
        <v>5398</v>
      </c>
      <c r="H1609" s="1856">
        <v>0</v>
      </c>
      <c r="I1609" s="1856">
        <v>0</v>
      </c>
      <c r="J1609" s="1873">
        <v>0</v>
      </c>
      <c r="K1609" s="1860"/>
      <c r="L1609" s="1854">
        <v>13139000701</v>
      </c>
      <c r="M1609" s="1855">
        <v>0</v>
      </c>
      <c r="N1609" s="1855">
        <v>0</v>
      </c>
      <c r="O1609" s="1856">
        <v>0</v>
      </c>
    </row>
    <row r="1610" spans="3:15">
      <c r="C1610" s="1861" t="s">
        <v>5399</v>
      </c>
      <c r="D1610" s="1858">
        <v>0</v>
      </c>
      <c r="E1610" s="1858">
        <v>0</v>
      </c>
      <c r="F1610" s="1859">
        <v>0</v>
      </c>
      <c r="G1610" s="1872" t="s">
        <v>5399</v>
      </c>
      <c r="H1610" s="1856">
        <v>0</v>
      </c>
      <c r="I1610" s="1856">
        <v>0</v>
      </c>
      <c r="J1610" s="1873">
        <v>0</v>
      </c>
      <c r="K1610" s="1860"/>
      <c r="L1610" s="1854">
        <v>13139000702</v>
      </c>
      <c r="M1610" s="1855">
        <v>0</v>
      </c>
      <c r="N1610" s="1855">
        <v>0</v>
      </c>
      <c r="O1610" s="1856">
        <v>0</v>
      </c>
    </row>
    <row r="1611" spans="3:15">
      <c r="C1611" s="1861" t="s">
        <v>5400</v>
      </c>
      <c r="D1611" s="1858">
        <v>0</v>
      </c>
      <c r="E1611" s="1858">
        <v>0</v>
      </c>
      <c r="F1611" s="1859">
        <v>0</v>
      </c>
      <c r="G1611" s="1872" t="s">
        <v>5400</v>
      </c>
      <c r="H1611" s="1856">
        <v>0</v>
      </c>
      <c r="I1611" s="1856">
        <v>0</v>
      </c>
      <c r="J1611" s="1873">
        <v>0</v>
      </c>
      <c r="K1611" s="1860"/>
      <c r="L1611" s="1854">
        <v>13139000800</v>
      </c>
      <c r="M1611" s="1855">
        <v>0</v>
      </c>
      <c r="N1611" s="1855">
        <v>0</v>
      </c>
      <c r="O1611" s="1856">
        <v>0</v>
      </c>
    </row>
    <row r="1612" spans="3:15">
      <c r="C1612" s="1861" t="s">
        <v>5401</v>
      </c>
      <c r="D1612" s="1858">
        <v>1</v>
      </c>
      <c r="E1612" s="1858">
        <v>1</v>
      </c>
      <c r="F1612" s="1859">
        <v>2</v>
      </c>
      <c r="G1612" s="1872" t="s">
        <v>5401</v>
      </c>
      <c r="H1612" s="1856">
        <v>1</v>
      </c>
      <c r="I1612" s="1856">
        <v>1</v>
      </c>
      <c r="J1612" s="1873">
        <v>2</v>
      </c>
      <c r="K1612" s="1860"/>
      <c r="L1612" s="1854">
        <v>13139000900</v>
      </c>
      <c r="M1612" s="1855">
        <v>1</v>
      </c>
      <c r="N1612" s="1855">
        <v>1</v>
      </c>
      <c r="O1612" s="1856">
        <v>2</v>
      </c>
    </row>
    <row r="1613" spans="3:15">
      <c r="C1613" s="1861" t="s">
        <v>5402</v>
      </c>
      <c r="D1613" s="1858">
        <v>1</v>
      </c>
      <c r="E1613" s="1858">
        <v>0</v>
      </c>
      <c r="F1613" s="1859">
        <v>1</v>
      </c>
      <c r="G1613" s="1872" t="s">
        <v>5402</v>
      </c>
      <c r="H1613" s="1856">
        <v>0</v>
      </c>
      <c r="I1613" s="1856">
        <v>1</v>
      </c>
      <c r="J1613" s="1873">
        <v>1</v>
      </c>
      <c r="K1613" s="1860"/>
      <c r="L1613" s="1854">
        <v>13139001002</v>
      </c>
      <c r="M1613" s="1855">
        <v>1</v>
      </c>
      <c r="N1613" s="1855">
        <v>1</v>
      </c>
      <c r="O1613" s="1856">
        <v>1</v>
      </c>
    </row>
    <row r="1614" spans="3:15">
      <c r="C1614" s="1861" t="s">
        <v>5403</v>
      </c>
      <c r="D1614" s="1858">
        <v>0</v>
      </c>
      <c r="E1614" s="1858">
        <v>0</v>
      </c>
      <c r="F1614" s="1859">
        <v>0</v>
      </c>
      <c r="G1614" s="1872" t="s">
        <v>5403</v>
      </c>
      <c r="H1614" s="1856">
        <v>0</v>
      </c>
      <c r="I1614" s="1856">
        <v>0</v>
      </c>
      <c r="J1614" s="1873">
        <v>0</v>
      </c>
      <c r="K1614" s="1860"/>
      <c r="L1614" s="1854">
        <v>13139001003</v>
      </c>
      <c r="M1614" s="1855">
        <v>0</v>
      </c>
      <c r="N1614" s="1855">
        <v>0</v>
      </c>
      <c r="O1614" s="1856">
        <v>0</v>
      </c>
    </row>
    <row r="1615" spans="3:15">
      <c r="C1615" s="1861" t="s">
        <v>5404</v>
      </c>
      <c r="D1615" s="1858">
        <v>1</v>
      </c>
      <c r="E1615" s="1858">
        <v>1</v>
      </c>
      <c r="F1615" s="1859">
        <v>2</v>
      </c>
      <c r="G1615" s="1872" t="s">
        <v>5404</v>
      </c>
      <c r="H1615" s="1856">
        <v>0</v>
      </c>
      <c r="I1615" s="1856">
        <v>0</v>
      </c>
      <c r="J1615" s="1873">
        <v>0</v>
      </c>
      <c r="K1615" s="1860"/>
      <c r="L1615" s="1854">
        <v>13139001004</v>
      </c>
      <c r="M1615" s="1855">
        <v>1</v>
      </c>
      <c r="N1615" s="1855">
        <v>1</v>
      </c>
      <c r="O1615" s="1856">
        <v>2</v>
      </c>
    </row>
    <row r="1616" spans="3:15">
      <c r="C1616" s="1861" t="s">
        <v>5405</v>
      </c>
      <c r="D1616" s="1858">
        <v>0</v>
      </c>
      <c r="E1616" s="1858">
        <v>0</v>
      </c>
      <c r="F1616" s="1859">
        <v>0</v>
      </c>
      <c r="G1616" s="1872" t="s">
        <v>5405</v>
      </c>
      <c r="H1616" s="1856">
        <v>0</v>
      </c>
      <c r="I1616" s="1856" t="s">
        <v>3908</v>
      </c>
      <c r="J1616" s="1873">
        <v>0</v>
      </c>
      <c r="K1616" s="1860"/>
      <c r="L1616" s="1854">
        <v>13139001101</v>
      </c>
      <c r="M1616" s="1855">
        <v>0</v>
      </c>
      <c r="N1616" s="1855">
        <v>0</v>
      </c>
      <c r="O1616" s="1856">
        <v>0</v>
      </c>
    </row>
    <row r="1617" spans="3:15">
      <c r="C1617" s="1861" t="s">
        <v>5406</v>
      </c>
      <c r="D1617" s="1858">
        <v>0</v>
      </c>
      <c r="E1617" s="1858">
        <v>0</v>
      </c>
      <c r="F1617" s="1859">
        <v>0</v>
      </c>
      <c r="G1617" s="1872" t="s">
        <v>5406</v>
      </c>
      <c r="H1617" s="1856">
        <v>1</v>
      </c>
      <c r="I1617" s="1856">
        <v>0</v>
      </c>
      <c r="J1617" s="1873">
        <v>1</v>
      </c>
      <c r="K1617" s="1860"/>
      <c r="L1617" s="1854">
        <v>13139001102</v>
      </c>
      <c r="M1617" s="1855">
        <v>1</v>
      </c>
      <c r="N1617" s="1855">
        <v>0</v>
      </c>
      <c r="O1617" s="1856">
        <v>1</v>
      </c>
    </row>
    <row r="1618" spans="3:15">
      <c r="C1618" s="1861" t="s">
        <v>5407</v>
      </c>
      <c r="D1618" s="1858">
        <v>0</v>
      </c>
      <c r="E1618" s="1858">
        <v>0</v>
      </c>
      <c r="F1618" s="1859">
        <v>0</v>
      </c>
      <c r="G1618" s="1872" t="s">
        <v>5407</v>
      </c>
      <c r="H1618" s="1856">
        <v>0</v>
      </c>
      <c r="I1618" s="1856">
        <v>0</v>
      </c>
      <c r="J1618" s="1873">
        <v>0</v>
      </c>
      <c r="K1618" s="1860"/>
      <c r="L1618" s="1854">
        <v>13139001201</v>
      </c>
      <c r="M1618" s="1855">
        <v>0</v>
      </c>
      <c r="N1618" s="1855">
        <v>0</v>
      </c>
      <c r="O1618" s="1856">
        <v>0</v>
      </c>
    </row>
    <row r="1619" spans="3:15">
      <c r="C1619" s="1861" t="s">
        <v>5408</v>
      </c>
      <c r="D1619" s="1858">
        <v>1</v>
      </c>
      <c r="E1619" s="1858">
        <v>0</v>
      </c>
      <c r="F1619" s="1859">
        <v>1</v>
      </c>
      <c r="G1619" s="1872" t="s">
        <v>5408</v>
      </c>
      <c r="H1619" s="1856">
        <v>0</v>
      </c>
      <c r="I1619" s="1856">
        <v>0</v>
      </c>
      <c r="J1619" s="1873">
        <v>0</v>
      </c>
      <c r="K1619" s="1860"/>
      <c r="L1619" s="1854">
        <v>13139001202</v>
      </c>
      <c r="M1619" s="1855">
        <v>1</v>
      </c>
      <c r="N1619" s="1855">
        <v>0</v>
      </c>
      <c r="O1619" s="1856">
        <v>1</v>
      </c>
    </row>
    <row r="1620" spans="3:15">
      <c r="C1620" s="1861" t="s">
        <v>5409</v>
      </c>
      <c r="D1620" s="1858">
        <v>1</v>
      </c>
      <c r="E1620" s="1858">
        <v>1</v>
      </c>
      <c r="F1620" s="1859">
        <v>2</v>
      </c>
      <c r="G1620" s="1872" t="s">
        <v>5409</v>
      </c>
      <c r="H1620" s="1856">
        <v>1</v>
      </c>
      <c r="I1620" s="1856">
        <v>0</v>
      </c>
      <c r="J1620" s="1873">
        <v>1</v>
      </c>
      <c r="K1620" s="1860"/>
      <c r="L1620" s="1854">
        <v>13139001301</v>
      </c>
      <c r="M1620" s="1855">
        <v>1</v>
      </c>
      <c r="N1620" s="1855">
        <v>1</v>
      </c>
      <c r="O1620" s="1856">
        <v>2</v>
      </c>
    </row>
    <row r="1621" spans="3:15">
      <c r="C1621" s="1861" t="s">
        <v>5410</v>
      </c>
      <c r="D1621" s="1858">
        <v>1</v>
      </c>
      <c r="E1621" s="1858">
        <v>1</v>
      </c>
      <c r="F1621" s="1859">
        <v>2</v>
      </c>
      <c r="G1621" s="1872" t="s">
        <v>5410</v>
      </c>
      <c r="H1621" s="1856">
        <v>1</v>
      </c>
      <c r="I1621" s="1856">
        <v>1</v>
      </c>
      <c r="J1621" s="1873">
        <v>2</v>
      </c>
      <c r="K1621" s="1860"/>
      <c r="L1621" s="1854">
        <v>13139001302</v>
      </c>
      <c r="M1621" s="1855">
        <v>1</v>
      </c>
      <c r="N1621" s="1855">
        <v>1</v>
      </c>
      <c r="O1621" s="1856">
        <v>2</v>
      </c>
    </row>
    <row r="1622" spans="3:15">
      <c r="C1622" s="1861" t="s">
        <v>5411</v>
      </c>
      <c r="D1622" s="1858">
        <v>1</v>
      </c>
      <c r="E1622" s="1858">
        <v>1</v>
      </c>
      <c r="F1622" s="1859">
        <v>2</v>
      </c>
      <c r="G1622" s="1872" t="s">
        <v>5411</v>
      </c>
      <c r="H1622" s="1856">
        <v>1</v>
      </c>
      <c r="I1622" s="1856">
        <v>0</v>
      </c>
      <c r="J1622" s="1873">
        <v>1</v>
      </c>
      <c r="K1622" s="1860"/>
      <c r="L1622" s="1854">
        <v>13139001402</v>
      </c>
      <c r="M1622" s="1855">
        <v>1</v>
      </c>
      <c r="N1622" s="1855">
        <v>1</v>
      </c>
      <c r="O1622" s="1856">
        <v>2</v>
      </c>
    </row>
    <row r="1623" spans="3:15">
      <c r="C1623" s="1861" t="s">
        <v>5412</v>
      </c>
      <c r="D1623" s="1858">
        <v>0</v>
      </c>
      <c r="E1623" s="1858">
        <v>0</v>
      </c>
      <c r="F1623" s="1859">
        <v>0</v>
      </c>
      <c r="G1623" s="1872" t="s">
        <v>5412</v>
      </c>
      <c r="H1623" s="1856">
        <v>0</v>
      </c>
      <c r="I1623" s="1856">
        <v>0</v>
      </c>
      <c r="J1623" s="1873">
        <v>0</v>
      </c>
      <c r="K1623" s="1860"/>
      <c r="L1623" s="1854">
        <v>13139001403</v>
      </c>
      <c r="M1623" s="1855">
        <v>0</v>
      </c>
      <c r="N1623" s="1855">
        <v>0</v>
      </c>
      <c r="O1623" s="1856">
        <v>0</v>
      </c>
    </row>
    <row r="1624" spans="3:15">
      <c r="C1624" s="1861" t="s">
        <v>5413</v>
      </c>
      <c r="D1624" s="1858">
        <v>1</v>
      </c>
      <c r="E1624" s="1858">
        <v>0</v>
      </c>
      <c r="F1624" s="1859">
        <v>1</v>
      </c>
      <c r="G1624" s="1872" t="s">
        <v>5413</v>
      </c>
      <c r="H1624" s="1856">
        <v>1</v>
      </c>
      <c r="I1624" s="1856">
        <v>0</v>
      </c>
      <c r="J1624" s="1873">
        <v>1</v>
      </c>
      <c r="K1624" s="1860"/>
      <c r="L1624" s="1854">
        <v>13139001404</v>
      </c>
      <c r="M1624" s="1855">
        <v>1</v>
      </c>
      <c r="N1624" s="1855">
        <v>0</v>
      </c>
      <c r="O1624" s="1856">
        <v>1</v>
      </c>
    </row>
    <row r="1625" spans="3:15">
      <c r="C1625" s="1861" t="s">
        <v>5414</v>
      </c>
      <c r="D1625" s="1858">
        <v>1</v>
      </c>
      <c r="E1625" s="1858">
        <v>1</v>
      </c>
      <c r="F1625" s="1859">
        <v>2</v>
      </c>
      <c r="G1625" s="1872" t="s">
        <v>5414</v>
      </c>
      <c r="H1625" s="1856">
        <v>1</v>
      </c>
      <c r="I1625" s="1856">
        <v>1</v>
      </c>
      <c r="J1625" s="1873">
        <v>2</v>
      </c>
      <c r="K1625" s="1860"/>
      <c r="L1625" s="1854">
        <v>13139001501</v>
      </c>
      <c r="M1625" s="1855">
        <v>1</v>
      </c>
      <c r="N1625" s="1855">
        <v>1</v>
      </c>
      <c r="O1625" s="1856">
        <v>2</v>
      </c>
    </row>
    <row r="1626" spans="3:15">
      <c r="C1626" s="1861" t="s">
        <v>5415</v>
      </c>
      <c r="D1626" s="1858">
        <v>1</v>
      </c>
      <c r="E1626" s="1858">
        <v>1</v>
      </c>
      <c r="F1626" s="1859">
        <v>2</v>
      </c>
      <c r="G1626" s="1872" t="s">
        <v>5415</v>
      </c>
      <c r="H1626" s="1856">
        <v>1</v>
      </c>
      <c r="I1626" s="1856">
        <v>1</v>
      </c>
      <c r="J1626" s="1873">
        <v>2</v>
      </c>
      <c r="K1626" s="1860"/>
      <c r="L1626" s="1854">
        <v>13139001502</v>
      </c>
      <c r="M1626" s="1855">
        <v>1</v>
      </c>
      <c r="N1626" s="1855">
        <v>1</v>
      </c>
      <c r="O1626" s="1856">
        <v>2</v>
      </c>
    </row>
    <row r="1627" spans="3:15">
      <c r="C1627" s="1861" t="s">
        <v>5416</v>
      </c>
      <c r="D1627" s="1858">
        <v>1</v>
      </c>
      <c r="E1627" s="1858">
        <v>1</v>
      </c>
      <c r="F1627" s="1859">
        <v>2</v>
      </c>
      <c r="G1627" s="1872" t="s">
        <v>5416</v>
      </c>
      <c r="H1627" s="1856">
        <v>1</v>
      </c>
      <c r="I1627" s="1856">
        <v>0</v>
      </c>
      <c r="J1627" s="1873">
        <v>1</v>
      </c>
      <c r="K1627" s="1860"/>
      <c r="L1627" s="1854">
        <v>13139001603</v>
      </c>
      <c r="M1627" s="1855">
        <v>1</v>
      </c>
      <c r="N1627" s="1855">
        <v>1</v>
      </c>
      <c r="O1627" s="1856">
        <v>2</v>
      </c>
    </row>
    <row r="1628" spans="3:15">
      <c r="C1628" s="1861" t="s">
        <v>5417</v>
      </c>
      <c r="D1628" s="1858">
        <v>1</v>
      </c>
      <c r="E1628" s="1858">
        <v>1</v>
      </c>
      <c r="F1628" s="1859">
        <v>2</v>
      </c>
      <c r="G1628" s="1872" t="s">
        <v>5417</v>
      </c>
      <c r="H1628" s="1856">
        <v>1</v>
      </c>
      <c r="I1628" s="1856">
        <v>1</v>
      </c>
      <c r="J1628" s="1873">
        <v>2</v>
      </c>
      <c r="K1628" s="1860"/>
      <c r="L1628" s="1854">
        <v>13139001604</v>
      </c>
      <c r="M1628" s="1855">
        <v>1</v>
      </c>
      <c r="N1628" s="1855">
        <v>1</v>
      </c>
      <c r="O1628" s="1856">
        <v>2</v>
      </c>
    </row>
    <row r="1629" spans="3:15">
      <c r="C1629" s="1861" t="s">
        <v>5418</v>
      </c>
      <c r="D1629" s="1858">
        <v>1</v>
      </c>
      <c r="E1629" s="1858">
        <v>1</v>
      </c>
      <c r="F1629" s="1859">
        <v>2</v>
      </c>
      <c r="G1629" s="1872" t="s">
        <v>5418</v>
      </c>
      <c r="H1629" s="1856">
        <v>1</v>
      </c>
      <c r="I1629" s="1856" t="s">
        <v>3908</v>
      </c>
      <c r="J1629" s="1873">
        <v>1</v>
      </c>
      <c r="K1629" s="1860"/>
      <c r="L1629" s="1854">
        <v>13139001605</v>
      </c>
      <c r="M1629" s="1855">
        <v>1</v>
      </c>
      <c r="N1629" s="1855">
        <v>1</v>
      </c>
      <c r="O1629" s="1856">
        <v>2</v>
      </c>
    </row>
    <row r="1630" spans="3:15">
      <c r="C1630" s="1861" t="s">
        <v>5419</v>
      </c>
      <c r="D1630" s="1858">
        <v>1</v>
      </c>
      <c r="E1630" s="1858">
        <v>1</v>
      </c>
      <c r="F1630" s="1859">
        <v>2</v>
      </c>
      <c r="G1630" s="1872" t="s">
        <v>5419</v>
      </c>
      <c r="H1630" s="1856">
        <v>1</v>
      </c>
      <c r="I1630" s="1856">
        <v>1</v>
      </c>
      <c r="J1630" s="1873">
        <v>2</v>
      </c>
      <c r="K1630" s="1860"/>
      <c r="L1630" s="1854">
        <v>13139001606</v>
      </c>
      <c r="M1630" s="1855">
        <v>1</v>
      </c>
      <c r="N1630" s="1855">
        <v>1</v>
      </c>
      <c r="O1630" s="1856">
        <v>2</v>
      </c>
    </row>
    <row r="1631" spans="3:15">
      <c r="C1631" s="1861" t="s">
        <v>5420</v>
      </c>
      <c r="D1631" s="1858">
        <v>0</v>
      </c>
      <c r="E1631" s="1858">
        <v>1</v>
      </c>
      <c r="F1631" s="1859">
        <v>1</v>
      </c>
      <c r="G1631" s="1872" t="s">
        <v>5420</v>
      </c>
      <c r="H1631" s="1856">
        <v>1</v>
      </c>
      <c r="I1631" s="1856">
        <v>1</v>
      </c>
      <c r="J1631" s="1873">
        <v>2</v>
      </c>
      <c r="K1631" s="1860"/>
      <c r="L1631" s="1854">
        <v>13139001607</v>
      </c>
      <c r="M1631" s="1855">
        <v>1</v>
      </c>
      <c r="N1631" s="1855">
        <v>1</v>
      </c>
      <c r="O1631" s="1856">
        <v>2</v>
      </c>
    </row>
    <row r="1632" spans="3:15">
      <c r="C1632" s="1861" t="s">
        <v>5421</v>
      </c>
      <c r="D1632" s="1858">
        <v>1</v>
      </c>
      <c r="E1632" s="1858">
        <v>1</v>
      </c>
      <c r="F1632" s="1859">
        <v>2</v>
      </c>
      <c r="G1632" s="1872" t="s">
        <v>5421</v>
      </c>
      <c r="H1632" s="1856">
        <v>1</v>
      </c>
      <c r="I1632" s="1856">
        <v>1</v>
      </c>
      <c r="J1632" s="1873">
        <v>2</v>
      </c>
      <c r="K1632" s="1860"/>
      <c r="L1632" s="1854">
        <v>13139001608</v>
      </c>
      <c r="M1632" s="1855">
        <v>1</v>
      </c>
      <c r="N1632" s="1855">
        <v>1</v>
      </c>
      <c r="O1632" s="1856">
        <v>2</v>
      </c>
    </row>
    <row r="1633" spans="3:15">
      <c r="C1633" s="1861" t="s">
        <v>5422</v>
      </c>
      <c r="D1633" s="1858">
        <v>0</v>
      </c>
      <c r="E1633" s="1858">
        <v>0</v>
      </c>
      <c r="F1633" s="1859">
        <v>0</v>
      </c>
      <c r="G1633" s="1872" t="s">
        <v>5422</v>
      </c>
      <c r="H1633" s="1856">
        <v>0</v>
      </c>
      <c r="I1633" s="1856">
        <v>1</v>
      </c>
      <c r="J1633" s="1873">
        <v>1</v>
      </c>
      <c r="K1633" s="1860"/>
      <c r="L1633" s="1854">
        <v>13141480300</v>
      </c>
      <c r="M1633" s="1855">
        <v>0</v>
      </c>
      <c r="N1633" s="1855">
        <v>1</v>
      </c>
      <c r="O1633" s="1856">
        <v>1</v>
      </c>
    </row>
    <row r="1634" spans="3:15">
      <c r="C1634" s="1861" t="s">
        <v>5423</v>
      </c>
      <c r="D1634" s="1858">
        <v>0</v>
      </c>
      <c r="E1634" s="1858">
        <v>0</v>
      </c>
      <c r="F1634" s="1859">
        <v>0</v>
      </c>
      <c r="G1634" s="1872" t="s">
        <v>5423</v>
      </c>
      <c r="H1634" s="1856">
        <v>0</v>
      </c>
      <c r="I1634" s="1856">
        <v>1</v>
      </c>
      <c r="J1634" s="1873">
        <v>1</v>
      </c>
      <c r="K1634" s="1860"/>
      <c r="L1634" s="1854">
        <v>13141480400</v>
      </c>
      <c r="M1634" s="1855">
        <v>0</v>
      </c>
      <c r="N1634" s="1855">
        <v>1</v>
      </c>
      <c r="O1634" s="1856">
        <v>1</v>
      </c>
    </row>
    <row r="1635" spans="3:15">
      <c r="C1635" s="1861" t="s">
        <v>5424</v>
      </c>
      <c r="D1635" s="1858">
        <v>0</v>
      </c>
      <c r="E1635" s="1858">
        <v>0</v>
      </c>
      <c r="F1635" s="1859">
        <v>0</v>
      </c>
      <c r="G1635" s="1872" t="s">
        <v>5424</v>
      </c>
      <c r="H1635" s="1856">
        <v>0</v>
      </c>
      <c r="I1635" s="1856">
        <v>0</v>
      </c>
      <c r="J1635" s="1873">
        <v>0</v>
      </c>
      <c r="K1635" s="1860"/>
      <c r="L1635" s="1854">
        <v>13143010100</v>
      </c>
      <c r="M1635" s="1855">
        <v>0</v>
      </c>
      <c r="N1635" s="1855">
        <v>0</v>
      </c>
      <c r="O1635" s="1856">
        <v>0</v>
      </c>
    </row>
    <row r="1636" spans="3:15">
      <c r="C1636" s="1861" t="s">
        <v>5425</v>
      </c>
      <c r="D1636" s="1858">
        <v>0</v>
      </c>
      <c r="E1636" s="1858">
        <v>1</v>
      </c>
      <c r="F1636" s="1859">
        <v>1</v>
      </c>
      <c r="G1636" s="1872" t="s">
        <v>5425</v>
      </c>
      <c r="H1636" s="1856">
        <v>0</v>
      </c>
      <c r="I1636" s="1856">
        <v>0</v>
      </c>
      <c r="J1636" s="1873">
        <v>0</v>
      </c>
      <c r="K1636" s="1860"/>
      <c r="L1636" s="1854">
        <v>13143010200</v>
      </c>
      <c r="M1636" s="1855">
        <v>0</v>
      </c>
      <c r="N1636" s="1855">
        <v>1</v>
      </c>
      <c r="O1636" s="1856">
        <v>1</v>
      </c>
    </row>
    <row r="1637" spans="3:15">
      <c r="C1637" s="1861" t="s">
        <v>5426</v>
      </c>
      <c r="D1637" s="1858">
        <v>0</v>
      </c>
      <c r="E1637" s="1858">
        <v>0</v>
      </c>
      <c r="F1637" s="1859">
        <v>0</v>
      </c>
      <c r="G1637" s="1872" t="s">
        <v>5426</v>
      </c>
      <c r="H1637" s="1856">
        <v>0</v>
      </c>
      <c r="I1637" s="1856">
        <v>0</v>
      </c>
      <c r="J1637" s="1873">
        <v>0</v>
      </c>
      <c r="K1637" s="1860"/>
      <c r="L1637" s="1854">
        <v>13143010301</v>
      </c>
      <c r="M1637" s="1855">
        <v>0</v>
      </c>
      <c r="N1637" s="1855">
        <v>0</v>
      </c>
      <c r="O1637" s="1856">
        <v>0</v>
      </c>
    </row>
    <row r="1638" spans="3:15">
      <c r="C1638" s="1861" t="s">
        <v>5427</v>
      </c>
      <c r="D1638" s="1858">
        <v>0</v>
      </c>
      <c r="E1638" s="1858">
        <v>0</v>
      </c>
      <c r="F1638" s="1859">
        <v>0</v>
      </c>
      <c r="G1638" s="1872" t="s">
        <v>5427</v>
      </c>
      <c r="H1638" s="1856">
        <v>1</v>
      </c>
      <c r="I1638" s="1856">
        <v>0</v>
      </c>
      <c r="J1638" s="1873">
        <v>1</v>
      </c>
      <c r="K1638" s="1860"/>
      <c r="L1638" s="1854">
        <v>13143010302</v>
      </c>
      <c r="M1638" s="1855">
        <v>1</v>
      </c>
      <c r="N1638" s="1855">
        <v>0</v>
      </c>
      <c r="O1638" s="1856">
        <v>1</v>
      </c>
    </row>
    <row r="1639" spans="3:15">
      <c r="C1639" s="1861" t="s">
        <v>5428</v>
      </c>
      <c r="D1639" s="1858">
        <v>0</v>
      </c>
      <c r="E1639" s="1858">
        <v>0</v>
      </c>
      <c r="F1639" s="1859">
        <v>0</v>
      </c>
      <c r="G1639" s="1872" t="s">
        <v>5428</v>
      </c>
      <c r="H1639" s="1856">
        <v>0</v>
      </c>
      <c r="I1639" s="1856">
        <v>0</v>
      </c>
      <c r="J1639" s="1873">
        <v>0</v>
      </c>
      <c r="K1639" s="1860"/>
      <c r="L1639" s="1854">
        <v>13143010400</v>
      </c>
      <c r="M1639" s="1855">
        <v>0</v>
      </c>
      <c r="N1639" s="1855">
        <v>0</v>
      </c>
      <c r="O1639" s="1856">
        <v>0</v>
      </c>
    </row>
    <row r="1640" spans="3:15">
      <c r="C1640" s="1861" t="s">
        <v>5429</v>
      </c>
      <c r="D1640" s="1858">
        <v>0</v>
      </c>
      <c r="E1640" s="1858">
        <v>0</v>
      </c>
      <c r="F1640" s="1859">
        <v>0</v>
      </c>
      <c r="G1640" s="1872" t="s">
        <v>5429</v>
      </c>
      <c r="H1640" s="1856">
        <v>0</v>
      </c>
      <c r="I1640" s="1856">
        <v>1</v>
      </c>
      <c r="J1640" s="1873">
        <v>1</v>
      </c>
      <c r="K1640" s="1860"/>
      <c r="L1640" s="1854">
        <v>13145120198</v>
      </c>
      <c r="M1640" s="1855">
        <v>0</v>
      </c>
      <c r="N1640" s="1855">
        <v>1</v>
      </c>
      <c r="O1640" s="1856">
        <v>1</v>
      </c>
    </row>
    <row r="1641" spans="3:15">
      <c r="C1641" s="1861" t="s">
        <v>5430</v>
      </c>
      <c r="D1641" s="1858">
        <v>0</v>
      </c>
      <c r="E1641" s="1858">
        <v>1</v>
      </c>
      <c r="F1641" s="1859">
        <v>1</v>
      </c>
      <c r="G1641" s="1872" t="s">
        <v>5430</v>
      </c>
      <c r="H1641" s="1856">
        <v>0</v>
      </c>
      <c r="I1641" s="1856" t="s">
        <v>3908</v>
      </c>
      <c r="J1641" s="1873">
        <v>0</v>
      </c>
      <c r="K1641" s="1860"/>
      <c r="L1641" s="1854">
        <v>13145120200</v>
      </c>
      <c r="M1641" s="1855">
        <v>0</v>
      </c>
      <c r="N1641" s="1855">
        <v>1</v>
      </c>
      <c r="O1641" s="1856">
        <v>1</v>
      </c>
    </row>
    <row r="1642" spans="3:15">
      <c r="C1642" s="1861" t="s">
        <v>5431</v>
      </c>
      <c r="D1642" s="1858">
        <v>1</v>
      </c>
      <c r="E1642" s="1858">
        <v>1</v>
      </c>
      <c r="F1642" s="1859">
        <v>2</v>
      </c>
      <c r="G1642" s="1872" t="s">
        <v>5431</v>
      </c>
      <c r="H1642" s="1856">
        <v>1</v>
      </c>
      <c r="I1642" s="1856">
        <v>1</v>
      </c>
      <c r="J1642" s="1873">
        <v>2</v>
      </c>
      <c r="K1642" s="1860"/>
      <c r="L1642" s="1854">
        <v>13145120300</v>
      </c>
      <c r="M1642" s="1855">
        <v>1</v>
      </c>
      <c r="N1642" s="1855">
        <v>1</v>
      </c>
      <c r="O1642" s="1856">
        <v>2</v>
      </c>
    </row>
    <row r="1643" spans="3:15">
      <c r="C1643" s="1861" t="s">
        <v>5432</v>
      </c>
      <c r="D1643" s="1858">
        <v>1</v>
      </c>
      <c r="E1643" s="1858">
        <v>1</v>
      </c>
      <c r="F1643" s="1859">
        <v>2</v>
      </c>
      <c r="G1643" s="1872" t="s">
        <v>5432</v>
      </c>
      <c r="H1643" s="1856">
        <v>1</v>
      </c>
      <c r="I1643" s="1856">
        <v>1</v>
      </c>
      <c r="J1643" s="1873">
        <v>2</v>
      </c>
      <c r="K1643" s="1860"/>
      <c r="L1643" s="1854">
        <v>13145120401</v>
      </c>
      <c r="M1643" s="1855">
        <v>1</v>
      </c>
      <c r="N1643" s="1855">
        <v>1</v>
      </c>
      <c r="O1643" s="1856">
        <v>2</v>
      </c>
    </row>
    <row r="1644" spans="3:15">
      <c r="C1644" s="1861" t="s">
        <v>5433</v>
      </c>
      <c r="D1644" s="1858">
        <v>1</v>
      </c>
      <c r="E1644" s="1858">
        <v>1</v>
      </c>
      <c r="F1644" s="1859">
        <v>2</v>
      </c>
      <c r="G1644" s="1872" t="s">
        <v>5433</v>
      </c>
      <c r="H1644" s="1856">
        <v>0</v>
      </c>
      <c r="I1644" s="1856">
        <v>1</v>
      </c>
      <c r="J1644" s="1873">
        <v>1</v>
      </c>
      <c r="K1644" s="1860"/>
      <c r="L1644" s="1854">
        <v>13145120402</v>
      </c>
      <c r="M1644" s="1855">
        <v>1</v>
      </c>
      <c r="N1644" s="1855">
        <v>1</v>
      </c>
      <c r="O1644" s="1856">
        <v>2</v>
      </c>
    </row>
    <row r="1645" spans="3:15">
      <c r="C1645" s="1861" t="s">
        <v>5434</v>
      </c>
      <c r="D1645" s="1858">
        <v>0</v>
      </c>
      <c r="E1645" s="1858">
        <v>1</v>
      </c>
      <c r="F1645" s="1859">
        <v>1</v>
      </c>
      <c r="G1645" s="1872" t="s">
        <v>5434</v>
      </c>
      <c r="H1645" s="1856">
        <v>0</v>
      </c>
      <c r="I1645" s="1856">
        <v>1</v>
      </c>
      <c r="J1645" s="1873">
        <v>1</v>
      </c>
      <c r="K1645" s="1860"/>
      <c r="L1645" s="1854">
        <v>13147960100</v>
      </c>
      <c r="M1645" s="1855">
        <v>0</v>
      </c>
      <c r="N1645" s="1855">
        <v>1</v>
      </c>
      <c r="O1645" s="1856">
        <v>1</v>
      </c>
    </row>
    <row r="1646" spans="3:15">
      <c r="C1646" s="1861" t="s">
        <v>5435</v>
      </c>
      <c r="D1646" s="1858">
        <v>1</v>
      </c>
      <c r="E1646" s="1858">
        <v>1</v>
      </c>
      <c r="F1646" s="1859">
        <v>2</v>
      </c>
      <c r="G1646" s="1872" t="s">
        <v>5435</v>
      </c>
      <c r="H1646" s="1856">
        <v>0</v>
      </c>
      <c r="I1646" s="1856">
        <v>1</v>
      </c>
      <c r="J1646" s="1873">
        <v>1</v>
      </c>
      <c r="K1646" s="1860"/>
      <c r="L1646" s="1854">
        <v>13147960200</v>
      </c>
      <c r="M1646" s="1855">
        <v>1</v>
      </c>
      <c r="N1646" s="1855">
        <v>1</v>
      </c>
      <c r="O1646" s="1856">
        <v>2</v>
      </c>
    </row>
    <row r="1647" spans="3:15">
      <c r="C1647" s="1861" t="s">
        <v>5436</v>
      </c>
      <c r="D1647" s="1858">
        <v>0</v>
      </c>
      <c r="E1647" s="1858">
        <v>0</v>
      </c>
      <c r="F1647" s="1859">
        <v>0</v>
      </c>
      <c r="G1647" s="1872" t="s">
        <v>5436</v>
      </c>
      <c r="H1647" s="1856">
        <v>0</v>
      </c>
      <c r="I1647" s="1856">
        <v>0</v>
      </c>
      <c r="J1647" s="1873">
        <v>0</v>
      </c>
      <c r="K1647" s="1860"/>
      <c r="L1647" s="1854">
        <v>13147960300</v>
      </c>
      <c r="M1647" s="1855">
        <v>0</v>
      </c>
      <c r="N1647" s="1855">
        <v>0</v>
      </c>
      <c r="O1647" s="1856">
        <v>0</v>
      </c>
    </row>
    <row r="1648" spans="3:15">
      <c r="C1648" s="1861" t="s">
        <v>5437</v>
      </c>
      <c r="D1648" s="1858">
        <v>0</v>
      </c>
      <c r="E1648" s="1858">
        <v>0</v>
      </c>
      <c r="F1648" s="1859">
        <v>0</v>
      </c>
      <c r="G1648" s="1872" t="s">
        <v>5437</v>
      </c>
      <c r="H1648" s="1856">
        <v>0</v>
      </c>
      <c r="I1648" s="1856">
        <v>0</v>
      </c>
      <c r="J1648" s="1873">
        <v>0</v>
      </c>
      <c r="K1648" s="1860"/>
      <c r="L1648" s="1854">
        <v>13147960400</v>
      </c>
      <c r="M1648" s="1855">
        <v>0</v>
      </c>
      <c r="N1648" s="1855">
        <v>0</v>
      </c>
      <c r="O1648" s="1856">
        <v>0</v>
      </c>
    </row>
    <row r="1649" spans="3:15">
      <c r="C1649" s="1861" t="s">
        <v>5438</v>
      </c>
      <c r="D1649" s="1858">
        <v>0</v>
      </c>
      <c r="E1649" s="1858">
        <v>0</v>
      </c>
      <c r="F1649" s="1859">
        <v>0</v>
      </c>
      <c r="G1649" s="1872" t="s">
        <v>5438</v>
      </c>
      <c r="H1649" s="1856">
        <v>0</v>
      </c>
      <c r="I1649" s="1856">
        <v>1</v>
      </c>
      <c r="J1649" s="1873">
        <v>1</v>
      </c>
      <c r="K1649" s="1860"/>
      <c r="L1649" s="1854">
        <v>13147960500</v>
      </c>
      <c r="M1649" s="1855">
        <v>0</v>
      </c>
      <c r="N1649" s="1855">
        <v>1</v>
      </c>
      <c r="O1649" s="1856">
        <v>1</v>
      </c>
    </row>
    <row r="1650" spans="3:15">
      <c r="C1650" s="1861" t="s">
        <v>5439</v>
      </c>
      <c r="D1650" s="1858">
        <v>0</v>
      </c>
      <c r="E1650" s="1858">
        <v>0</v>
      </c>
      <c r="F1650" s="1859">
        <v>0</v>
      </c>
      <c r="G1650" s="1872" t="s">
        <v>5439</v>
      </c>
      <c r="H1650" s="1856">
        <v>0</v>
      </c>
      <c r="I1650" s="1856">
        <v>0</v>
      </c>
      <c r="J1650" s="1873">
        <v>0</v>
      </c>
      <c r="K1650" s="1860"/>
      <c r="L1650" s="1854">
        <v>13149970100</v>
      </c>
      <c r="M1650" s="1855">
        <v>0</v>
      </c>
      <c r="N1650" s="1855">
        <v>0</v>
      </c>
      <c r="O1650" s="1856">
        <v>0</v>
      </c>
    </row>
    <row r="1651" spans="3:15">
      <c r="C1651" s="1861" t="s">
        <v>5440</v>
      </c>
      <c r="D1651" s="1858">
        <v>0</v>
      </c>
      <c r="E1651" s="1858">
        <v>1</v>
      </c>
      <c r="F1651" s="1859">
        <v>1</v>
      </c>
      <c r="G1651" s="1872" t="s">
        <v>5440</v>
      </c>
      <c r="H1651" s="1856">
        <v>0</v>
      </c>
      <c r="I1651" s="1856">
        <v>1</v>
      </c>
      <c r="J1651" s="1873">
        <v>1</v>
      </c>
      <c r="K1651" s="1860"/>
      <c r="L1651" s="1854">
        <v>13149970200</v>
      </c>
      <c r="M1651" s="1855">
        <v>0</v>
      </c>
      <c r="N1651" s="1855">
        <v>1</v>
      </c>
      <c r="O1651" s="1856">
        <v>1</v>
      </c>
    </row>
    <row r="1652" spans="3:15">
      <c r="C1652" s="1861" t="s">
        <v>5441</v>
      </c>
      <c r="D1652" s="1858">
        <v>0</v>
      </c>
      <c r="E1652" s="1858">
        <v>0</v>
      </c>
      <c r="F1652" s="1859">
        <v>0</v>
      </c>
      <c r="G1652" s="1872" t="s">
        <v>5441</v>
      </c>
      <c r="H1652" s="1856">
        <v>1</v>
      </c>
      <c r="I1652" s="1856">
        <v>0</v>
      </c>
      <c r="J1652" s="1873">
        <v>1</v>
      </c>
      <c r="K1652" s="1860"/>
      <c r="L1652" s="1854">
        <v>13149970300</v>
      </c>
      <c r="M1652" s="1855">
        <v>1</v>
      </c>
      <c r="N1652" s="1855">
        <v>0</v>
      </c>
      <c r="O1652" s="1856">
        <v>1</v>
      </c>
    </row>
    <row r="1653" spans="3:15">
      <c r="C1653" s="1861" t="s">
        <v>5442</v>
      </c>
      <c r="D1653" s="1858">
        <v>1</v>
      </c>
      <c r="E1653" s="1858">
        <v>1</v>
      </c>
      <c r="F1653" s="1859">
        <v>2</v>
      </c>
      <c r="G1653" s="1872" t="s">
        <v>5442</v>
      </c>
      <c r="H1653" s="1856">
        <v>1</v>
      </c>
      <c r="I1653" s="1856">
        <v>1</v>
      </c>
      <c r="J1653" s="1873">
        <v>2</v>
      </c>
      <c r="K1653" s="1860"/>
      <c r="L1653" s="1854">
        <v>13151070104</v>
      </c>
      <c r="M1653" s="1855">
        <v>1</v>
      </c>
      <c r="N1653" s="1855">
        <v>1</v>
      </c>
      <c r="O1653" s="1856">
        <v>2</v>
      </c>
    </row>
    <row r="1654" spans="3:15">
      <c r="C1654" s="1861" t="s">
        <v>5443</v>
      </c>
      <c r="D1654" s="1858">
        <v>0</v>
      </c>
      <c r="E1654" s="1858">
        <v>0</v>
      </c>
      <c r="F1654" s="1859">
        <v>0</v>
      </c>
      <c r="G1654" s="1872" t="s">
        <v>5443</v>
      </c>
      <c r="H1654" s="1856">
        <v>0</v>
      </c>
      <c r="I1654" s="1856">
        <v>0</v>
      </c>
      <c r="J1654" s="1873">
        <v>0</v>
      </c>
      <c r="K1654" s="1860"/>
      <c r="L1654" s="1854">
        <v>13151070106</v>
      </c>
      <c r="M1654" s="1855">
        <v>0</v>
      </c>
      <c r="N1654" s="1855">
        <v>0</v>
      </c>
      <c r="O1654" s="1856">
        <v>0</v>
      </c>
    </row>
    <row r="1655" spans="3:15">
      <c r="C1655" s="1861" t="s">
        <v>5444</v>
      </c>
      <c r="D1655" s="1858">
        <v>1</v>
      </c>
      <c r="E1655" s="1858">
        <v>1</v>
      </c>
      <c r="F1655" s="1859">
        <v>2</v>
      </c>
      <c r="G1655" s="1872" t="s">
        <v>5444</v>
      </c>
      <c r="H1655" s="1856">
        <v>1</v>
      </c>
      <c r="I1655" s="1856">
        <v>1</v>
      </c>
      <c r="J1655" s="1873">
        <v>2</v>
      </c>
      <c r="K1655" s="1860"/>
      <c r="L1655" s="1854">
        <v>13151070107</v>
      </c>
      <c r="M1655" s="1855">
        <v>1</v>
      </c>
      <c r="N1655" s="1855">
        <v>1</v>
      </c>
      <c r="O1655" s="1856">
        <v>2</v>
      </c>
    </row>
    <row r="1656" spans="3:15">
      <c r="C1656" s="1861" t="s">
        <v>5445</v>
      </c>
      <c r="D1656" s="1858">
        <v>1</v>
      </c>
      <c r="E1656" s="1858">
        <v>1</v>
      </c>
      <c r="F1656" s="1859">
        <v>2</v>
      </c>
      <c r="G1656" s="1872" t="s">
        <v>5445</v>
      </c>
      <c r="H1656" s="1856">
        <v>1</v>
      </c>
      <c r="I1656" s="1856">
        <v>1</v>
      </c>
      <c r="J1656" s="1873">
        <v>2</v>
      </c>
      <c r="K1656" s="1860"/>
      <c r="L1656" s="1854">
        <v>13151070108</v>
      </c>
      <c r="M1656" s="1855">
        <v>1</v>
      </c>
      <c r="N1656" s="1855">
        <v>1</v>
      </c>
      <c r="O1656" s="1856">
        <v>2</v>
      </c>
    </row>
    <row r="1657" spans="3:15">
      <c r="C1657" s="1861" t="s">
        <v>5446</v>
      </c>
      <c r="D1657" s="1858">
        <v>1</v>
      </c>
      <c r="E1657" s="1858">
        <v>1</v>
      </c>
      <c r="F1657" s="1859">
        <v>2</v>
      </c>
      <c r="G1657" s="1872" t="s">
        <v>5446</v>
      </c>
      <c r="H1657" s="1856">
        <v>1</v>
      </c>
      <c r="I1657" s="1856">
        <v>1</v>
      </c>
      <c r="J1657" s="1873">
        <v>2</v>
      </c>
      <c r="K1657" s="1860"/>
      <c r="L1657" s="1854">
        <v>13151070109</v>
      </c>
      <c r="M1657" s="1855">
        <v>1</v>
      </c>
      <c r="N1657" s="1855">
        <v>1</v>
      </c>
      <c r="O1657" s="1856">
        <v>2</v>
      </c>
    </row>
    <row r="1658" spans="3:15">
      <c r="C1658" s="1861" t="s">
        <v>5447</v>
      </c>
      <c r="D1658" s="1858">
        <v>1</v>
      </c>
      <c r="E1658" s="1858">
        <v>1</v>
      </c>
      <c r="F1658" s="1859">
        <v>2</v>
      </c>
      <c r="G1658" s="1872" t="s">
        <v>5447</v>
      </c>
      <c r="H1658" s="1856">
        <v>1</v>
      </c>
      <c r="I1658" s="1856">
        <v>1</v>
      </c>
      <c r="J1658" s="1873">
        <v>2</v>
      </c>
      <c r="K1658" s="1860"/>
      <c r="L1658" s="1854">
        <v>13151070110</v>
      </c>
      <c r="M1658" s="1855">
        <v>1</v>
      </c>
      <c r="N1658" s="1855">
        <v>1</v>
      </c>
      <c r="O1658" s="1856">
        <v>2</v>
      </c>
    </row>
    <row r="1659" spans="3:15">
      <c r="C1659" s="1861" t="s">
        <v>5448</v>
      </c>
      <c r="D1659" s="1858">
        <v>0</v>
      </c>
      <c r="E1659" s="1858">
        <v>0</v>
      </c>
      <c r="F1659" s="1859">
        <v>0</v>
      </c>
      <c r="G1659" s="1872" t="s">
        <v>5448</v>
      </c>
      <c r="H1659" s="1856">
        <v>0</v>
      </c>
      <c r="I1659" s="1856">
        <v>0</v>
      </c>
      <c r="J1659" s="1873">
        <v>0</v>
      </c>
      <c r="K1659" s="1860"/>
      <c r="L1659" s="1854">
        <v>13151070111</v>
      </c>
      <c r="M1659" s="1855">
        <v>0</v>
      </c>
      <c r="N1659" s="1855">
        <v>0</v>
      </c>
      <c r="O1659" s="1856">
        <v>0</v>
      </c>
    </row>
    <row r="1660" spans="3:15">
      <c r="C1660" s="1861" t="s">
        <v>5449</v>
      </c>
      <c r="D1660" s="1858">
        <v>0</v>
      </c>
      <c r="E1660" s="1858">
        <v>0</v>
      </c>
      <c r="F1660" s="1859">
        <v>0</v>
      </c>
      <c r="G1660" s="1872" t="s">
        <v>5449</v>
      </c>
      <c r="H1660" s="1856">
        <v>0</v>
      </c>
      <c r="I1660" s="1856">
        <v>0</v>
      </c>
      <c r="J1660" s="1873">
        <v>0</v>
      </c>
      <c r="K1660" s="1860"/>
      <c r="L1660" s="1854">
        <v>13151070113</v>
      </c>
      <c r="M1660" s="1855">
        <v>0</v>
      </c>
      <c r="N1660" s="1855">
        <v>0</v>
      </c>
      <c r="O1660" s="1856">
        <v>0</v>
      </c>
    </row>
    <row r="1661" spans="3:15">
      <c r="C1661" s="1861" t="s">
        <v>5450</v>
      </c>
      <c r="D1661" s="1858">
        <v>0</v>
      </c>
      <c r="E1661" s="1858">
        <v>1</v>
      </c>
      <c r="F1661" s="1859">
        <v>1</v>
      </c>
      <c r="G1661" s="1872" t="s">
        <v>5450</v>
      </c>
      <c r="H1661" s="1856">
        <v>0</v>
      </c>
      <c r="I1661" s="1856">
        <v>1</v>
      </c>
      <c r="J1661" s="1873">
        <v>1</v>
      </c>
      <c r="K1661" s="1860"/>
      <c r="L1661" s="1854">
        <v>13151070114</v>
      </c>
      <c r="M1661" s="1855">
        <v>0</v>
      </c>
      <c r="N1661" s="1855">
        <v>1</v>
      </c>
      <c r="O1661" s="1856">
        <v>1</v>
      </c>
    </row>
    <row r="1662" spans="3:15">
      <c r="C1662" s="1861" t="s">
        <v>5451</v>
      </c>
      <c r="D1662" s="1858">
        <v>1</v>
      </c>
      <c r="E1662" s="1858">
        <v>1</v>
      </c>
      <c r="F1662" s="1859">
        <v>2</v>
      </c>
      <c r="G1662" s="1872" t="s">
        <v>5451</v>
      </c>
      <c r="H1662" s="1856">
        <v>1</v>
      </c>
      <c r="I1662" s="1856">
        <v>1</v>
      </c>
      <c r="J1662" s="1873">
        <v>2</v>
      </c>
      <c r="K1662" s="1860"/>
      <c r="L1662" s="1854">
        <v>13151070202</v>
      </c>
      <c r="M1662" s="1855">
        <v>1</v>
      </c>
      <c r="N1662" s="1855">
        <v>1</v>
      </c>
      <c r="O1662" s="1856">
        <v>2</v>
      </c>
    </row>
    <row r="1663" spans="3:15">
      <c r="C1663" s="1861" t="s">
        <v>5452</v>
      </c>
      <c r="D1663" s="1858">
        <v>1</v>
      </c>
      <c r="E1663" s="1858">
        <v>1</v>
      </c>
      <c r="F1663" s="1859">
        <v>2</v>
      </c>
      <c r="G1663" s="1872" t="s">
        <v>5452</v>
      </c>
      <c r="H1663" s="1856">
        <v>1</v>
      </c>
      <c r="I1663" s="1856">
        <v>1</v>
      </c>
      <c r="J1663" s="1873">
        <v>2</v>
      </c>
      <c r="K1663" s="1860"/>
      <c r="L1663" s="1854">
        <v>13151070203</v>
      </c>
      <c r="M1663" s="1855">
        <v>1</v>
      </c>
      <c r="N1663" s="1855">
        <v>1</v>
      </c>
      <c r="O1663" s="1856">
        <v>2</v>
      </c>
    </row>
    <row r="1664" spans="3:15">
      <c r="C1664" s="1861" t="s">
        <v>5453</v>
      </c>
      <c r="D1664" s="1858">
        <v>1</v>
      </c>
      <c r="E1664" s="1858">
        <v>1</v>
      </c>
      <c r="F1664" s="1859">
        <v>2</v>
      </c>
      <c r="G1664" s="1872" t="s">
        <v>5453</v>
      </c>
      <c r="H1664" s="1856">
        <v>1</v>
      </c>
      <c r="I1664" s="1856">
        <v>1</v>
      </c>
      <c r="J1664" s="1873">
        <v>2</v>
      </c>
      <c r="K1664" s="1860"/>
      <c r="L1664" s="1854">
        <v>13151070204</v>
      </c>
      <c r="M1664" s="1855">
        <v>1</v>
      </c>
      <c r="N1664" s="1855">
        <v>1</v>
      </c>
      <c r="O1664" s="1856">
        <v>2</v>
      </c>
    </row>
    <row r="1665" spans="3:15">
      <c r="C1665" s="1861" t="s">
        <v>5454</v>
      </c>
      <c r="D1665" s="1858">
        <v>0</v>
      </c>
      <c r="E1665" s="1858">
        <v>1</v>
      </c>
      <c r="F1665" s="1859">
        <v>1</v>
      </c>
      <c r="G1665" s="1872" t="s">
        <v>5454</v>
      </c>
      <c r="H1665" s="1856">
        <v>0</v>
      </c>
      <c r="I1665" s="1856">
        <v>1</v>
      </c>
      <c r="J1665" s="1873">
        <v>1</v>
      </c>
      <c r="K1665" s="1860"/>
      <c r="L1665" s="1854">
        <v>13151070205</v>
      </c>
      <c r="M1665" s="1855">
        <v>0</v>
      </c>
      <c r="N1665" s="1855">
        <v>1</v>
      </c>
      <c r="O1665" s="1856">
        <v>1</v>
      </c>
    </row>
    <row r="1666" spans="3:15">
      <c r="C1666" s="1861" t="s">
        <v>5455</v>
      </c>
      <c r="D1666" s="1858">
        <v>0</v>
      </c>
      <c r="E1666" s="1858">
        <v>0</v>
      </c>
      <c r="F1666" s="1859">
        <v>0</v>
      </c>
      <c r="G1666" s="1872" t="s">
        <v>5455</v>
      </c>
      <c r="H1666" s="1856">
        <v>0</v>
      </c>
      <c r="I1666" s="1856">
        <v>1</v>
      </c>
      <c r="J1666" s="1873">
        <v>1</v>
      </c>
      <c r="K1666" s="1860"/>
      <c r="L1666" s="1854">
        <v>13151070304</v>
      </c>
      <c r="M1666" s="1855">
        <v>0</v>
      </c>
      <c r="N1666" s="1855">
        <v>1</v>
      </c>
      <c r="O1666" s="1856">
        <v>1</v>
      </c>
    </row>
    <row r="1667" spans="3:15">
      <c r="C1667" s="1861" t="s">
        <v>5456</v>
      </c>
      <c r="D1667" s="1858">
        <v>1</v>
      </c>
      <c r="E1667" s="1858">
        <v>1</v>
      </c>
      <c r="F1667" s="1859">
        <v>2</v>
      </c>
      <c r="G1667" s="1872" t="s">
        <v>5456</v>
      </c>
      <c r="H1667" s="1856">
        <v>1</v>
      </c>
      <c r="I1667" s="1856" t="s">
        <v>3908</v>
      </c>
      <c r="J1667" s="1873">
        <v>1</v>
      </c>
      <c r="K1667" s="1860"/>
      <c r="L1667" s="1854">
        <v>13151070305</v>
      </c>
      <c r="M1667" s="1855">
        <v>1</v>
      </c>
      <c r="N1667" s="1855">
        <v>1</v>
      </c>
      <c r="O1667" s="1856">
        <v>2</v>
      </c>
    </row>
    <row r="1668" spans="3:15">
      <c r="C1668" s="1861" t="s">
        <v>5457</v>
      </c>
      <c r="D1668" s="1858">
        <v>1</v>
      </c>
      <c r="E1668" s="1858">
        <v>1</v>
      </c>
      <c r="F1668" s="1859">
        <v>2</v>
      </c>
      <c r="G1668" s="1872" t="s">
        <v>5457</v>
      </c>
      <c r="H1668" s="1856">
        <v>1</v>
      </c>
      <c r="I1668" s="1856">
        <v>1</v>
      </c>
      <c r="J1668" s="1873">
        <v>2</v>
      </c>
      <c r="K1668" s="1860"/>
      <c r="L1668" s="1854">
        <v>13151070306</v>
      </c>
      <c r="M1668" s="1855">
        <v>1</v>
      </c>
      <c r="N1668" s="1855">
        <v>1</v>
      </c>
      <c r="O1668" s="1856">
        <v>2</v>
      </c>
    </row>
    <row r="1669" spans="3:15">
      <c r="C1669" s="1861" t="s">
        <v>5458</v>
      </c>
      <c r="D1669" s="1858">
        <v>1</v>
      </c>
      <c r="E1669" s="1858">
        <v>1</v>
      </c>
      <c r="F1669" s="1859">
        <v>2</v>
      </c>
      <c r="G1669" s="1872" t="s">
        <v>5458</v>
      </c>
      <c r="H1669" s="1856">
        <v>1</v>
      </c>
      <c r="I1669" s="1856">
        <v>1</v>
      </c>
      <c r="J1669" s="1873">
        <v>2</v>
      </c>
      <c r="K1669" s="1860"/>
      <c r="L1669" s="1854">
        <v>13151070307</v>
      </c>
      <c r="M1669" s="1855">
        <v>1</v>
      </c>
      <c r="N1669" s="1855">
        <v>1</v>
      </c>
      <c r="O1669" s="1856">
        <v>2</v>
      </c>
    </row>
    <row r="1670" spans="3:15">
      <c r="C1670" s="1861" t="s">
        <v>5459</v>
      </c>
      <c r="D1670" s="1858">
        <v>1</v>
      </c>
      <c r="E1670" s="1858">
        <v>1</v>
      </c>
      <c r="F1670" s="1859">
        <v>2</v>
      </c>
      <c r="G1670" s="1872" t="s">
        <v>5459</v>
      </c>
      <c r="H1670" s="1856">
        <v>1</v>
      </c>
      <c r="I1670" s="1856">
        <v>1</v>
      </c>
      <c r="J1670" s="1873">
        <v>2</v>
      </c>
      <c r="K1670" s="1860"/>
      <c r="L1670" s="1854">
        <v>13151070309</v>
      </c>
      <c r="M1670" s="1855">
        <v>1</v>
      </c>
      <c r="N1670" s="1855">
        <v>1</v>
      </c>
      <c r="O1670" s="1856">
        <v>2</v>
      </c>
    </row>
    <row r="1671" spans="3:15">
      <c r="C1671" s="1861" t="s">
        <v>5460</v>
      </c>
      <c r="D1671" s="1858">
        <v>1</v>
      </c>
      <c r="E1671" s="1858">
        <v>1</v>
      </c>
      <c r="F1671" s="1859">
        <v>2</v>
      </c>
      <c r="G1671" s="1872" t="s">
        <v>5460</v>
      </c>
      <c r="H1671" s="1856">
        <v>1</v>
      </c>
      <c r="I1671" s="1856">
        <v>0</v>
      </c>
      <c r="J1671" s="1873">
        <v>1</v>
      </c>
      <c r="K1671" s="1860"/>
      <c r="L1671" s="1854">
        <v>13151070310</v>
      </c>
      <c r="M1671" s="1855">
        <v>1</v>
      </c>
      <c r="N1671" s="1855">
        <v>1</v>
      </c>
      <c r="O1671" s="1856">
        <v>2</v>
      </c>
    </row>
    <row r="1672" spans="3:15">
      <c r="C1672" s="1861" t="s">
        <v>5461</v>
      </c>
      <c r="D1672" s="1858">
        <v>0</v>
      </c>
      <c r="E1672" s="1858">
        <v>0</v>
      </c>
      <c r="F1672" s="1859">
        <v>0</v>
      </c>
      <c r="G1672" s="1872" t="s">
        <v>5461</v>
      </c>
      <c r="H1672" s="1856">
        <v>0</v>
      </c>
      <c r="I1672" s="1856" t="s">
        <v>3908</v>
      </c>
      <c r="J1672" s="1873">
        <v>0</v>
      </c>
      <c r="K1672" s="1860"/>
      <c r="L1672" s="1854">
        <v>13151070311</v>
      </c>
      <c r="M1672" s="1855">
        <v>0</v>
      </c>
      <c r="N1672" s="1855">
        <v>0</v>
      </c>
      <c r="O1672" s="1856">
        <v>0</v>
      </c>
    </row>
    <row r="1673" spans="3:15">
      <c r="C1673" s="1861" t="s">
        <v>5462</v>
      </c>
      <c r="D1673" s="1858">
        <v>1</v>
      </c>
      <c r="E1673" s="1858">
        <v>1</v>
      </c>
      <c r="F1673" s="1859">
        <v>2</v>
      </c>
      <c r="G1673" s="1872" t="s">
        <v>5462</v>
      </c>
      <c r="H1673" s="1856">
        <v>1</v>
      </c>
      <c r="I1673" s="1856">
        <v>1</v>
      </c>
      <c r="J1673" s="1873">
        <v>2</v>
      </c>
      <c r="K1673" s="1860"/>
      <c r="L1673" s="1854">
        <v>13151070402</v>
      </c>
      <c r="M1673" s="1855">
        <v>1</v>
      </c>
      <c r="N1673" s="1855">
        <v>1</v>
      </c>
      <c r="O1673" s="1856">
        <v>2</v>
      </c>
    </row>
    <row r="1674" spans="3:15">
      <c r="C1674" s="1861" t="s">
        <v>5463</v>
      </c>
      <c r="D1674" s="1858">
        <v>0</v>
      </c>
      <c r="E1674" s="1858">
        <v>1</v>
      </c>
      <c r="F1674" s="1859">
        <v>1</v>
      </c>
      <c r="G1674" s="1872" t="s">
        <v>5463</v>
      </c>
      <c r="H1674" s="1856">
        <v>0</v>
      </c>
      <c r="I1674" s="1856">
        <v>0</v>
      </c>
      <c r="J1674" s="1873">
        <v>0</v>
      </c>
      <c r="K1674" s="1860"/>
      <c r="L1674" s="1854">
        <v>13151070403</v>
      </c>
      <c r="M1674" s="1855">
        <v>0</v>
      </c>
      <c r="N1674" s="1855">
        <v>1</v>
      </c>
      <c r="O1674" s="1856">
        <v>1</v>
      </c>
    </row>
    <row r="1675" spans="3:15">
      <c r="C1675" s="1861" t="s">
        <v>5464</v>
      </c>
      <c r="D1675" s="1858">
        <v>1</v>
      </c>
      <c r="E1675" s="1858">
        <v>1</v>
      </c>
      <c r="F1675" s="1859">
        <v>2</v>
      </c>
      <c r="G1675" s="1872" t="s">
        <v>5464</v>
      </c>
      <c r="H1675" s="1856">
        <v>1</v>
      </c>
      <c r="I1675" s="1856">
        <v>1</v>
      </c>
      <c r="J1675" s="1873">
        <v>2</v>
      </c>
      <c r="K1675" s="1860"/>
      <c r="L1675" s="1854">
        <v>13151070404</v>
      </c>
      <c r="M1675" s="1855">
        <v>1</v>
      </c>
      <c r="N1675" s="1855">
        <v>1</v>
      </c>
      <c r="O1675" s="1856">
        <v>2</v>
      </c>
    </row>
    <row r="1676" spans="3:15">
      <c r="C1676" s="1861" t="s">
        <v>5465</v>
      </c>
      <c r="D1676" s="1858">
        <v>0</v>
      </c>
      <c r="E1676" s="1858">
        <v>0</v>
      </c>
      <c r="F1676" s="1859">
        <v>0</v>
      </c>
      <c r="G1676" s="1872" t="s">
        <v>5465</v>
      </c>
      <c r="H1676" s="1856">
        <v>1</v>
      </c>
      <c r="I1676" s="1856">
        <v>0</v>
      </c>
      <c r="J1676" s="1873">
        <v>1</v>
      </c>
      <c r="K1676" s="1860"/>
      <c r="L1676" s="1854">
        <v>13151070501</v>
      </c>
      <c r="M1676" s="1855">
        <v>1</v>
      </c>
      <c r="N1676" s="1855">
        <v>0</v>
      </c>
      <c r="O1676" s="1856">
        <v>1</v>
      </c>
    </row>
    <row r="1677" spans="3:15">
      <c r="C1677" s="1861" t="s">
        <v>5466</v>
      </c>
      <c r="D1677" s="1858">
        <v>1</v>
      </c>
      <c r="E1677" s="1858">
        <v>1</v>
      </c>
      <c r="F1677" s="1859">
        <v>2</v>
      </c>
      <c r="G1677" s="1872" t="s">
        <v>5466</v>
      </c>
      <c r="H1677" s="1856">
        <v>1</v>
      </c>
      <c r="I1677" s="1856">
        <v>1</v>
      </c>
      <c r="J1677" s="1873">
        <v>2</v>
      </c>
      <c r="K1677" s="1860"/>
      <c r="L1677" s="1854">
        <v>13151070502</v>
      </c>
      <c r="M1677" s="1855">
        <v>1</v>
      </c>
      <c r="N1677" s="1855">
        <v>1</v>
      </c>
      <c r="O1677" s="1856">
        <v>2</v>
      </c>
    </row>
    <row r="1678" spans="3:15">
      <c r="C1678" s="1861" t="s">
        <v>5467</v>
      </c>
      <c r="D1678" s="1858">
        <v>0</v>
      </c>
      <c r="E1678" s="1858">
        <v>0</v>
      </c>
      <c r="F1678" s="1859">
        <v>0</v>
      </c>
      <c r="G1678" s="1872" t="s">
        <v>5467</v>
      </c>
      <c r="H1678" s="1856">
        <v>0</v>
      </c>
      <c r="I1678" s="1856">
        <v>1</v>
      </c>
      <c r="J1678" s="1873">
        <v>0</v>
      </c>
      <c r="K1678" s="1860"/>
      <c r="L1678" s="1854">
        <v>13153020105</v>
      </c>
      <c r="M1678" s="1855">
        <v>0</v>
      </c>
      <c r="N1678" s="1855">
        <v>1</v>
      </c>
      <c r="O1678" s="1856">
        <v>0</v>
      </c>
    </row>
    <row r="1679" spans="3:15">
      <c r="C1679" s="1861" t="s">
        <v>5468</v>
      </c>
      <c r="D1679" s="1858">
        <v>0</v>
      </c>
      <c r="E1679" s="1858">
        <v>1</v>
      </c>
      <c r="F1679" s="1859">
        <v>1</v>
      </c>
      <c r="G1679" s="1872" t="s">
        <v>5468</v>
      </c>
      <c r="H1679" s="1856">
        <v>0</v>
      </c>
      <c r="I1679" s="1856">
        <v>0</v>
      </c>
      <c r="J1679" s="1873">
        <v>0</v>
      </c>
      <c r="K1679" s="1860"/>
      <c r="L1679" s="1854">
        <v>13153020106</v>
      </c>
      <c r="M1679" s="1855">
        <v>0</v>
      </c>
      <c r="N1679" s="1855">
        <v>1</v>
      </c>
      <c r="O1679" s="1856">
        <v>1</v>
      </c>
    </row>
    <row r="1680" spans="3:15">
      <c r="C1680" s="1861" t="s">
        <v>5469</v>
      </c>
      <c r="D1680" s="1858">
        <v>0</v>
      </c>
      <c r="E1680" s="1858">
        <v>1</v>
      </c>
      <c r="F1680" s="1859">
        <v>1</v>
      </c>
      <c r="G1680" s="1872" t="s">
        <v>5469</v>
      </c>
      <c r="H1680" s="1856">
        <v>0</v>
      </c>
      <c r="I1680" s="1856">
        <v>1</v>
      </c>
      <c r="J1680" s="1873">
        <v>1</v>
      </c>
      <c r="K1680" s="1860"/>
      <c r="L1680" s="1854">
        <v>13153020108</v>
      </c>
      <c r="M1680" s="1855">
        <v>0</v>
      </c>
      <c r="N1680" s="1855">
        <v>1</v>
      </c>
      <c r="O1680" s="1856">
        <v>1</v>
      </c>
    </row>
    <row r="1681" spans="3:15">
      <c r="C1681" s="1861" t="s">
        <v>5470</v>
      </c>
      <c r="D1681" s="1858">
        <v>1</v>
      </c>
      <c r="E1681" s="1858">
        <v>1</v>
      </c>
      <c r="F1681" s="1859">
        <v>2</v>
      </c>
      <c r="G1681" s="1872" t="s">
        <v>5470</v>
      </c>
      <c r="H1681" s="1856">
        <v>1</v>
      </c>
      <c r="I1681" s="1856">
        <v>1</v>
      </c>
      <c r="J1681" s="1873">
        <v>2</v>
      </c>
      <c r="K1681" s="1860"/>
      <c r="L1681" s="1854">
        <v>13153020109</v>
      </c>
      <c r="M1681" s="1855">
        <v>1</v>
      </c>
      <c r="N1681" s="1855">
        <v>1</v>
      </c>
      <c r="O1681" s="1856">
        <v>2</v>
      </c>
    </row>
    <row r="1682" spans="3:15">
      <c r="C1682" s="1861" t="s">
        <v>5471</v>
      </c>
      <c r="D1682" s="1858">
        <v>0</v>
      </c>
      <c r="E1682" s="1858">
        <v>0</v>
      </c>
      <c r="F1682" s="1859">
        <v>0</v>
      </c>
      <c r="G1682" s="1872" t="s">
        <v>5471</v>
      </c>
      <c r="H1682" s="1856">
        <v>0</v>
      </c>
      <c r="I1682" s="1856">
        <v>0</v>
      </c>
      <c r="J1682" s="1873">
        <v>0</v>
      </c>
      <c r="K1682" s="1860"/>
      <c r="L1682" s="1854">
        <v>13153020200</v>
      </c>
      <c r="M1682" s="1855">
        <v>0</v>
      </c>
      <c r="N1682" s="1855">
        <v>0</v>
      </c>
      <c r="O1682" s="1856">
        <v>0</v>
      </c>
    </row>
    <row r="1683" spans="3:15">
      <c r="C1683" s="1861" t="s">
        <v>5472</v>
      </c>
      <c r="D1683" s="1858">
        <v>0</v>
      </c>
      <c r="E1683" s="1858">
        <v>0</v>
      </c>
      <c r="F1683" s="1859">
        <v>0</v>
      </c>
      <c r="G1683" s="1872" t="s">
        <v>5472</v>
      </c>
      <c r="H1683" s="1856">
        <v>0</v>
      </c>
      <c r="I1683" s="1856">
        <v>0</v>
      </c>
      <c r="J1683" s="1873">
        <v>0</v>
      </c>
      <c r="K1683" s="1860"/>
      <c r="L1683" s="1854">
        <v>13153020300</v>
      </c>
      <c r="M1683" s="1855">
        <v>0</v>
      </c>
      <c r="N1683" s="1855">
        <v>0</v>
      </c>
      <c r="O1683" s="1856">
        <v>0</v>
      </c>
    </row>
    <row r="1684" spans="3:15">
      <c r="C1684" s="1861" t="s">
        <v>5473</v>
      </c>
      <c r="D1684" s="1858">
        <v>0</v>
      </c>
      <c r="E1684" s="1858">
        <v>0</v>
      </c>
      <c r="F1684" s="1859">
        <v>0</v>
      </c>
      <c r="G1684" s="1872" t="s">
        <v>5473</v>
      </c>
      <c r="H1684" s="1856">
        <v>0</v>
      </c>
      <c r="I1684" s="1856">
        <v>0</v>
      </c>
      <c r="J1684" s="1873">
        <v>0</v>
      </c>
      <c r="K1684" s="1860"/>
      <c r="L1684" s="1854">
        <v>13153020400</v>
      </c>
      <c r="M1684" s="1855">
        <v>0</v>
      </c>
      <c r="N1684" s="1855">
        <v>0</v>
      </c>
      <c r="O1684" s="1856">
        <v>0</v>
      </c>
    </row>
    <row r="1685" spans="3:15">
      <c r="C1685" s="1861" t="s">
        <v>5474</v>
      </c>
      <c r="D1685" s="1858">
        <v>0</v>
      </c>
      <c r="E1685" s="1858">
        <v>1</v>
      </c>
      <c r="F1685" s="1859">
        <v>1</v>
      </c>
      <c r="G1685" s="1872" t="s">
        <v>5474</v>
      </c>
      <c r="H1685" s="1856">
        <v>0</v>
      </c>
      <c r="I1685" s="1856" t="s">
        <v>3908</v>
      </c>
      <c r="J1685" s="1873">
        <v>0</v>
      </c>
      <c r="K1685" s="1860"/>
      <c r="L1685" s="1854">
        <v>13153020600</v>
      </c>
      <c r="M1685" s="1855">
        <v>0</v>
      </c>
      <c r="N1685" s="1855">
        <v>1</v>
      </c>
      <c r="O1685" s="1856">
        <v>1</v>
      </c>
    </row>
    <row r="1686" spans="3:15">
      <c r="C1686" s="1861" t="s">
        <v>5475</v>
      </c>
      <c r="D1686" s="1858">
        <v>0</v>
      </c>
      <c r="E1686" s="1858">
        <v>0</v>
      </c>
      <c r="F1686" s="1859">
        <v>0</v>
      </c>
      <c r="G1686" s="1872" t="s">
        <v>5475</v>
      </c>
      <c r="H1686" s="1856">
        <v>0</v>
      </c>
      <c r="I1686" s="1856">
        <v>0</v>
      </c>
      <c r="J1686" s="1873">
        <v>0</v>
      </c>
      <c r="K1686" s="1860"/>
      <c r="L1686" s="1854">
        <v>13153020700</v>
      </c>
      <c r="M1686" s="1855">
        <v>0</v>
      </c>
      <c r="N1686" s="1855">
        <v>0</v>
      </c>
      <c r="O1686" s="1856">
        <v>0</v>
      </c>
    </row>
    <row r="1687" spans="3:15">
      <c r="C1687" s="1861" t="s">
        <v>5476</v>
      </c>
      <c r="D1687" s="1858">
        <v>0</v>
      </c>
      <c r="E1687" s="1858">
        <v>0</v>
      </c>
      <c r="F1687" s="1859">
        <v>0</v>
      </c>
      <c r="G1687" s="1872" t="s">
        <v>5476</v>
      </c>
      <c r="H1687" s="1856">
        <v>1</v>
      </c>
      <c r="I1687" s="1856">
        <v>0</v>
      </c>
      <c r="J1687" s="1873">
        <v>1</v>
      </c>
      <c r="K1687" s="1860"/>
      <c r="L1687" s="1854">
        <v>13153020800</v>
      </c>
      <c r="M1687" s="1855">
        <v>1</v>
      </c>
      <c r="N1687" s="1855">
        <v>0</v>
      </c>
      <c r="O1687" s="1856">
        <v>1</v>
      </c>
    </row>
    <row r="1688" spans="3:15">
      <c r="C1688" s="1861" t="s">
        <v>5477</v>
      </c>
      <c r="D1688" s="1858">
        <v>0</v>
      </c>
      <c r="E1688" s="1858">
        <v>0</v>
      </c>
      <c r="F1688" s="1859">
        <v>0</v>
      </c>
      <c r="G1688" s="1872" t="s">
        <v>5477</v>
      </c>
      <c r="H1688" s="1856">
        <v>0</v>
      </c>
      <c r="I1688" s="1856">
        <v>0</v>
      </c>
      <c r="J1688" s="1873">
        <v>0</v>
      </c>
      <c r="K1688" s="1860"/>
      <c r="L1688" s="1854">
        <v>13153020900</v>
      </c>
      <c r="M1688" s="1855">
        <v>0</v>
      </c>
      <c r="N1688" s="1855">
        <v>0</v>
      </c>
      <c r="O1688" s="1856">
        <v>0</v>
      </c>
    </row>
    <row r="1689" spans="3:15">
      <c r="C1689" s="1861" t="s">
        <v>5478</v>
      </c>
      <c r="D1689" s="1858">
        <v>0</v>
      </c>
      <c r="E1689" s="1858">
        <v>0</v>
      </c>
      <c r="F1689" s="1859">
        <v>0</v>
      </c>
      <c r="G1689" s="1872" t="s">
        <v>5478</v>
      </c>
      <c r="H1689" s="1856">
        <v>0</v>
      </c>
      <c r="I1689" s="1856">
        <v>1</v>
      </c>
      <c r="J1689" s="1873">
        <v>1</v>
      </c>
      <c r="K1689" s="1860"/>
      <c r="L1689" s="1854">
        <v>13153021000</v>
      </c>
      <c r="M1689" s="1855">
        <v>0</v>
      </c>
      <c r="N1689" s="1855">
        <v>1</v>
      </c>
      <c r="O1689" s="1856">
        <v>1</v>
      </c>
    </row>
    <row r="1690" spans="3:15">
      <c r="C1690" s="1861" t="s">
        <v>5479</v>
      </c>
      <c r="D1690" s="1858">
        <v>1</v>
      </c>
      <c r="E1690" s="1858">
        <v>1</v>
      </c>
      <c r="F1690" s="1859">
        <v>2</v>
      </c>
      <c r="G1690" s="1872" t="s">
        <v>5479</v>
      </c>
      <c r="H1690" s="1856">
        <v>1</v>
      </c>
      <c r="I1690" s="1856">
        <v>1</v>
      </c>
      <c r="J1690" s="1873">
        <v>2</v>
      </c>
      <c r="K1690" s="1860"/>
      <c r="L1690" s="1854">
        <v>13153021103</v>
      </c>
      <c r="M1690" s="1855">
        <v>1</v>
      </c>
      <c r="N1690" s="1855">
        <v>1</v>
      </c>
      <c r="O1690" s="1856">
        <v>2</v>
      </c>
    </row>
    <row r="1691" spans="3:15">
      <c r="C1691" s="1861" t="s">
        <v>5480</v>
      </c>
      <c r="D1691" s="1858">
        <v>0</v>
      </c>
      <c r="E1691" s="1858">
        <v>0</v>
      </c>
      <c r="F1691" s="1859">
        <v>0</v>
      </c>
      <c r="G1691" s="1872" t="s">
        <v>5480</v>
      </c>
      <c r="H1691" s="1856">
        <v>0</v>
      </c>
      <c r="I1691" s="1856">
        <v>0</v>
      </c>
      <c r="J1691" s="1873">
        <v>0</v>
      </c>
      <c r="K1691" s="1860"/>
      <c r="L1691" s="1854">
        <v>13153021104</v>
      </c>
      <c r="M1691" s="1855">
        <v>0</v>
      </c>
      <c r="N1691" s="1855">
        <v>0</v>
      </c>
      <c r="O1691" s="1856">
        <v>0</v>
      </c>
    </row>
    <row r="1692" spans="3:15">
      <c r="C1692" s="1861" t="s">
        <v>5481</v>
      </c>
      <c r="D1692" s="1858">
        <v>0</v>
      </c>
      <c r="E1692" s="1858">
        <v>1</v>
      </c>
      <c r="F1692" s="1859">
        <v>1</v>
      </c>
      <c r="G1692" s="1872" t="s">
        <v>5481</v>
      </c>
      <c r="H1692" s="1856">
        <v>1</v>
      </c>
      <c r="I1692" s="1856">
        <v>0</v>
      </c>
      <c r="J1692" s="1873">
        <v>1</v>
      </c>
      <c r="K1692" s="1860"/>
      <c r="L1692" s="1854">
        <v>13153021105</v>
      </c>
      <c r="M1692" s="1855">
        <v>1</v>
      </c>
      <c r="N1692" s="1855">
        <v>1</v>
      </c>
      <c r="O1692" s="1856">
        <v>1</v>
      </c>
    </row>
    <row r="1693" spans="3:15">
      <c r="C1693" s="1861" t="s">
        <v>5482</v>
      </c>
      <c r="D1693" s="1858">
        <v>1</v>
      </c>
      <c r="E1693" s="1858">
        <v>1</v>
      </c>
      <c r="F1693" s="1859">
        <v>2</v>
      </c>
      <c r="G1693" s="1872" t="s">
        <v>5482</v>
      </c>
      <c r="H1693" s="1856">
        <v>0</v>
      </c>
      <c r="I1693" s="1856">
        <v>1</v>
      </c>
      <c r="J1693" s="1873">
        <v>1</v>
      </c>
      <c r="K1693" s="1860"/>
      <c r="L1693" s="1854">
        <v>13153021107</v>
      </c>
      <c r="M1693" s="1855">
        <v>1</v>
      </c>
      <c r="N1693" s="1855">
        <v>1</v>
      </c>
      <c r="O1693" s="1856">
        <v>2</v>
      </c>
    </row>
    <row r="1694" spans="3:15">
      <c r="C1694" s="1861" t="s">
        <v>5483</v>
      </c>
      <c r="D1694" s="1858">
        <v>1</v>
      </c>
      <c r="E1694" s="1858">
        <v>1</v>
      </c>
      <c r="F1694" s="1859">
        <v>2</v>
      </c>
      <c r="G1694" s="1872" t="s">
        <v>5483</v>
      </c>
      <c r="H1694" s="1856">
        <v>1</v>
      </c>
      <c r="I1694" s="1856">
        <v>1</v>
      </c>
      <c r="J1694" s="1873">
        <v>2</v>
      </c>
      <c r="K1694" s="1860"/>
      <c r="L1694" s="1854">
        <v>13153021108</v>
      </c>
      <c r="M1694" s="1855">
        <v>1</v>
      </c>
      <c r="N1694" s="1855">
        <v>1</v>
      </c>
      <c r="O1694" s="1856">
        <v>2</v>
      </c>
    </row>
    <row r="1695" spans="3:15">
      <c r="C1695" s="1861" t="s">
        <v>5484</v>
      </c>
      <c r="D1695" s="1858">
        <v>1</v>
      </c>
      <c r="E1695" s="1858">
        <v>1</v>
      </c>
      <c r="F1695" s="1859">
        <v>2</v>
      </c>
      <c r="G1695" s="1872" t="s">
        <v>5484</v>
      </c>
      <c r="H1695" s="1856">
        <v>1</v>
      </c>
      <c r="I1695" s="1856">
        <v>1</v>
      </c>
      <c r="J1695" s="1873">
        <v>2</v>
      </c>
      <c r="K1695" s="1860"/>
      <c r="L1695" s="1854">
        <v>13153021113</v>
      </c>
      <c r="M1695" s="1855">
        <v>1</v>
      </c>
      <c r="N1695" s="1855">
        <v>1</v>
      </c>
      <c r="O1695" s="1856">
        <v>2</v>
      </c>
    </row>
    <row r="1696" spans="3:15">
      <c r="C1696" s="1861" t="s">
        <v>5485</v>
      </c>
      <c r="D1696" s="1858">
        <v>1</v>
      </c>
      <c r="E1696" s="1858">
        <v>1</v>
      </c>
      <c r="F1696" s="1859">
        <v>2</v>
      </c>
      <c r="G1696" s="1872" t="s">
        <v>5485</v>
      </c>
      <c r="H1696" s="1856">
        <v>1</v>
      </c>
      <c r="I1696" s="1856">
        <v>1</v>
      </c>
      <c r="J1696" s="1873">
        <v>2</v>
      </c>
      <c r="K1696" s="1860"/>
      <c r="L1696" s="1854">
        <v>13153021201</v>
      </c>
      <c r="M1696" s="1855">
        <v>1</v>
      </c>
      <c r="N1696" s="1855">
        <v>1</v>
      </c>
      <c r="O1696" s="1856">
        <v>2</v>
      </c>
    </row>
    <row r="1697" spans="3:15">
      <c r="C1697" s="1861" t="s">
        <v>5486</v>
      </c>
      <c r="D1697" s="1858">
        <v>0</v>
      </c>
      <c r="E1697" s="1858">
        <v>1</v>
      </c>
      <c r="F1697" s="1859">
        <v>1</v>
      </c>
      <c r="G1697" s="1872" t="s">
        <v>5486</v>
      </c>
      <c r="H1697" s="1856">
        <v>0</v>
      </c>
      <c r="I1697" s="1856">
        <v>1</v>
      </c>
      <c r="J1697" s="1873">
        <v>1</v>
      </c>
      <c r="K1697" s="1860"/>
      <c r="L1697" s="1854">
        <v>13153021202</v>
      </c>
      <c r="M1697" s="1855">
        <v>0</v>
      </c>
      <c r="N1697" s="1855">
        <v>1</v>
      </c>
      <c r="O1697" s="1856">
        <v>1</v>
      </c>
    </row>
    <row r="1698" spans="3:15">
      <c r="C1698" s="1861" t="s">
        <v>5487</v>
      </c>
      <c r="D1698" s="1858">
        <v>0</v>
      </c>
      <c r="E1698" s="1858">
        <v>0</v>
      </c>
      <c r="F1698" s="1859">
        <v>0</v>
      </c>
      <c r="G1698" s="1872" t="s">
        <v>5487</v>
      </c>
      <c r="H1698" s="1856">
        <v>0</v>
      </c>
      <c r="I1698" s="1856">
        <v>0</v>
      </c>
      <c r="J1698" s="1873">
        <v>0</v>
      </c>
      <c r="K1698" s="1860"/>
      <c r="L1698" s="1854">
        <v>13153021300</v>
      </c>
      <c r="M1698" s="1855">
        <v>0</v>
      </c>
      <c r="N1698" s="1855">
        <v>0</v>
      </c>
      <c r="O1698" s="1856">
        <v>0</v>
      </c>
    </row>
    <row r="1699" spans="3:15">
      <c r="C1699" s="1861" t="s">
        <v>5488</v>
      </c>
      <c r="D1699" s="1858">
        <v>0</v>
      </c>
      <c r="E1699" s="1858">
        <v>1</v>
      </c>
      <c r="F1699" s="1859">
        <v>1</v>
      </c>
      <c r="G1699" s="1872" t="s">
        <v>5488</v>
      </c>
      <c r="H1699" s="1856">
        <v>0</v>
      </c>
      <c r="I1699" s="1856">
        <v>1</v>
      </c>
      <c r="J1699" s="1873">
        <v>1</v>
      </c>
      <c r="K1699" s="1860"/>
      <c r="L1699" s="1854">
        <v>13153021400</v>
      </c>
      <c r="M1699" s="1855">
        <v>0</v>
      </c>
      <c r="N1699" s="1855">
        <v>1</v>
      </c>
      <c r="O1699" s="1856">
        <v>1</v>
      </c>
    </row>
    <row r="1700" spans="3:15">
      <c r="C1700" s="1861" t="s">
        <v>5489</v>
      </c>
      <c r="D1700" s="1858">
        <v>1</v>
      </c>
      <c r="E1700" s="1858">
        <v>1</v>
      </c>
      <c r="F1700" s="1859">
        <v>2</v>
      </c>
      <c r="G1700" s="1872" t="s">
        <v>5489</v>
      </c>
      <c r="H1700" s="1856">
        <v>1</v>
      </c>
      <c r="I1700" s="1856">
        <v>1</v>
      </c>
      <c r="J1700" s="1873">
        <v>2</v>
      </c>
      <c r="K1700" s="1860"/>
      <c r="L1700" s="1854">
        <v>13153021500</v>
      </c>
      <c r="M1700" s="1855">
        <v>1</v>
      </c>
      <c r="N1700" s="1855">
        <v>1</v>
      </c>
      <c r="O1700" s="1856">
        <v>2</v>
      </c>
    </row>
    <row r="1701" spans="3:15">
      <c r="C1701" s="1861" t="s">
        <v>5490</v>
      </c>
      <c r="D1701" s="1858">
        <v>0</v>
      </c>
      <c r="E1701" s="1858">
        <v>0</v>
      </c>
      <c r="F1701" s="1859">
        <v>0</v>
      </c>
      <c r="G1701" s="1872" t="s">
        <v>5490</v>
      </c>
      <c r="H1701" s="1856">
        <v>0</v>
      </c>
      <c r="I1701" s="1856">
        <v>0</v>
      </c>
      <c r="J1701" s="1873">
        <v>0</v>
      </c>
      <c r="K1701" s="1860"/>
      <c r="L1701" s="1854">
        <v>13155950100</v>
      </c>
      <c r="M1701" s="1855">
        <v>0</v>
      </c>
      <c r="N1701" s="1855">
        <v>0</v>
      </c>
      <c r="O1701" s="1856">
        <v>0</v>
      </c>
    </row>
    <row r="1702" spans="3:15">
      <c r="C1702" s="1861" t="s">
        <v>5491</v>
      </c>
      <c r="D1702" s="1858">
        <v>0</v>
      </c>
      <c r="E1702" s="1858">
        <v>0</v>
      </c>
      <c r="F1702" s="1859">
        <v>0</v>
      </c>
      <c r="G1702" s="1872" t="s">
        <v>5491</v>
      </c>
      <c r="H1702" s="1856">
        <v>0</v>
      </c>
      <c r="I1702" s="1856">
        <v>0</v>
      </c>
      <c r="J1702" s="1873">
        <v>0</v>
      </c>
      <c r="K1702" s="1860"/>
      <c r="L1702" s="1854">
        <v>13155950200</v>
      </c>
      <c r="M1702" s="1855">
        <v>0</v>
      </c>
      <c r="N1702" s="1855">
        <v>0</v>
      </c>
      <c r="O1702" s="1856">
        <v>0</v>
      </c>
    </row>
    <row r="1703" spans="3:15">
      <c r="C1703" s="1861" t="s">
        <v>5492</v>
      </c>
      <c r="D1703" s="1858">
        <v>1</v>
      </c>
      <c r="E1703" s="1858">
        <v>1</v>
      </c>
      <c r="F1703" s="1859">
        <v>2</v>
      </c>
      <c r="G1703" s="1872" t="s">
        <v>5492</v>
      </c>
      <c r="H1703" s="1856">
        <v>1</v>
      </c>
      <c r="I1703" s="1856">
        <v>1</v>
      </c>
      <c r="J1703" s="1873">
        <v>1</v>
      </c>
      <c r="K1703" s="1860"/>
      <c r="L1703" s="1854">
        <v>13157010101</v>
      </c>
      <c r="M1703" s="1855">
        <v>1</v>
      </c>
      <c r="N1703" s="1855">
        <v>1</v>
      </c>
      <c r="O1703" s="1856">
        <v>2</v>
      </c>
    </row>
    <row r="1704" spans="3:15">
      <c r="C1704" s="1861" t="s">
        <v>5493</v>
      </c>
      <c r="D1704" s="1858">
        <v>1</v>
      </c>
      <c r="E1704" s="1858">
        <v>1</v>
      </c>
      <c r="F1704" s="1859">
        <v>2</v>
      </c>
      <c r="G1704" s="1872" t="s">
        <v>5493</v>
      </c>
      <c r="H1704" s="1856">
        <v>1</v>
      </c>
      <c r="I1704" s="1856">
        <v>1</v>
      </c>
      <c r="J1704" s="1873">
        <v>2</v>
      </c>
      <c r="K1704" s="1860"/>
      <c r="L1704" s="1854">
        <v>13157010102</v>
      </c>
      <c r="M1704" s="1855">
        <v>1</v>
      </c>
      <c r="N1704" s="1855">
        <v>1</v>
      </c>
      <c r="O1704" s="1856">
        <v>2</v>
      </c>
    </row>
    <row r="1705" spans="3:15">
      <c r="C1705" s="1861" t="s">
        <v>5494</v>
      </c>
      <c r="D1705" s="1858">
        <v>1</v>
      </c>
      <c r="E1705" s="1858">
        <v>1</v>
      </c>
      <c r="F1705" s="1859">
        <v>2</v>
      </c>
      <c r="G1705" s="1872" t="s">
        <v>5494</v>
      </c>
      <c r="H1705" s="1856">
        <v>0</v>
      </c>
      <c r="I1705" s="1856">
        <v>1</v>
      </c>
      <c r="J1705" s="1873">
        <v>1</v>
      </c>
      <c r="K1705" s="1860"/>
      <c r="L1705" s="1854">
        <v>13157010103</v>
      </c>
      <c r="M1705" s="1855">
        <v>1</v>
      </c>
      <c r="N1705" s="1855">
        <v>1</v>
      </c>
      <c r="O1705" s="1856">
        <v>2</v>
      </c>
    </row>
    <row r="1706" spans="3:15">
      <c r="C1706" s="1861" t="s">
        <v>5495</v>
      </c>
      <c r="D1706" s="1858">
        <v>0</v>
      </c>
      <c r="E1706" s="1858">
        <v>0</v>
      </c>
      <c r="F1706" s="1859">
        <v>0</v>
      </c>
      <c r="G1706" s="1872" t="s">
        <v>5495</v>
      </c>
      <c r="H1706" s="1856">
        <v>0</v>
      </c>
      <c r="I1706" s="1856">
        <v>0</v>
      </c>
      <c r="J1706" s="1873">
        <v>0</v>
      </c>
      <c r="K1706" s="1860"/>
      <c r="L1706" s="1854">
        <v>13157010200</v>
      </c>
      <c r="M1706" s="1855">
        <v>0</v>
      </c>
      <c r="N1706" s="1855">
        <v>0</v>
      </c>
      <c r="O1706" s="1856">
        <v>0</v>
      </c>
    </row>
    <row r="1707" spans="3:15">
      <c r="C1707" s="1861" t="s">
        <v>5496</v>
      </c>
      <c r="D1707" s="1858">
        <v>0</v>
      </c>
      <c r="E1707" s="1858">
        <v>0</v>
      </c>
      <c r="F1707" s="1859">
        <v>0</v>
      </c>
      <c r="G1707" s="1872" t="s">
        <v>5496</v>
      </c>
      <c r="H1707" s="1856">
        <v>0</v>
      </c>
      <c r="I1707" s="1856">
        <v>0</v>
      </c>
      <c r="J1707" s="1873">
        <v>0</v>
      </c>
      <c r="K1707" s="1860"/>
      <c r="L1707" s="1854">
        <v>13157010300</v>
      </c>
      <c r="M1707" s="1855">
        <v>0</v>
      </c>
      <c r="N1707" s="1855">
        <v>0</v>
      </c>
      <c r="O1707" s="1856">
        <v>0</v>
      </c>
    </row>
    <row r="1708" spans="3:15">
      <c r="C1708" s="1861" t="s">
        <v>5497</v>
      </c>
      <c r="D1708" s="1858">
        <v>0</v>
      </c>
      <c r="E1708" s="1858">
        <v>0</v>
      </c>
      <c r="F1708" s="1859">
        <v>0</v>
      </c>
      <c r="G1708" s="1872" t="s">
        <v>5497</v>
      </c>
      <c r="H1708" s="1856">
        <v>0</v>
      </c>
      <c r="I1708" s="1856">
        <v>0</v>
      </c>
      <c r="J1708" s="1873">
        <v>0</v>
      </c>
      <c r="K1708" s="1860"/>
      <c r="L1708" s="1854">
        <v>13157010400</v>
      </c>
      <c r="M1708" s="1855">
        <v>0</v>
      </c>
      <c r="N1708" s="1855">
        <v>0</v>
      </c>
      <c r="O1708" s="1856">
        <v>0</v>
      </c>
    </row>
    <row r="1709" spans="3:15">
      <c r="C1709" s="1861" t="s">
        <v>5498</v>
      </c>
      <c r="D1709" s="1858">
        <v>0</v>
      </c>
      <c r="E1709" s="1858">
        <v>0</v>
      </c>
      <c r="F1709" s="1859">
        <v>0</v>
      </c>
      <c r="G1709" s="1872" t="s">
        <v>5498</v>
      </c>
      <c r="H1709" s="1856">
        <v>0</v>
      </c>
      <c r="I1709" s="1856">
        <v>0</v>
      </c>
      <c r="J1709" s="1873">
        <v>0</v>
      </c>
      <c r="K1709" s="1860"/>
      <c r="L1709" s="1854">
        <v>13157010500</v>
      </c>
      <c r="M1709" s="1855">
        <v>0</v>
      </c>
      <c r="N1709" s="1855">
        <v>0</v>
      </c>
      <c r="O1709" s="1856">
        <v>0</v>
      </c>
    </row>
    <row r="1710" spans="3:15">
      <c r="C1710" s="1861" t="s">
        <v>5499</v>
      </c>
      <c r="D1710" s="1858">
        <v>0</v>
      </c>
      <c r="E1710" s="1858">
        <v>0</v>
      </c>
      <c r="F1710" s="1859">
        <v>0</v>
      </c>
      <c r="G1710" s="1872" t="s">
        <v>5499</v>
      </c>
      <c r="H1710" s="1856">
        <v>1</v>
      </c>
      <c r="I1710" s="1856">
        <v>0</v>
      </c>
      <c r="J1710" s="1873">
        <v>1</v>
      </c>
      <c r="K1710" s="1860"/>
      <c r="L1710" s="1854">
        <v>13157010600</v>
      </c>
      <c r="M1710" s="1855">
        <v>1</v>
      </c>
      <c r="N1710" s="1855">
        <v>0</v>
      </c>
      <c r="O1710" s="1856">
        <v>1</v>
      </c>
    </row>
    <row r="1711" spans="3:15">
      <c r="C1711" s="1861" t="s">
        <v>5500</v>
      </c>
      <c r="D1711" s="1858">
        <v>0</v>
      </c>
      <c r="E1711" s="1858">
        <v>1</v>
      </c>
      <c r="F1711" s="1859">
        <v>1</v>
      </c>
      <c r="G1711" s="1872" t="s">
        <v>5500</v>
      </c>
      <c r="H1711" s="1856">
        <v>1</v>
      </c>
      <c r="I1711" s="1856">
        <v>1</v>
      </c>
      <c r="J1711" s="1873">
        <v>1</v>
      </c>
      <c r="K1711" s="1860"/>
      <c r="L1711" s="1854">
        <v>13157010701</v>
      </c>
      <c r="M1711" s="1855">
        <v>1</v>
      </c>
      <c r="N1711" s="1855">
        <v>1</v>
      </c>
      <c r="O1711" s="1856">
        <v>1</v>
      </c>
    </row>
    <row r="1712" spans="3:15">
      <c r="C1712" s="1861" t="s">
        <v>5501</v>
      </c>
      <c r="D1712" s="1858">
        <v>1</v>
      </c>
      <c r="E1712" s="1858">
        <v>1</v>
      </c>
      <c r="F1712" s="1859">
        <v>2</v>
      </c>
      <c r="G1712" s="1872" t="s">
        <v>5501</v>
      </c>
      <c r="H1712" s="1856">
        <v>1</v>
      </c>
      <c r="I1712" s="1856">
        <v>1</v>
      </c>
      <c r="J1712" s="1873">
        <v>2</v>
      </c>
      <c r="K1712" s="1860"/>
      <c r="L1712" s="1854">
        <v>13157010702</v>
      </c>
      <c r="M1712" s="1855">
        <v>1</v>
      </c>
      <c r="N1712" s="1855">
        <v>1</v>
      </c>
      <c r="O1712" s="1856">
        <v>2</v>
      </c>
    </row>
    <row r="1713" spans="3:15">
      <c r="C1713" s="1861" t="s">
        <v>5502</v>
      </c>
      <c r="D1713" s="1858">
        <v>1</v>
      </c>
      <c r="E1713" s="1858">
        <v>1</v>
      </c>
      <c r="F1713" s="1859">
        <v>2</v>
      </c>
      <c r="G1713" s="1872" t="s">
        <v>5502</v>
      </c>
      <c r="H1713" s="1856">
        <v>1</v>
      </c>
      <c r="I1713" s="1856">
        <v>1</v>
      </c>
      <c r="J1713" s="1873">
        <v>2</v>
      </c>
      <c r="K1713" s="1860"/>
      <c r="L1713" s="1854">
        <v>13157010703</v>
      </c>
      <c r="M1713" s="1855">
        <v>1</v>
      </c>
      <c r="N1713" s="1855">
        <v>1</v>
      </c>
      <c r="O1713" s="1856">
        <v>2</v>
      </c>
    </row>
    <row r="1714" spans="3:15">
      <c r="C1714" s="1861" t="s">
        <v>5503</v>
      </c>
      <c r="D1714" s="1858">
        <v>0</v>
      </c>
      <c r="E1714" s="1858">
        <v>0</v>
      </c>
      <c r="F1714" s="1859">
        <v>0</v>
      </c>
      <c r="G1714" s="1872" t="s">
        <v>5503</v>
      </c>
      <c r="H1714" s="1856">
        <v>0</v>
      </c>
      <c r="I1714" s="1856">
        <v>0</v>
      </c>
      <c r="J1714" s="1873">
        <v>0</v>
      </c>
      <c r="K1714" s="1860"/>
      <c r="L1714" s="1854">
        <v>13159010100</v>
      </c>
      <c r="M1714" s="1855">
        <v>0</v>
      </c>
      <c r="N1714" s="1855">
        <v>0</v>
      </c>
      <c r="O1714" s="1856">
        <v>0</v>
      </c>
    </row>
    <row r="1715" spans="3:15">
      <c r="C1715" s="1861" t="s">
        <v>5504</v>
      </c>
      <c r="D1715" s="1858">
        <v>1</v>
      </c>
      <c r="E1715" s="1858">
        <v>1</v>
      </c>
      <c r="F1715" s="1859">
        <v>2</v>
      </c>
      <c r="G1715" s="1872" t="s">
        <v>5504</v>
      </c>
      <c r="H1715" s="1856">
        <v>0</v>
      </c>
      <c r="I1715" s="1856">
        <v>0</v>
      </c>
      <c r="J1715" s="1873">
        <v>0</v>
      </c>
      <c r="K1715" s="1860"/>
      <c r="L1715" s="1854">
        <v>13159010200</v>
      </c>
      <c r="M1715" s="1855">
        <v>1</v>
      </c>
      <c r="N1715" s="1855">
        <v>1</v>
      </c>
      <c r="O1715" s="1856">
        <v>2</v>
      </c>
    </row>
    <row r="1716" spans="3:15">
      <c r="C1716" s="1861" t="s">
        <v>5505</v>
      </c>
      <c r="D1716" s="1858">
        <v>0</v>
      </c>
      <c r="E1716" s="1858">
        <v>0</v>
      </c>
      <c r="F1716" s="1859">
        <v>0</v>
      </c>
      <c r="G1716" s="1872" t="s">
        <v>5505</v>
      </c>
      <c r="H1716" s="1856">
        <v>0</v>
      </c>
      <c r="I1716" s="1856">
        <v>0</v>
      </c>
      <c r="J1716" s="1873">
        <v>0</v>
      </c>
      <c r="K1716" s="1860"/>
      <c r="L1716" s="1854">
        <v>13159010500</v>
      </c>
      <c r="M1716" s="1855">
        <v>0</v>
      </c>
      <c r="N1716" s="1855">
        <v>0</v>
      </c>
      <c r="O1716" s="1856">
        <v>0</v>
      </c>
    </row>
    <row r="1717" spans="3:15">
      <c r="C1717" s="1861" t="s">
        <v>5506</v>
      </c>
      <c r="D1717" s="1858">
        <v>0</v>
      </c>
      <c r="E1717" s="1858">
        <v>0</v>
      </c>
      <c r="F1717" s="1859">
        <v>0</v>
      </c>
      <c r="G1717" s="1872" t="s">
        <v>5506</v>
      </c>
      <c r="H1717" s="1856">
        <v>0</v>
      </c>
      <c r="I1717" s="1856">
        <v>0</v>
      </c>
      <c r="J1717" s="1873">
        <v>0</v>
      </c>
      <c r="K1717" s="1860"/>
      <c r="L1717" s="1854">
        <v>13161960100</v>
      </c>
      <c r="M1717" s="1855">
        <v>0</v>
      </c>
      <c r="N1717" s="1855">
        <v>0</v>
      </c>
      <c r="O1717" s="1856">
        <v>0</v>
      </c>
    </row>
    <row r="1718" spans="3:15">
      <c r="C1718" s="1861" t="s">
        <v>5507</v>
      </c>
      <c r="D1718" s="1858">
        <v>0</v>
      </c>
      <c r="E1718" s="1858">
        <v>0</v>
      </c>
      <c r="F1718" s="1859">
        <v>0</v>
      </c>
      <c r="G1718" s="1872" t="s">
        <v>5507</v>
      </c>
      <c r="H1718" s="1856">
        <v>0</v>
      </c>
      <c r="I1718" s="1856">
        <v>0</v>
      </c>
      <c r="J1718" s="1873">
        <v>0</v>
      </c>
      <c r="K1718" s="1860"/>
      <c r="L1718" s="1854">
        <v>13161960200</v>
      </c>
      <c r="M1718" s="1855">
        <v>0</v>
      </c>
      <c r="N1718" s="1855">
        <v>0</v>
      </c>
      <c r="O1718" s="1856">
        <v>0</v>
      </c>
    </row>
    <row r="1719" spans="3:15">
      <c r="C1719" s="1861" t="s">
        <v>5508</v>
      </c>
      <c r="D1719" s="1858">
        <v>0</v>
      </c>
      <c r="E1719" s="1858">
        <v>0</v>
      </c>
      <c r="F1719" s="1859">
        <v>0</v>
      </c>
      <c r="G1719" s="1872" t="s">
        <v>5508</v>
      </c>
      <c r="H1719" s="1856">
        <v>0</v>
      </c>
      <c r="I1719" s="1856">
        <v>0</v>
      </c>
      <c r="J1719" s="1873">
        <v>0</v>
      </c>
      <c r="K1719" s="1860"/>
      <c r="L1719" s="1854">
        <v>13161960300</v>
      </c>
      <c r="M1719" s="1855">
        <v>0</v>
      </c>
      <c r="N1719" s="1855">
        <v>0</v>
      </c>
      <c r="O1719" s="1856">
        <v>0</v>
      </c>
    </row>
    <row r="1720" spans="3:15">
      <c r="C1720" s="1861" t="s">
        <v>5509</v>
      </c>
      <c r="D1720" s="1858">
        <v>0</v>
      </c>
      <c r="E1720" s="1858">
        <v>0</v>
      </c>
      <c r="F1720" s="1859">
        <v>0</v>
      </c>
      <c r="G1720" s="1872" t="s">
        <v>5509</v>
      </c>
      <c r="H1720" s="1856">
        <v>0</v>
      </c>
      <c r="I1720" s="1856">
        <v>0</v>
      </c>
      <c r="J1720" s="1873">
        <v>0</v>
      </c>
      <c r="K1720" s="1860"/>
      <c r="L1720" s="1854">
        <v>13163960100</v>
      </c>
      <c r="M1720" s="1855">
        <v>0</v>
      </c>
      <c r="N1720" s="1855">
        <v>0</v>
      </c>
      <c r="O1720" s="1856">
        <v>0</v>
      </c>
    </row>
    <row r="1721" spans="3:15">
      <c r="C1721" s="1861" t="s">
        <v>5510</v>
      </c>
      <c r="D1721" s="1858">
        <v>0</v>
      </c>
      <c r="E1721" s="1858">
        <v>0</v>
      </c>
      <c r="F1721" s="1859">
        <v>0</v>
      </c>
      <c r="G1721" s="1872" t="s">
        <v>5510</v>
      </c>
      <c r="H1721" s="1856">
        <v>0</v>
      </c>
      <c r="I1721" s="1856">
        <v>0</v>
      </c>
      <c r="J1721" s="1873">
        <v>0</v>
      </c>
      <c r="K1721" s="1860"/>
      <c r="L1721" s="1854">
        <v>13163960200</v>
      </c>
      <c r="M1721" s="1855">
        <v>0</v>
      </c>
      <c r="N1721" s="1855">
        <v>0</v>
      </c>
      <c r="O1721" s="1856">
        <v>0</v>
      </c>
    </row>
    <row r="1722" spans="3:15">
      <c r="C1722" s="1861" t="s">
        <v>5511</v>
      </c>
      <c r="D1722" s="1858">
        <v>0</v>
      </c>
      <c r="E1722" s="1858">
        <v>0</v>
      </c>
      <c r="F1722" s="1859">
        <v>0</v>
      </c>
      <c r="G1722" s="1872" t="s">
        <v>5511</v>
      </c>
      <c r="H1722" s="1856">
        <v>0</v>
      </c>
      <c r="I1722" s="1856">
        <v>0</v>
      </c>
      <c r="J1722" s="1873">
        <v>0</v>
      </c>
      <c r="K1722" s="1860"/>
      <c r="L1722" s="1854">
        <v>13163960300</v>
      </c>
      <c r="M1722" s="1855">
        <v>0</v>
      </c>
      <c r="N1722" s="1855">
        <v>0</v>
      </c>
      <c r="O1722" s="1856">
        <v>0</v>
      </c>
    </row>
    <row r="1723" spans="3:15">
      <c r="C1723" s="1861" t="s">
        <v>5512</v>
      </c>
      <c r="D1723" s="1858">
        <v>0</v>
      </c>
      <c r="E1723" s="1858">
        <v>0</v>
      </c>
      <c r="F1723" s="1859">
        <v>0</v>
      </c>
      <c r="G1723" s="1872" t="s">
        <v>5512</v>
      </c>
      <c r="H1723" s="1856">
        <v>0</v>
      </c>
      <c r="I1723" s="1856" t="s">
        <v>3908</v>
      </c>
      <c r="J1723" s="1873">
        <v>0</v>
      </c>
      <c r="K1723" s="1860"/>
      <c r="L1723" s="1854">
        <v>13163960400</v>
      </c>
      <c r="M1723" s="1855">
        <v>0</v>
      </c>
      <c r="N1723" s="1855">
        <v>0</v>
      </c>
      <c r="O1723" s="1856">
        <v>0</v>
      </c>
    </row>
    <row r="1724" spans="3:15">
      <c r="C1724" s="1861" t="s">
        <v>5513</v>
      </c>
      <c r="D1724" s="1858">
        <v>0</v>
      </c>
      <c r="E1724" s="1858">
        <v>0</v>
      </c>
      <c r="F1724" s="1859">
        <v>0</v>
      </c>
      <c r="G1724" s="1872" t="s">
        <v>5513</v>
      </c>
      <c r="H1724" s="1856">
        <v>0</v>
      </c>
      <c r="I1724" s="1856">
        <v>0</v>
      </c>
      <c r="J1724" s="1873">
        <v>0</v>
      </c>
      <c r="K1724" s="1860"/>
      <c r="L1724" s="1854">
        <v>13165960100</v>
      </c>
      <c r="M1724" s="1855">
        <v>0</v>
      </c>
      <c r="N1724" s="1855">
        <v>0</v>
      </c>
      <c r="O1724" s="1856">
        <v>0</v>
      </c>
    </row>
    <row r="1725" spans="3:15">
      <c r="C1725" s="1861" t="s">
        <v>5514</v>
      </c>
      <c r="D1725" s="1858">
        <v>0</v>
      </c>
      <c r="E1725" s="1858">
        <v>0</v>
      </c>
      <c r="F1725" s="1859">
        <v>0</v>
      </c>
      <c r="G1725" s="1872" t="s">
        <v>5514</v>
      </c>
      <c r="H1725" s="1856">
        <v>0</v>
      </c>
      <c r="I1725" s="1856">
        <v>0</v>
      </c>
      <c r="J1725" s="1873">
        <v>0</v>
      </c>
      <c r="K1725" s="1860"/>
      <c r="L1725" s="1854">
        <v>13165960200</v>
      </c>
      <c r="M1725" s="1855">
        <v>0</v>
      </c>
      <c r="N1725" s="1855">
        <v>0</v>
      </c>
      <c r="O1725" s="1856">
        <v>0</v>
      </c>
    </row>
    <row r="1726" spans="3:15">
      <c r="C1726" s="1861" t="s">
        <v>5515</v>
      </c>
      <c r="D1726" s="1858">
        <v>0</v>
      </c>
      <c r="E1726" s="1858">
        <v>0</v>
      </c>
      <c r="F1726" s="1859">
        <v>0</v>
      </c>
      <c r="G1726" s="1872" t="s">
        <v>5515</v>
      </c>
      <c r="H1726" s="1856">
        <v>0</v>
      </c>
      <c r="I1726" s="1856">
        <v>1</v>
      </c>
      <c r="J1726" s="1873">
        <v>0</v>
      </c>
      <c r="K1726" s="1860"/>
      <c r="L1726" s="1854">
        <v>13167960100</v>
      </c>
      <c r="M1726" s="1855">
        <v>0</v>
      </c>
      <c r="N1726" s="1855">
        <v>1</v>
      </c>
      <c r="O1726" s="1856">
        <v>0</v>
      </c>
    </row>
    <row r="1727" spans="3:15">
      <c r="C1727" s="1861" t="s">
        <v>5516</v>
      </c>
      <c r="D1727" s="1858">
        <v>0</v>
      </c>
      <c r="E1727" s="1858">
        <v>0</v>
      </c>
      <c r="F1727" s="1859">
        <v>0</v>
      </c>
      <c r="G1727" s="1872" t="s">
        <v>5516</v>
      </c>
      <c r="H1727" s="1856">
        <v>0</v>
      </c>
      <c r="I1727" s="1856">
        <v>0</v>
      </c>
      <c r="J1727" s="1873">
        <v>0</v>
      </c>
      <c r="K1727" s="1860"/>
      <c r="L1727" s="1854">
        <v>13167960200</v>
      </c>
      <c r="M1727" s="1855">
        <v>0</v>
      </c>
      <c r="N1727" s="1855">
        <v>0</v>
      </c>
      <c r="O1727" s="1856">
        <v>0</v>
      </c>
    </row>
    <row r="1728" spans="3:15">
      <c r="C1728" s="1861" t="s">
        <v>5517</v>
      </c>
      <c r="D1728" s="1858">
        <v>0</v>
      </c>
      <c r="E1728" s="1858">
        <v>0</v>
      </c>
      <c r="F1728" s="1859">
        <v>0</v>
      </c>
      <c r="G1728" s="1872" t="s">
        <v>5517</v>
      </c>
      <c r="H1728" s="1856">
        <v>1</v>
      </c>
      <c r="I1728" s="1856">
        <v>1</v>
      </c>
      <c r="J1728" s="1873">
        <v>2</v>
      </c>
      <c r="K1728" s="1860"/>
      <c r="L1728" s="1854">
        <v>13167960300</v>
      </c>
      <c r="M1728" s="1855">
        <v>1</v>
      </c>
      <c r="N1728" s="1855">
        <v>1</v>
      </c>
      <c r="O1728" s="1856">
        <v>2</v>
      </c>
    </row>
    <row r="1729" spans="3:15">
      <c r="C1729" s="1861" t="s">
        <v>5518</v>
      </c>
      <c r="D1729" s="1858">
        <v>1</v>
      </c>
      <c r="E1729" s="1858">
        <v>1</v>
      </c>
      <c r="F1729" s="1859">
        <v>2</v>
      </c>
      <c r="G1729" s="1872" t="s">
        <v>5518</v>
      </c>
      <c r="H1729" s="1856">
        <v>1</v>
      </c>
      <c r="I1729" s="1856">
        <v>1</v>
      </c>
      <c r="J1729" s="1873">
        <v>2</v>
      </c>
      <c r="K1729" s="1860"/>
      <c r="L1729" s="1854">
        <v>13169030101</v>
      </c>
      <c r="M1729" s="1855">
        <v>1</v>
      </c>
      <c r="N1729" s="1855">
        <v>1</v>
      </c>
      <c r="O1729" s="1856">
        <v>2</v>
      </c>
    </row>
    <row r="1730" spans="3:15">
      <c r="C1730" s="1861" t="s">
        <v>5519</v>
      </c>
      <c r="D1730" s="1858">
        <v>1</v>
      </c>
      <c r="E1730" s="1858">
        <v>1</v>
      </c>
      <c r="F1730" s="1859">
        <v>2</v>
      </c>
      <c r="G1730" s="1872" t="s">
        <v>5519</v>
      </c>
      <c r="H1730" s="1856">
        <v>1</v>
      </c>
      <c r="I1730" s="1856">
        <v>0</v>
      </c>
      <c r="J1730" s="1873">
        <v>1</v>
      </c>
      <c r="K1730" s="1860"/>
      <c r="L1730" s="1854">
        <v>13169030103</v>
      </c>
      <c r="M1730" s="1855">
        <v>1</v>
      </c>
      <c r="N1730" s="1855">
        <v>1</v>
      </c>
      <c r="O1730" s="1856">
        <v>2</v>
      </c>
    </row>
    <row r="1731" spans="3:15">
      <c r="C1731" s="1861" t="s">
        <v>5520</v>
      </c>
      <c r="D1731" s="1858">
        <v>0</v>
      </c>
      <c r="E1731" s="1858">
        <v>0</v>
      </c>
      <c r="F1731" s="1859">
        <v>0</v>
      </c>
      <c r="G1731" s="1872" t="s">
        <v>5520</v>
      </c>
      <c r="H1731" s="1856">
        <v>0</v>
      </c>
      <c r="I1731" s="1856">
        <v>0</v>
      </c>
      <c r="J1731" s="1873">
        <v>0</v>
      </c>
      <c r="K1731" s="1860"/>
      <c r="L1731" s="1854">
        <v>13169030104</v>
      </c>
      <c r="M1731" s="1855">
        <v>0</v>
      </c>
      <c r="N1731" s="1855">
        <v>0</v>
      </c>
      <c r="O1731" s="1856">
        <v>0</v>
      </c>
    </row>
    <row r="1732" spans="3:15">
      <c r="C1732" s="1861" t="s">
        <v>5521</v>
      </c>
      <c r="D1732" s="1858">
        <v>0</v>
      </c>
      <c r="E1732" s="1858">
        <v>0</v>
      </c>
      <c r="F1732" s="1859">
        <v>0</v>
      </c>
      <c r="G1732" s="1872" t="s">
        <v>5521</v>
      </c>
      <c r="H1732" s="1856">
        <v>0</v>
      </c>
      <c r="I1732" s="1856">
        <v>0</v>
      </c>
      <c r="J1732" s="1873">
        <v>0</v>
      </c>
      <c r="K1732" s="1860"/>
      <c r="L1732" s="1854">
        <v>13169030200</v>
      </c>
      <c r="M1732" s="1855">
        <v>0</v>
      </c>
      <c r="N1732" s="1855">
        <v>0</v>
      </c>
      <c r="O1732" s="1856">
        <v>0</v>
      </c>
    </row>
    <row r="1733" spans="3:15">
      <c r="C1733" s="1861" t="s">
        <v>5522</v>
      </c>
      <c r="D1733" s="1858">
        <v>1</v>
      </c>
      <c r="E1733" s="1858">
        <v>1</v>
      </c>
      <c r="F1733" s="1859">
        <v>2</v>
      </c>
      <c r="G1733" s="1872" t="s">
        <v>5522</v>
      </c>
      <c r="H1733" s="1856">
        <v>1</v>
      </c>
      <c r="I1733" s="1856">
        <v>1</v>
      </c>
      <c r="J1733" s="1873">
        <v>2</v>
      </c>
      <c r="K1733" s="1860"/>
      <c r="L1733" s="1854">
        <v>13169030301</v>
      </c>
      <c r="M1733" s="1855">
        <v>1</v>
      </c>
      <c r="N1733" s="1855">
        <v>1</v>
      </c>
      <c r="O1733" s="1856">
        <v>2</v>
      </c>
    </row>
    <row r="1734" spans="3:15">
      <c r="C1734" s="1861" t="s">
        <v>5523</v>
      </c>
      <c r="D1734" s="1858">
        <v>0</v>
      </c>
      <c r="E1734" s="1858">
        <v>1</v>
      </c>
      <c r="F1734" s="1859">
        <v>1</v>
      </c>
      <c r="G1734" s="1872" t="s">
        <v>5523</v>
      </c>
      <c r="H1734" s="1856">
        <v>0</v>
      </c>
      <c r="I1734" s="1856">
        <v>0</v>
      </c>
      <c r="J1734" s="1873">
        <v>0</v>
      </c>
      <c r="K1734" s="1860"/>
      <c r="L1734" s="1854">
        <v>13169030302</v>
      </c>
      <c r="M1734" s="1855">
        <v>0</v>
      </c>
      <c r="N1734" s="1855">
        <v>1</v>
      </c>
      <c r="O1734" s="1856">
        <v>1</v>
      </c>
    </row>
    <row r="1735" spans="3:15">
      <c r="C1735" s="1861" t="s">
        <v>5524</v>
      </c>
      <c r="D1735" s="1858">
        <v>0</v>
      </c>
      <c r="E1735" s="1858">
        <v>0</v>
      </c>
      <c r="F1735" s="1859">
        <v>0</v>
      </c>
      <c r="G1735" s="1872" t="s">
        <v>5524</v>
      </c>
      <c r="H1735" s="1856">
        <v>0</v>
      </c>
      <c r="I1735" s="1856">
        <v>0</v>
      </c>
      <c r="J1735" s="1873">
        <v>0</v>
      </c>
      <c r="K1735" s="1860"/>
      <c r="L1735" s="1854">
        <v>13171970100</v>
      </c>
      <c r="M1735" s="1855">
        <v>0</v>
      </c>
      <c r="N1735" s="1855">
        <v>0</v>
      </c>
      <c r="O1735" s="1856">
        <v>0</v>
      </c>
    </row>
    <row r="1736" spans="3:15">
      <c r="C1736" s="1861" t="s">
        <v>5525</v>
      </c>
      <c r="D1736" s="1858">
        <v>0</v>
      </c>
      <c r="E1736" s="1858">
        <v>0</v>
      </c>
      <c r="F1736" s="1859">
        <v>0</v>
      </c>
      <c r="G1736" s="1872" t="s">
        <v>5525</v>
      </c>
      <c r="H1736" s="1856">
        <v>0</v>
      </c>
      <c r="I1736" s="1856">
        <v>0</v>
      </c>
      <c r="J1736" s="1873">
        <v>0</v>
      </c>
      <c r="K1736" s="1860"/>
      <c r="L1736" s="1854">
        <v>13171970200</v>
      </c>
      <c r="M1736" s="1855">
        <v>0</v>
      </c>
      <c r="N1736" s="1855">
        <v>0</v>
      </c>
      <c r="O1736" s="1856">
        <v>0</v>
      </c>
    </row>
    <row r="1737" spans="3:15">
      <c r="C1737" s="1861" t="s">
        <v>5526</v>
      </c>
      <c r="D1737" s="1858">
        <v>0</v>
      </c>
      <c r="E1737" s="1858">
        <v>0</v>
      </c>
      <c r="F1737" s="1859">
        <v>0</v>
      </c>
      <c r="G1737" s="1872" t="s">
        <v>5526</v>
      </c>
      <c r="H1737" s="1856">
        <v>0</v>
      </c>
      <c r="I1737" s="1856">
        <v>0</v>
      </c>
      <c r="J1737" s="1873">
        <v>0</v>
      </c>
      <c r="K1737" s="1860"/>
      <c r="L1737" s="1854">
        <v>13171970300</v>
      </c>
      <c r="M1737" s="1855">
        <v>0</v>
      </c>
      <c r="N1737" s="1855">
        <v>0</v>
      </c>
      <c r="O1737" s="1856">
        <v>0</v>
      </c>
    </row>
    <row r="1738" spans="3:15">
      <c r="C1738" s="1861" t="s">
        <v>5527</v>
      </c>
      <c r="D1738" s="1858">
        <v>0</v>
      </c>
      <c r="E1738" s="1858">
        <v>0</v>
      </c>
      <c r="F1738" s="1859">
        <v>0</v>
      </c>
      <c r="G1738" s="1872" t="s">
        <v>5527</v>
      </c>
      <c r="H1738" s="1856">
        <v>0</v>
      </c>
      <c r="I1738" s="1856">
        <v>0</v>
      </c>
      <c r="J1738" s="1873">
        <v>0</v>
      </c>
      <c r="K1738" s="1860"/>
      <c r="L1738" s="1854">
        <v>13173950100</v>
      </c>
      <c r="M1738" s="1855">
        <v>0</v>
      </c>
      <c r="N1738" s="1855">
        <v>0</v>
      </c>
      <c r="O1738" s="1856">
        <v>0</v>
      </c>
    </row>
    <row r="1739" spans="3:15">
      <c r="C1739" s="1861" t="s">
        <v>5528</v>
      </c>
      <c r="D1739" s="1858">
        <v>0</v>
      </c>
      <c r="E1739" s="1858">
        <v>0</v>
      </c>
      <c r="F1739" s="1859">
        <v>0</v>
      </c>
      <c r="G1739" s="1872" t="s">
        <v>5528</v>
      </c>
      <c r="H1739" s="1856">
        <v>0</v>
      </c>
      <c r="I1739" s="1856">
        <v>0</v>
      </c>
      <c r="J1739" s="1873">
        <v>0</v>
      </c>
      <c r="K1739" s="1860"/>
      <c r="L1739" s="1854">
        <v>13173950200</v>
      </c>
      <c r="M1739" s="1855">
        <v>0</v>
      </c>
      <c r="N1739" s="1855">
        <v>0</v>
      </c>
      <c r="O1739" s="1856">
        <v>0</v>
      </c>
    </row>
    <row r="1740" spans="3:15">
      <c r="C1740" s="1861" t="s">
        <v>5529</v>
      </c>
      <c r="D1740" s="1858">
        <v>0</v>
      </c>
      <c r="E1740" s="1858">
        <v>0</v>
      </c>
      <c r="F1740" s="1859">
        <v>0</v>
      </c>
      <c r="G1740" s="1872" t="s">
        <v>5529</v>
      </c>
      <c r="H1740" s="1856">
        <v>0</v>
      </c>
      <c r="I1740" s="1856">
        <v>0</v>
      </c>
      <c r="J1740" s="1873">
        <v>0</v>
      </c>
      <c r="K1740" s="1860"/>
      <c r="L1740" s="1854">
        <v>13175950100</v>
      </c>
      <c r="M1740" s="1855">
        <v>0</v>
      </c>
      <c r="N1740" s="1855">
        <v>0</v>
      </c>
      <c r="O1740" s="1856">
        <v>0</v>
      </c>
    </row>
    <row r="1741" spans="3:15">
      <c r="C1741" s="1861" t="s">
        <v>5530</v>
      </c>
      <c r="D1741" s="1858">
        <v>0</v>
      </c>
      <c r="E1741" s="1858">
        <v>1</v>
      </c>
      <c r="F1741" s="1859">
        <v>1</v>
      </c>
      <c r="G1741" s="1872" t="s">
        <v>5530</v>
      </c>
      <c r="H1741" s="1856">
        <v>1</v>
      </c>
      <c r="I1741" s="1856">
        <v>1</v>
      </c>
      <c r="J1741" s="1873">
        <v>2</v>
      </c>
      <c r="K1741" s="1860"/>
      <c r="L1741" s="1854">
        <v>13175950201</v>
      </c>
      <c r="M1741" s="1855">
        <v>1</v>
      </c>
      <c r="N1741" s="1855">
        <v>1</v>
      </c>
      <c r="O1741" s="1856">
        <v>2</v>
      </c>
    </row>
    <row r="1742" spans="3:15">
      <c r="C1742" s="1861" t="s">
        <v>5531</v>
      </c>
      <c r="D1742" s="1858">
        <v>1</v>
      </c>
      <c r="E1742" s="1858">
        <v>1</v>
      </c>
      <c r="F1742" s="1859">
        <v>2</v>
      </c>
      <c r="G1742" s="1872" t="s">
        <v>5531</v>
      </c>
      <c r="H1742" s="1856">
        <v>1</v>
      </c>
      <c r="I1742" s="1856">
        <v>1</v>
      </c>
      <c r="J1742" s="1873">
        <v>2</v>
      </c>
      <c r="K1742" s="1860"/>
      <c r="L1742" s="1854">
        <v>13175950202</v>
      </c>
      <c r="M1742" s="1855">
        <v>1</v>
      </c>
      <c r="N1742" s="1855">
        <v>1</v>
      </c>
      <c r="O1742" s="1856">
        <v>2</v>
      </c>
    </row>
    <row r="1743" spans="3:15">
      <c r="C1743" s="1861" t="s">
        <v>5532</v>
      </c>
      <c r="D1743" s="1858">
        <v>0</v>
      </c>
      <c r="E1743" s="1858">
        <v>0</v>
      </c>
      <c r="F1743" s="1859">
        <v>0</v>
      </c>
      <c r="G1743" s="1872" t="s">
        <v>5532</v>
      </c>
      <c r="H1743" s="1856">
        <v>0</v>
      </c>
      <c r="I1743" s="1856">
        <v>0</v>
      </c>
      <c r="J1743" s="1873">
        <v>0</v>
      </c>
      <c r="K1743" s="1860"/>
      <c r="L1743" s="1854">
        <v>13175950300</v>
      </c>
      <c r="M1743" s="1855">
        <v>0</v>
      </c>
      <c r="N1743" s="1855">
        <v>0</v>
      </c>
      <c r="O1743" s="1856">
        <v>0</v>
      </c>
    </row>
    <row r="1744" spans="3:15">
      <c r="C1744" s="1861" t="s">
        <v>5533</v>
      </c>
      <c r="D1744" s="1858">
        <v>0</v>
      </c>
      <c r="E1744" s="1858">
        <v>0</v>
      </c>
      <c r="F1744" s="1859">
        <v>0</v>
      </c>
      <c r="G1744" s="1872" t="s">
        <v>5533</v>
      </c>
      <c r="H1744" s="1856">
        <v>0</v>
      </c>
      <c r="I1744" s="1856">
        <v>0</v>
      </c>
      <c r="J1744" s="1873">
        <v>0</v>
      </c>
      <c r="K1744" s="1860"/>
      <c r="L1744" s="1854">
        <v>13175950400</v>
      </c>
      <c r="M1744" s="1855">
        <v>0</v>
      </c>
      <c r="N1744" s="1855">
        <v>0</v>
      </c>
      <c r="O1744" s="1856">
        <v>0</v>
      </c>
    </row>
    <row r="1745" spans="3:15">
      <c r="C1745" s="1861" t="s">
        <v>5534</v>
      </c>
      <c r="D1745" s="1858">
        <v>0</v>
      </c>
      <c r="E1745" s="1858">
        <v>0</v>
      </c>
      <c r="F1745" s="1859">
        <v>0</v>
      </c>
      <c r="G1745" s="1872" t="s">
        <v>5534</v>
      </c>
      <c r="H1745" s="1856">
        <v>0</v>
      </c>
      <c r="I1745" s="1856">
        <v>0</v>
      </c>
      <c r="J1745" s="1873">
        <v>0</v>
      </c>
      <c r="K1745" s="1860"/>
      <c r="L1745" s="1854">
        <v>13175950500</v>
      </c>
      <c r="M1745" s="1855">
        <v>0</v>
      </c>
      <c r="N1745" s="1855">
        <v>0</v>
      </c>
      <c r="O1745" s="1856">
        <v>0</v>
      </c>
    </row>
    <row r="1746" spans="3:15">
      <c r="C1746" s="1861" t="s">
        <v>5535</v>
      </c>
      <c r="D1746" s="1858">
        <v>1</v>
      </c>
      <c r="E1746" s="1858">
        <v>0</v>
      </c>
      <c r="F1746" s="1859">
        <v>1</v>
      </c>
      <c r="G1746" s="1872" t="s">
        <v>5535</v>
      </c>
      <c r="H1746" s="1856">
        <v>0</v>
      </c>
      <c r="I1746" s="1856">
        <v>1</v>
      </c>
      <c r="J1746" s="1873">
        <v>1</v>
      </c>
      <c r="K1746" s="1860"/>
      <c r="L1746" s="1854">
        <v>13175950600</v>
      </c>
      <c r="M1746" s="1855">
        <v>1</v>
      </c>
      <c r="N1746" s="1855">
        <v>1</v>
      </c>
      <c r="O1746" s="1856">
        <v>1</v>
      </c>
    </row>
    <row r="1747" spans="3:15">
      <c r="C1747" s="1861" t="s">
        <v>5536</v>
      </c>
      <c r="D1747" s="1858">
        <v>0</v>
      </c>
      <c r="E1747" s="1858">
        <v>0</v>
      </c>
      <c r="F1747" s="1859">
        <v>0</v>
      </c>
      <c r="G1747" s="1872" t="s">
        <v>5536</v>
      </c>
      <c r="H1747" s="1856">
        <v>0</v>
      </c>
      <c r="I1747" s="1856">
        <v>1</v>
      </c>
      <c r="J1747" s="1873">
        <v>1</v>
      </c>
      <c r="K1747" s="1860"/>
      <c r="L1747" s="1854">
        <v>13175950700</v>
      </c>
      <c r="M1747" s="1855">
        <v>0</v>
      </c>
      <c r="N1747" s="1855">
        <v>1</v>
      </c>
      <c r="O1747" s="1856">
        <v>1</v>
      </c>
    </row>
    <row r="1748" spans="3:15">
      <c r="C1748" s="1861" t="s">
        <v>5537</v>
      </c>
      <c r="D1748" s="1858">
        <v>0</v>
      </c>
      <c r="E1748" s="1858">
        <v>0</v>
      </c>
      <c r="F1748" s="1859">
        <v>0</v>
      </c>
      <c r="G1748" s="1872" t="s">
        <v>5537</v>
      </c>
      <c r="H1748" s="1856">
        <v>0</v>
      </c>
      <c r="I1748" s="1856">
        <v>0</v>
      </c>
      <c r="J1748" s="1873">
        <v>0</v>
      </c>
      <c r="K1748" s="1860"/>
      <c r="L1748" s="1854">
        <v>13175950800</v>
      </c>
      <c r="M1748" s="1855">
        <v>0</v>
      </c>
      <c r="N1748" s="1855">
        <v>0</v>
      </c>
      <c r="O1748" s="1856">
        <v>0</v>
      </c>
    </row>
    <row r="1749" spans="3:15">
      <c r="C1749" s="1861" t="s">
        <v>5538</v>
      </c>
      <c r="D1749" s="1858">
        <v>0</v>
      </c>
      <c r="E1749" s="1858">
        <v>0</v>
      </c>
      <c r="F1749" s="1859">
        <v>0</v>
      </c>
      <c r="G1749" s="1872" t="s">
        <v>5538</v>
      </c>
      <c r="H1749" s="1856">
        <v>0</v>
      </c>
      <c r="I1749" s="1856">
        <v>0</v>
      </c>
      <c r="J1749" s="1873">
        <v>0</v>
      </c>
      <c r="K1749" s="1860"/>
      <c r="L1749" s="1854">
        <v>13175950900</v>
      </c>
      <c r="M1749" s="1855">
        <v>0</v>
      </c>
      <c r="N1749" s="1855">
        <v>0</v>
      </c>
      <c r="O1749" s="1856">
        <v>0</v>
      </c>
    </row>
    <row r="1750" spans="3:15">
      <c r="C1750" s="1861" t="s">
        <v>5539</v>
      </c>
      <c r="D1750" s="1858">
        <v>0</v>
      </c>
      <c r="E1750" s="1858">
        <v>0</v>
      </c>
      <c r="F1750" s="1859">
        <v>0</v>
      </c>
      <c r="G1750" s="1872" t="s">
        <v>5539</v>
      </c>
      <c r="H1750" s="1856">
        <v>0</v>
      </c>
      <c r="I1750" s="1856">
        <v>0</v>
      </c>
      <c r="J1750" s="1873">
        <v>0</v>
      </c>
      <c r="K1750" s="1860"/>
      <c r="L1750" s="1854">
        <v>13175951000</v>
      </c>
      <c r="M1750" s="1855">
        <v>0</v>
      </c>
      <c r="N1750" s="1855">
        <v>0</v>
      </c>
      <c r="O1750" s="1856">
        <v>0</v>
      </c>
    </row>
    <row r="1751" spans="3:15">
      <c r="C1751" s="1861" t="s">
        <v>5540</v>
      </c>
      <c r="D1751" s="1858">
        <v>0</v>
      </c>
      <c r="E1751" s="1858">
        <v>0</v>
      </c>
      <c r="F1751" s="1859">
        <v>0</v>
      </c>
      <c r="G1751" s="1872" t="s">
        <v>5540</v>
      </c>
      <c r="H1751" s="1856">
        <v>0</v>
      </c>
      <c r="I1751" s="1856">
        <v>0</v>
      </c>
      <c r="J1751" s="1873">
        <v>0</v>
      </c>
      <c r="K1751" s="1860"/>
      <c r="L1751" s="1854">
        <v>13175951100</v>
      </c>
      <c r="M1751" s="1855">
        <v>0</v>
      </c>
      <c r="N1751" s="1855">
        <v>0</v>
      </c>
      <c r="O1751" s="1856">
        <v>0</v>
      </c>
    </row>
    <row r="1752" spans="3:15">
      <c r="C1752" s="1861" t="s">
        <v>5541</v>
      </c>
      <c r="D1752" s="1858">
        <v>0</v>
      </c>
      <c r="E1752" s="1858">
        <v>0</v>
      </c>
      <c r="F1752" s="1859">
        <v>0</v>
      </c>
      <c r="G1752" s="1872" t="s">
        <v>5541</v>
      </c>
      <c r="H1752" s="1856">
        <v>0</v>
      </c>
      <c r="I1752" s="1856" t="s">
        <v>3908</v>
      </c>
      <c r="J1752" s="1873">
        <v>0</v>
      </c>
      <c r="K1752" s="1860"/>
      <c r="L1752" s="1854">
        <v>13175951400</v>
      </c>
      <c r="M1752" s="1855">
        <v>0</v>
      </c>
      <c r="N1752" s="1855">
        <v>0</v>
      </c>
      <c r="O1752" s="1856">
        <v>0</v>
      </c>
    </row>
    <row r="1753" spans="3:15">
      <c r="C1753" s="1861" t="s">
        <v>5542</v>
      </c>
      <c r="D1753" s="1858">
        <v>1</v>
      </c>
      <c r="E1753" s="1858">
        <v>1</v>
      </c>
      <c r="F1753" s="1859">
        <v>2</v>
      </c>
      <c r="G1753" s="1872" t="s">
        <v>5542</v>
      </c>
      <c r="H1753" s="1856">
        <v>0</v>
      </c>
      <c r="I1753" s="1856">
        <v>1</v>
      </c>
      <c r="J1753" s="1873">
        <v>1</v>
      </c>
      <c r="K1753" s="1860"/>
      <c r="L1753" s="1854">
        <v>13177020100</v>
      </c>
      <c r="M1753" s="1855">
        <v>1</v>
      </c>
      <c r="N1753" s="1855">
        <v>1</v>
      </c>
      <c r="O1753" s="1856">
        <v>2</v>
      </c>
    </row>
    <row r="1754" spans="3:15">
      <c r="C1754" s="1861" t="s">
        <v>5543</v>
      </c>
      <c r="D1754" s="1858">
        <v>0</v>
      </c>
      <c r="E1754" s="1858">
        <v>0</v>
      </c>
      <c r="F1754" s="1859">
        <v>0</v>
      </c>
      <c r="G1754" s="1872" t="s">
        <v>5543</v>
      </c>
      <c r="H1754" s="1856">
        <v>0</v>
      </c>
      <c r="I1754" s="1856" t="s">
        <v>3908</v>
      </c>
      <c r="J1754" s="1873">
        <v>0</v>
      </c>
      <c r="K1754" s="1860"/>
      <c r="L1754" s="1854">
        <v>13177020200</v>
      </c>
      <c r="M1754" s="1855">
        <v>0</v>
      </c>
      <c r="N1754" s="1855">
        <v>0</v>
      </c>
      <c r="O1754" s="1856">
        <v>0</v>
      </c>
    </row>
    <row r="1755" spans="3:15">
      <c r="C1755" s="1861" t="s">
        <v>5544</v>
      </c>
      <c r="D1755" s="1858">
        <v>0</v>
      </c>
      <c r="E1755" s="1858">
        <v>1</v>
      </c>
      <c r="F1755" s="1859">
        <v>1</v>
      </c>
      <c r="G1755" s="1872" t="s">
        <v>5544</v>
      </c>
      <c r="H1755" s="1856">
        <v>0</v>
      </c>
      <c r="I1755" s="1856">
        <v>0</v>
      </c>
      <c r="J1755" s="1873">
        <v>0</v>
      </c>
      <c r="K1755" s="1860"/>
      <c r="L1755" s="1854">
        <v>13177020300</v>
      </c>
      <c r="M1755" s="1855">
        <v>0</v>
      </c>
      <c r="N1755" s="1855">
        <v>1</v>
      </c>
      <c r="O1755" s="1856">
        <v>1</v>
      </c>
    </row>
    <row r="1756" spans="3:15">
      <c r="C1756" s="1861" t="s">
        <v>5545</v>
      </c>
      <c r="D1756" s="1858">
        <v>1</v>
      </c>
      <c r="E1756" s="1858">
        <v>1</v>
      </c>
      <c r="F1756" s="1859">
        <v>2</v>
      </c>
      <c r="G1756" s="1872" t="s">
        <v>5545</v>
      </c>
      <c r="H1756" s="1856">
        <v>1</v>
      </c>
      <c r="I1756" s="1856">
        <v>0</v>
      </c>
      <c r="J1756" s="1873">
        <v>1</v>
      </c>
      <c r="K1756" s="1860"/>
      <c r="L1756" s="1854">
        <v>13177020402</v>
      </c>
      <c r="M1756" s="1855">
        <v>1</v>
      </c>
      <c r="N1756" s="1855">
        <v>1</v>
      </c>
      <c r="O1756" s="1856">
        <v>2</v>
      </c>
    </row>
    <row r="1757" spans="3:15">
      <c r="C1757" s="1861" t="s">
        <v>5546</v>
      </c>
      <c r="D1757" s="1858">
        <v>1</v>
      </c>
      <c r="E1757" s="1858">
        <v>1</v>
      </c>
      <c r="F1757" s="1859">
        <v>2</v>
      </c>
      <c r="G1757" s="1872" t="s">
        <v>5546</v>
      </c>
      <c r="H1757" s="1856">
        <v>1</v>
      </c>
      <c r="I1757" s="1856">
        <v>1</v>
      </c>
      <c r="J1757" s="1873">
        <v>2</v>
      </c>
      <c r="K1757" s="1860"/>
      <c r="L1757" s="1854">
        <v>13177020403</v>
      </c>
      <c r="M1757" s="1855">
        <v>1</v>
      </c>
      <c r="N1757" s="1855">
        <v>1</v>
      </c>
      <c r="O1757" s="1856">
        <v>2</v>
      </c>
    </row>
    <row r="1758" spans="3:15">
      <c r="C1758" s="1861" t="s">
        <v>5547</v>
      </c>
      <c r="D1758" s="1858">
        <v>0</v>
      </c>
      <c r="E1758" s="1858">
        <v>1</v>
      </c>
      <c r="F1758" s="1859">
        <v>1</v>
      </c>
      <c r="G1758" s="1872" t="s">
        <v>5547</v>
      </c>
      <c r="H1758" s="1856">
        <v>0</v>
      </c>
      <c r="I1758" s="1856" t="s">
        <v>3908</v>
      </c>
      <c r="J1758" s="1873">
        <v>0</v>
      </c>
      <c r="K1758" s="1860"/>
      <c r="L1758" s="1854">
        <v>13179010101</v>
      </c>
      <c r="M1758" s="1855">
        <v>0</v>
      </c>
      <c r="N1758" s="1855">
        <v>1</v>
      </c>
      <c r="O1758" s="1856">
        <v>1</v>
      </c>
    </row>
    <row r="1759" spans="3:15">
      <c r="C1759" s="1861" t="s">
        <v>5548</v>
      </c>
      <c r="D1759" s="1858">
        <v>1</v>
      </c>
      <c r="E1759" s="1858">
        <v>1</v>
      </c>
      <c r="F1759" s="1859">
        <v>2</v>
      </c>
      <c r="G1759" s="1872" t="s">
        <v>5548</v>
      </c>
      <c r="H1759" s="1856">
        <v>1</v>
      </c>
      <c r="I1759" s="1856" t="s">
        <v>3908</v>
      </c>
      <c r="J1759" s="1873">
        <v>1</v>
      </c>
      <c r="K1759" s="1860"/>
      <c r="L1759" s="1854">
        <v>13179010102</v>
      </c>
      <c r="M1759" s="1855">
        <v>1</v>
      </c>
      <c r="N1759" s="1855">
        <v>1</v>
      </c>
      <c r="O1759" s="1856">
        <v>2</v>
      </c>
    </row>
    <row r="1760" spans="3:15">
      <c r="C1760" s="1861" t="s">
        <v>5549</v>
      </c>
      <c r="D1760" s="1858">
        <v>0</v>
      </c>
      <c r="E1760" s="1858">
        <v>1</v>
      </c>
      <c r="F1760" s="1859">
        <v>1</v>
      </c>
      <c r="G1760" s="1872" t="s">
        <v>5549</v>
      </c>
      <c r="H1760" s="1856">
        <v>0</v>
      </c>
      <c r="I1760" s="1856" t="s">
        <v>3908</v>
      </c>
      <c r="J1760" s="1873">
        <v>0</v>
      </c>
      <c r="K1760" s="1860"/>
      <c r="L1760" s="1854">
        <v>13179010103</v>
      </c>
      <c r="M1760" s="1855">
        <v>0</v>
      </c>
      <c r="N1760" s="1855">
        <v>1</v>
      </c>
      <c r="O1760" s="1856">
        <v>1</v>
      </c>
    </row>
    <row r="1761" spans="3:15">
      <c r="C1761" s="1861" t="s">
        <v>5550</v>
      </c>
      <c r="D1761" s="1858">
        <v>0</v>
      </c>
      <c r="E1761" s="1858">
        <v>1</v>
      </c>
      <c r="F1761" s="1859">
        <v>1</v>
      </c>
      <c r="G1761" s="1872" t="s">
        <v>5550</v>
      </c>
      <c r="H1761" s="1856">
        <v>0</v>
      </c>
      <c r="I1761" s="1856">
        <v>1</v>
      </c>
      <c r="J1761" s="1873">
        <v>1</v>
      </c>
      <c r="K1761" s="1860"/>
      <c r="L1761" s="1854">
        <v>13179010202</v>
      </c>
      <c r="M1761" s="1855">
        <v>0</v>
      </c>
      <c r="N1761" s="1855">
        <v>1</v>
      </c>
      <c r="O1761" s="1856">
        <v>1</v>
      </c>
    </row>
    <row r="1762" spans="3:15">
      <c r="C1762" s="1861" t="s">
        <v>5551</v>
      </c>
      <c r="D1762" s="1858">
        <v>0</v>
      </c>
      <c r="E1762" s="1858">
        <v>0</v>
      </c>
      <c r="F1762" s="1859">
        <v>0</v>
      </c>
      <c r="G1762" s="1872" t="s">
        <v>5551</v>
      </c>
      <c r="H1762" s="1856">
        <v>0</v>
      </c>
      <c r="I1762" s="1856">
        <v>0</v>
      </c>
      <c r="J1762" s="1873">
        <v>0</v>
      </c>
      <c r="K1762" s="1860"/>
      <c r="L1762" s="1854">
        <v>13179010204</v>
      </c>
      <c r="M1762" s="1855">
        <v>0</v>
      </c>
      <c r="N1762" s="1855">
        <v>0</v>
      </c>
      <c r="O1762" s="1856">
        <v>0</v>
      </c>
    </row>
    <row r="1763" spans="3:15">
      <c r="C1763" s="1861" t="s">
        <v>5552</v>
      </c>
      <c r="D1763" s="1858">
        <v>0</v>
      </c>
      <c r="E1763" s="1858">
        <v>1</v>
      </c>
      <c r="F1763" s="1859">
        <v>1</v>
      </c>
      <c r="G1763" s="1872" t="s">
        <v>5552</v>
      </c>
      <c r="H1763" s="1856">
        <v>0</v>
      </c>
      <c r="I1763" s="1856">
        <v>0</v>
      </c>
      <c r="J1763" s="1873">
        <v>0</v>
      </c>
      <c r="K1763" s="1860"/>
      <c r="L1763" s="1854">
        <v>13179010205</v>
      </c>
      <c r="M1763" s="1855">
        <v>0</v>
      </c>
      <c r="N1763" s="1855">
        <v>1</v>
      </c>
      <c r="O1763" s="1856">
        <v>1</v>
      </c>
    </row>
    <row r="1764" spans="3:15">
      <c r="C1764" s="1861" t="s">
        <v>5553</v>
      </c>
      <c r="D1764" s="1858">
        <v>0</v>
      </c>
      <c r="E1764" s="1858">
        <v>1</v>
      </c>
      <c r="F1764" s="1859">
        <v>1</v>
      </c>
      <c r="G1764" s="1872" t="s">
        <v>5553</v>
      </c>
      <c r="H1764" s="1856">
        <v>0</v>
      </c>
      <c r="I1764" s="1856">
        <v>1</v>
      </c>
      <c r="J1764" s="1873">
        <v>1</v>
      </c>
      <c r="K1764" s="1860"/>
      <c r="L1764" s="1854">
        <v>13179010206</v>
      </c>
      <c r="M1764" s="1855">
        <v>0</v>
      </c>
      <c r="N1764" s="1855">
        <v>1</v>
      </c>
      <c r="O1764" s="1856">
        <v>1</v>
      </c>
    </row>
    <row r="1765" spans="3:15">
      <c r="C1765" s="1861" t="s">
        <v>5554</v>
      </c>
      <c r="D1765" s="1858">
        <v>0</v>
      </c>
      <c r="E1765" s="1858">
        <v>0</v>
      </c>
      <c r="F1765" s="1859">
        <v>0</v>
      </c>
      <c r="G1765" s="1872" t="s">
        <v>5554</v>
      </c>
      <c r="H1765" s="1856">
        <v>0</v>
      </c>
      <c r="I1765" s="1856">
        <v>0</v>
      </c>
      <c r="J1765" s="1873">
        <v>0</v>
      </c>
      <c r="K1765" s="1860"/>
      <c r="L1765" s="1854">
        <v>13179010207</v>
      </c>
      <c r="M1765" s="1855">
        <v>0</v>
      </c>
      <c r="N1765" s="1855">
        <v>0</v>
      </c>
      <c r="O1765" s="1856">
        <v>0</v>
      </c>
    </row>
    <row r="1766" spans="3:15">
      <c r="C1766" s="1861" t="s">
        <v>5555</v>
      </c>
      <c r="D1766" s="1858">
        <v>0</v>
      </c>
      <c r="E1766" s="1858">
        <v>1</v>
      </c>
      <c r="F1766" s="1859">
        <v>1</v>
      </c>
      <c r="G1766" s="1872" t="s">
        <v>5555</v>
      </c>
      <c r="H1766" s="1856">
        <v>0</v>
      </c>
      <c r="I1766" s="1856" t="s">
        <v>3908</v>
      </c>
      <c r="J1766" s="1873">
        <v>0</v>
      </c>
      <c r="K1766" s="1860"/>
      <c r="L1766" s="1854">
        <v>13179010208</v>
      </c>
      <c r="M1766" s="1855">
        <v>0</v>
      </c>
      <c r="N1766" s="1855">
        <v>1</v>
      </c>
      <c r="O1766" s="1856">
        <v>1</v>
      </c>
    </row>
    <row r="1767" spans="3:15">
      <c r="C1767" s="1861" t="s">
        <v>5556</v>
      </c>
      <c r="D1767" s="1858">
        <v>0</v>
      </c>
      <c r="E1767" s="1858">
        <v>1</v>
      </c>
      <c r="F1767" s="1859">
        <v>1</v>
      </c>
      <c r="G1767" s="1872" t="s">
        <v>5556</v>
      </c>
      <c r="H1767" s="1856">
        <v>0</v>
      </c>
      <c r="I1767" s="1856">
        <v>1</v>
      </c>
      <c r="J1767" s="1873">
        <v>1</v>
      </c>
      <c r="K1767" s="1860"/>
      <c r="L1767" s="1854">
        <v>13179010300</v>
      </c>
      <c r="M1767" s="1855">
        <v>0</v>
      </c>
      <c r="N1767" s="1855">
        <v>1</v>
      </c>
      <c r="O1767" s="1856">
        <v>1</v>
      </c>
    </row>
    <row r="1768" spans="3:15">
      <c r="C1768" s="1861" t="s">
        <v>5557</v>
      </c>
      <c r="D1768" s="1858">
        <v>0</v>
      </c>
      <c r="E1768" s="1858">
        <v>0</v>
      </c>
      <c r="F1768" s="1859">
        <v>0</v>
      </c>
      <c r="G1768" s="1872" t="s">
        <v>5557</v>
      </c>
      <c r="H1768" s="1856">
        <v>0</v>
      </c>
      <c r="I1768" s="1856">
        <v>0</v>
      </c>
      <c r="J1768" s="1873">
        <v>0</v>
      </c>
      <c r="K1768" s="1860"/>
      <c r="L1768" s="1854">
        <v>13179010400</v>
      </c>
      <c r="M1768" s="1855">
        <v>0</v>
      </c>
      <c r="N1768" s="1855">
        <v>0</v>
      </c>
      <c r="O1768" s="1856">
        <v>0</v>
      </c>
    </row>
    <row r="1769" spans="3:15">
      <c r="C1769" s="1861" t="s">
        <v>5558</v>
      </c>
      <c r="D1769" s="1858">
        <v>1</v>
      </c>
      <c r="E1769" s="1858">
        <v>1</v>
      </c>
      <c r="F1769" s="1859">
        <v>2</v>
      </c>
      <c r="G1769" s="1872" t="s">
        <v>5558</v>
      </c>
      <c r="H1769" s="1856">
        <v>0</v>
      </c>
      <c r="I1769" s="1856">
        <v>0</v>
      </c>
      <c r="J1769" s="1873">
        <v>0</v>
      </c>
      <c r="K1769" s="1860"/>
      <c r="L1769" s="1854">
        <v>13179010501</v>
      </c>
      <c r="M1769" s="1855">
        <v>1</v>
      </c>
      <c r="N1769" s="1855">
        <v>1</v>
      </c>
      <c r="O1769" s="1856">
        <v>2</v>
      </c>
    </row>
    <row r="1770" spans="3:15">
      <c r="C1770" s="1861" t="s">
        <v>5559</v>
      </c>
      <c r="D1770" s="1858">
        <v>0</v>
      </c>
      <c r="E1770" s="1858">
        <v>0</v>
      </c>
      <c r="F1770" s="1859">
        <v>0</v>
      </c>
      <c r="G1770" s="1872" t="s">
        <v>5559</v>
      </c>
      <c r="H1770" s="1856">
        <v>0</v>
      </c>
      <c r="I1770" s="1856">
        <v>0</v>
      </c>
      <c r="J1770" s="1873">
        <v>0</v>
      </c>
      <c r="K1770" s="1860"/>
      <c r="L1770" s="1854">
        <v>13179010502</v>
      </c>
      <c r="M1770" s="1855">
        <v>0</v>
      </c>
      <c r="N1770" s="1855">
        <v>0</v>
      </c>
      <c r="O1770" s="1856">
        <v>0</v>
      </c>
    </row>
    <row r="1771" spans="3:15">
      <c r="C1771" s="1861" t="s">
        <v>5560</v>
      </c>
      <c r="D1771" s="1858">
        <v>0</v>
      </c>
      <c r="E1771" s="1858">
        <v>0</v>
      </c>
      <c r="F1771" s="1859">
        <v>0</v>
      </c>
      <c r="G1771" s="1872" t="s">
        <v>5560</v>
      </c>
      <c r="H1771" s="1856">
        <v>0</v>
      </c>
      <c r="I1771" s="1856">
        <v>0</v>
      </c>
      <c r="J1771" s="1873">
        <v>0</v>
      </c>
      <c r="K1771" s="1860"/>
      <c r="L1771" s="1854">
        <v>13179010600</v>
      </c>
      <c r="M1771" s="1855">
        <v>0</v>
      </c>
      <c r="N1771" s="1855">
        <v>0</v>
      </c>
      <c r="O1771" s="1856">
        <v>0</v>
      </c>
    </row>
    <row r="1772" spans="3:15">
      <c r="C1772" s="1861" t="s">
        <v>5561</v>
      </c>
      <c r="D1772" s="1858" t="s">
        <v>3908</v>
      </c>
      <c r="E1772" s="1858" t="s">
        <v>3908</v>
      </c>
      <c r="F1772" s="1859">
        <v>0</v>
      </c>
      <c r="G1772" s="1872" t="s">
        <v>5561</v>
      </c>
      <c r="H1772" s="1856" t="s">
        <v>3908</v>
      </c>
      <c r="I1772" s="1856" t="s">
        <v>3908</v>
      </c>
      <c r="J1772" s="1873">
        <v>0</v>
      </c>
      <c r="K1772" s="1860"/>
      <c r="L1772" s="1854">
        <v>13179990000</v>
      </c>
      <c r="M1772" s="1855">
        <v>0</v>
      </c>
      <c r="N1772" s="1855">
        <v>0</v>
      </c>
      <c r="O1772" s="1856">
        <v>0</v>
      </c>
    </row>
    <row r="1773" spans="3:15">
      <c r="C1773" s="1861" t="s">
        <v>5562</v>
      </c>
      <c r="D1773" s="1858">
        <v>0</v>
      </c>
      <c r="E1773" s="1858">
        <v>0</v>
      </c>
      <c r="F1773" s="1859">
        <v>0</v>
      </c>
      <c r="G1773" s="1872" t="s">
        <v>5562</v>
      </c>
      <c r="H1773" s="1856">
        <v>0</v>
      </c>
      <c r="I1773" s="1856">
        <v>1</v>
      </c>
      <c r="J1773" s="1873">
        <v>1</v>
      </c>
      <c r="K1773" s="1860"/>
      <c r="L1773" s="1854">
        <v>13181970100</v>
      </c>
      <c r="M1773" s="1855">
        <v>0</v>
      </c>
      <c r="N1773" s="1855">
        <v>1</v>
      </c>
      <c r="O1773" s="1856">
        <v>1</v>
      </c>
    </row>
    <row r="1774" spans="3:15">
      <c r="C1774" s="1861" t="s">
        <v>5563</v>
      </c>
      <c r="D1774" s="1858">
        <v>0</v>
      </c>
      <c r="E1774" s="1858">
        <v>0</v>
      </c>
      <c r="F1774" s="1859">
        <v>0</v>
      </c>
      <c r="G1774" s="1872" t="s">
        <v>5563</v>
      </c>
      <c r="H1774" s="1856">
        <v>0</v>
      </c>
      <c r="I1774" s="1856">
        <v>0</v>
      </c>
      <c r="J1774" s="1873">
        <v>0</v>
      </c>
      <c r="K1774" s="1860"/>
      <c r="L1774" s="1854">
        <v>13181970200</v>
      </c>
      <c r="M1774" s="1855">
        <v>0</v>
      </c>
      <c r="N1774" s="1855">
        <v>0</v>
      </c>
      <c r="O1774" s="1856">
        <v>0</v>
      </c>
    </row>
    <row r="1775" spans="3:15">
      <c r="C1775" s="1861" t="s">
        <v>5564</v>
      </c>
      <c r="D1775" s="1858">
        <v>0</v>
      </c>
      <c r="E1775" s="1858">
        <v>0</v>
      </c>
      <c r="F1775" s="1859">
        <v>0</v>
      </c>
      <c r="G1775" s="1872" t="s">
        <v>5564</v>
      </c>
      <c r="H1775" s="1856">
        <v>0</v>
      </c>
      <c r="I1775" s="1856">
        <v>0</v>
      </c>
      <c r="J1775" s="1873">
        <v>0</v>
      </c>
      <c r="K1775" s="1860"/>
      <c r="L1775" s="1854">
        <v>13183970100</v>
      </c>
      <c r="M1775" s="1855">
        <v>0</v>
      </c>
      <c r="N1775" s="1855">
        <v>0</v>
      </c>
      <c r="O1775" s="1856">
        <v>0</v>
      </c>
    </row>
    <row r="1776" spans="3:15">
      <c r="C1776" s="1861" t="s">
        <v>5565</v>
      </c>
      <c r="D1776" s="1858">
        <v>0</v>
      </c>
      <c r="E1776" s="1858">
        <v>0</v>
      </c>
      <c r="F1776" s="1859">
        <v>0</v>
      </c>
      <c r="G1776" s="1872" t="s">
        <v>5565</v>
      </c>
      <c r="H1776" s="1856">
        <v>0</v>
      </c>
      <c r="I1776" s="1856">
        <v>1</v>
      </c>
      <c r="J1776" s="1873">
        <v>1</v>
      </c>
      <c r="K1776" s="1860"/>
      <c r="L1776" s="1854">
        <v>13183970200</v>
      </c>
      <c r="M1776" s="1855">
        <v>0</v>
      </c>
      <c r="N1776" s="1855">
        <v>1</v>
      </c>
      <c r="O1776" s="1856">
        <v>1</v>
      </c>
    </row>
    <row r="1777" spans="3:15">
      <c r="C1777" s="1861" t="s">
        <v>5566</v>
      </c>
      <c r="D1777" s="1858" t="s">
        <v>3908</v>
      </c>
      <c r="E1777" s="1858" t="s">
        <v>3908</v>
      </c>
      <c r="F1777" s="1859">
        <v>0</v>
      </c>
      <c r="G1777" s="1872" t="s">
        <v>5566</v>
      </c>
      <c r="H1777" s="1856" t="s">
        <v>3908</v>
      </c>
      <c r="I1777" s="1856" t="s">
        <v>3908</v>
      </c>
      <c r="J1777" s="1873">
        <v>0</v>
      </c>
      <c r="K1777" s="1860"/>
      <c r="L1777" s="1854">
        <v>13183980000</v>
      </c>
      <c r="M1777" s="1855">
        <v>0</v>
      </c>
      <c r="N1777" s="1855">
        <v>0</v>
      </c>
      <c r="O1777" s="1856">
        <v>0</v>
      </c>
    </row>
    <row r="1778" spans="3:15">
      <c r="C1778" s="1861" t="s">
        <v>5567</v>
      </c>
      <c r="D1778" s="1858">
        <v>0</v>
      </c>
      <c r="E1778" s="1858">
        <v>1</v>
      </c>
      <c r="F1778" s="1859">
        <v>1</v>
      </c>
      <c r="G1778" s="1872" t="s">
        <v>5567</v>
      </c>
      <c r="H1778" s="1856">
        <v>0</v>
      </c>
      <c r="I1778" s="1856">
        <v>0</v>
      </c>
      <c r="J1778" s="1873">
        <v>0</v>
      </c>
      <c r="K1778" s="1860"/>
      <c r="L1778" s="1854">
        <v>13185010101</v>
      </c>
      <c r="M1778" s="1855">
        <v>0</v>
      </c>
      <c r="N1778" s="1855">
        <v>1</v>
      </c>
      <c r="O1778" s="1856">
        <v>1</v>
      </c>
    </row>
    <row r="1779" spans="3:15">
      <c r="C1779" s="1861" t="s">
        <v>5568</v>
      </c>
      <c r="D1779" s="1858">
        <v>0</v>
      </c>
      <c r="E1779" s="1858">
        <v>1</v>
      </c>
      <c r="F1779" s="1859">
        <v>1</v>
      </c>
      <c r="G1779" s="1872" t="s">
        <v>5568</v>
      </c>
      <c r="H1779" s="1856">
        <v>0</v>
      </c>
      <c r="I1779" s="1856">
        <v>1</v>
      </c>
      <c r="J1779" s="1873">
        <v>1</v>
      </c>
      <c r="K1779" s="1860"/>
      <c r="L1779" s="1854">
        <v>13185010102</v>
      </c>
      <c r="M1779" s="1855">
        <v>0</v>
      </c>
      <c r="N1779" s="1855">
        <v>1</v>
      </c>
      <c r="O1779" s="1856">
        <v>1</v>
      </c>
    </row>
    <row r="1780" spans="3:15">
      <c r="C1780" s="1861" t="s">
        <v>5569</v>
      </c>
      <c r="D1780" s="1858">
        <v>1</v>
      </c>
      <c r="E1780" s="1858">
        <v>1</v>
      </c>
      <c r="F1780" s="1859">
        <v>2</v>
      </c>
      <c r="G1780" s="1872" t="s">
        <v>5569</v>
      </c>
      <c r="H1780" s="1856">
        <v>1</v>
      </c>
      <c r="I1780" s="1856">
        <v>1</v>
      </c>
      <c r="J1780" s="1873">
        <v>2</v>
      </c>
      <c r="K1780" s="1860"/>
      <c r="L1780" s="1854">
        <v>13185010103</v>
      </c>
      <c r="M1780" s="1855">
        <v>1</v>
      </c>
      <c r="N1780" s="1855">
        <v>1</v>
      </c>
      <c r="O1780" s="1856">
        <v>2</v>
      </c>
    </row>
    <row r="1781" spans="3:15">
      <c r="C1781" s="1861" t="s">
        <v>5570</v>
      </c>
      <c r="D1781" s="1858">
        <v>0</v>
      </c>
      <c r="E1781" s="1858">
        <v>1</v>
      </c>
      <c r="F1781" s="1859">
        <v>1</v>
      </c>
      <c r="G1781" s="1872" t="s">
        <v>5570</v>
      </c>
      <c r="H1781" s="1856">
        <v>0</v>
      </c>
      <c r="I1781" s="1856">
        <v>1</v>
      </c>
      <c r="J1781" s="1873">
        <v>1</v>
      </c>
      <c r="K1781" s="1860"/>
      <c r="L1781" s="1854">
        <v>13185010201</v>
      </c>
      <c r="M1781" s="1855">
        <v>0</v>
      </c>
      <c r="N1781" s="1855">
        <v>1</v>
      </c>
      <c r="O1781" s="1856">
        <v>1</v>
      </c>
    </row>
    <row r="1782" spans="3:15">
      <c r="C1782" s="1861" t="s">
        <v>5571</v>
      </c>
      <c r="D1782" s="1858">
        <v>1</v>
      </c>
      <c r="E1782" s="1858">
        <v>1</v>
      </c>
      <c r="F1782" s="1859">
        <v>2</v>
      </c>
      <c r="G1782" s="1872" t="s">
        <v>5571</v>
      </c>
      <c r="H1782" s="1856">
        <v>1</v>
      </c>
      <c r="I1782" s="1856">
        <v>1</v>
      </c>
      <c r="J1782" s="1873">
        <v>2</v>
      </c>
      <c r="K1782" s="1860"/>
      <c r="L1782" s="1854">
        <v>13185010202</v>
      </c>
      <c r="M1782" s="1855">
        <v>1</v>
      </c>
      <c r="N1782" s="1855">
        <v>1</v>
      </c>
      <c r="O1782" s="1856">
        <v>2</v>
      </c>
    </row>
    <row r="1783" spans="3:15">
      <c r="C1783" s="1861" t="s">
        <v>5572</v>
      </c>
      <c r="D1783" s="1858">
        <v>1</v>
      </c>
      <c r="E1783" s="1858">
        <v>1</v>
      </c>
      <c r="F1783" s="1859">
        <v>2</v>
      </c>
      <c r="G1783" s="1872" t="s">
        <v>5572</v>
      </c>
      <c r="H1783" s="1856">
        <v>1</v>
      </c>
      <c r="I1783" s="1856">
        <v>1</v>
      </c>
      <c r="J1783" s="1873">
        <v>2</v>
      </c>
      <c r="K1783" s="1860"/>
      <c r="L1783" s="1854">
        <v>13185010301</v>
      </c>
      <c r="M1783" s="1855">
        <v>1</v>
      </c>
      <c r="N1783" s="1855">
        <v>1</v>
      </c>
      <c r="O1783" s="1856">
        <v>2</v>
      </c>
    </row>
    <row r="1784" spans="3:15">
      <c r="C1784" s="1861" t="s">
        <v>5573</v>
      </c>
      <c r="D1784" s="1858">
        <v>1</v>
      </c>
      <c r="E1784" s="1858">
        <v>1</v>
      </c>
      <c r="F1784" s="1859">
        <v>2</v>
      </c>
      <c r="G1784" s="1872" t="s">
        <v>5573</v>
      </c>
      <c r="H1784" s="1856">
        <v>1</v>
      </c>
      <c r="I1784" s="1856">
        <v>1</v>
      </c>
      <c r="J1784" s="1873">
        <v>2</v>
      </c>
      <c r="K1784" s="1860"/>
      <c r="L1784" s="1854">
        <v>13185010302</v>
      </c>
      <c r="M1784" s="1855">
        <v>1</v>
      </c>
      <c r="N1784" s="1855">
        <v>1</v>
      </c>
      <c r="O1784" s="1856">
        <v>2</v>
      </c>
    </row>
    <row r="1785" spans="3:15">
      <c r="C1785" s="1861" t="s">
        <v>5574</v>
      </c>
      <c r="D1785" s="1858">
        <v>1</v>
      </c>
      <c r="E1785" s="1858">
        <v>1</v>
      </c>
      <c r="F1785" s="1859">
        <v>2</v>
      </c>
      <c r="G1785" s="1872" t="s">
        <v>5574</v>
      </c>
      <c r="H1785" s="1856">
        <v>1</v>
      </c>
      <c r="I1785" s="1856">
        <v>1</v>
      </c>
      <c r="J1785" s="1873">
        <v>2</v>
      </c>
      <c r="K1785" s="1860"/>
      <c r="L1785" s="1854">
        <v>13185010401</v>
      </c>
      <c r="M1785" s="1855">
        <v>1</v>
      </c>
      <c r="N1785" s="1855">
        <v>1</v>
      </c>
      <c r="O1785" s="1856">
        <v>2</v>
      </c>
    </row>
    <row r="1786" spans="3:15">
      <c r="C1786" s="1861" t="s">
        <v>5575</v>
      </c>
      <c r="D1786" s="1858">
        <v>0</v>
      </c>
      <c r="E1786" s="1858">
        <v>0</v>
      </c>
      <c r="F1786" s="1859">
        <v>0</v>
      </c>
      <c r="G1786" s="1872" t="s">
        <v>5575</v>
      </c>
      <c r="H1786" s="1856">
        <v>0</v>
      </c>
      <c r="I1786" s="1856">
        <v>0</v>
      </c>
      <c r="J1786" s="1873">
        <v>0</v>
      </c>
      <c r="K1786" s="1860"/>
      <c r="L1786" s="1854">
        <v>13185010402</v>
      </c>
      <c r="M1786" s="1855">
        <v>0</v>
      </c>
      <c r="N1786" s="1855">
        <v>0</v>
      </c>
      <c r="O1786" s="1856">
        <v>0</v>
      </c>
    </row>
    <row r="1787" spans="3:15">
      <c r="C1787" s="1861" t="s">
        <v>5576</v>
      </c>
      <c r="D1787" s="1858">
        <v>0</v>
      </c>
      <c r="E1787" s="1858">
        <v>0</v>
      </c>
      <c r="F1787" s="1859">
        <v>0</v>
      </c>
      <c r="G1787" s="1872" t="s">
        <v>5576</v>
      </c>
      <c r="H1787" s="1856">
        <v>0</v>
      </c>
      <c r="I1787" s="1856">
        <v>0</v>
      </c>
      <c r="J1787" s="1873">
        <v>0</v>
      </c>
      <c r="K1787" s="1860"/>
      <c r="L1787" s="1854">
        <v>13185010500</v>
      </c>
      <c r="M1787" s="1855">
        <v>0</v>
      </c>
      <c r="N1787" s="1855">
        <v>0</v>
      </c>
      <c r="O1787" s="1856">
        <v>0</v>
      </c>
    </row>
    <row r="1788" spans="3:15">
      <c r="C1788" s="1861" t="s">
        <v>5577</v>
      </c>
      <c r="D1788" s="1858">
        <v>0</v>
      </c>
      <c r="E1788" s="1858">
        <v>0</v>
      </c>
      <c r="F1788" s="1859">
        <v>0</v>
      </c>
      <c r="G1788" s="1872" t="s">
        <v>5577</v>
      </c>
      <c r="H1788" s="1856">
        <v>0</v>
      </c>
      <c r="I1788" s="1856">
        <v>1</v>
      </c>
      <c r="J1788" s="1873">
        <v>1</v>
      </c>
      <c r="K1788" s="1860"/>
      <c r="L1788" s="1854">
        <v>13185010601</v>
      </c>
      <c r="M1788" s="1855">
        <v>0</v>
      </c>
      <c r="N1788" s="1855">
        <v>1</v>
      </c>
      <c r="O1788" s="1856">
        <v>1</v>
      </c>
    </row>
    <row r="1789" spans="3:15">
      <c r="C1789" s="1861" t="s">
        <v>5578</v>
      </c>
      <c r="D1789" s="1858">
        <v>1</v>
      </c>
      <c r="E1789" s="1858">
        <v>1</v>
      </c>
      <c r="F1789" s="1859">
        <v>2</v>
      </c>
      <c r="G1789" s="1872" t="s">
        <v>5578</v>
      </c>
      <c r="H1789" s="1856">
        <v>1</v>
      </c>
      <c r="I1789" s="1856">
        <v>1</v>
      </c>
      <c r="J1789" s="1873">
        <v>2</v>
      </c>
      <c r="K1789" s="1860"/>
      <c r="L1789" s="1854">
        <v>13185010604</v>
      </c>
      <c r="M1789" s="1855">
        <v>1</v>
      </c>
      <c r="N1789" s="1855">
        <v>1</v>
      </c>
      <c r="O1789" s="1856">
        <v>2</v>
      </c>
    </row>
    <row r="1790" spans="3:15">
      <c r="C1790" s="1861" t="s">
        <v>5579</v>
      </c>
      <c r="D1790" s="1858">
        <v>0</v>
      </c>
      <c r="E1790" s="1858">
        <v>0</v>
      </c>
      <c r="F1790" s="1859">
        <v>0</v>
      </c>
      <c r="G1790" s="1872" t="s">
        <v>5579</v>
      </c>
      <c r="H1790" s="1856">
        <v>0</v>
      </c>
      <c r="I1790" s="1856">
        <v>0</v>
      </c>
      <c r="J1790" s="1873">
        <v>0</v>
      </c>
      <c r="K1790" s="1860"/>
      <c r="L1790" s="1854">
        <v>13185010700</v>
      </c>
      <c r="M1790" s="1855">
        <v>0</v>
      </c>
      <c r="N1790" s="1855">
        <v>0</v>
      </c>
      <c r="O1790" s="1856">
        <v>0</v>
      </c>
    </row>
    <row r="1791" spans="3:15">
      <c r="C1791" s="1861" t="s">
        <v>5580</v>
      </c>
      <c r="D1791" s="1858">
        <v>0</v>
      </c>
      <c r="E1791" s="1858">
        <v>0</v>
      </c>
      <c r="F1791" s="1859">
        <v>0</v>
      </c>
      <c r="G1791" s="1872" t="s">
        <v>5580</v>
      </c>
      <c r="H1791" s="1856">
        <v>0</v>
      </c>
      <c r="I1791" s="1856">
        <v>0</v>
      </c>
      <c r="J1791" s="1873">
        <v>0</v>
      </c>
      <c r="K1791" s="1860"/>
      <c r="L1791" s="1854">
        <v>13185010800</v>
      </c>
      <c r="M1791" s="1855">
        <v>0</v>
      </c>
      <c r="N1791" s="1855">
        <v>0</v>
      </c>
      <c r="O1791" s="1856">
        <v>0</v>
      </c>
    </row>
    <row r="1792" spans="3:15">
      <c r="C1792" s="1861" t="s">
        <v>5581</v>
      </c>
      <c r="D1792" s="1858">
        <v>0</v>
      </c>
      <c r="E1792" s="1858">
        <v>0</v>
      </c>
      <c r="F1792" s="1859">
        <v>0</v>
      </c>
      <c r="G1792" s="1872" t="s">
        <v>5581</v>
      </c>
      <c r="H1792" s="1856">
        <v>0</v>
      </c>
      <c r="I1792" s="1856">
        <v>0</v>
      </c>
      <c r="J1792" s="1873">
        <v>0</v>
      </c>
      <c r="K1792" s="1860"/>
      <c r="L1792" s="1854">
        <v>13185010900</v>
      </c>
      <c r="M1792" s="1855">
        <v>0</v>
      </c>
      <c r="N1792" s="1855">
        <v>0</v>
      </c>
      <c r="O1792" s="1856">
        <v>0</v>
      </c>
    </row>
    <row r="1793" spans="3:15">
      <c r="C1793" s="1861" t="s">
        <v>5582</v>
      </c>
      <c r="D1793" s="1858">
        <v>0</v>
      </c>
      <c r="E1793" s="1858">
        <v>0</v>
      </c>
      <c r="F1793" s="1859">
        <v>0</v>
      </c>
      <c r="G1793" s="1872" t="s">
        <v>5582</v>
      </c>
      <c r="H1793" s="1856">
        <v>0</v>
      </c>
      <c r="I1793" s="1856">
        <v>0</v>
      </c>
      <c r="J1793" s="1873">
        <v>0</v>
      </c>
      <c r="K1793" s="1860"/>
      <c r="L1793" s="1854">
        <v>13185011000</v>
      </c>
      <c r="M1793" s="1855">
        <v>0</v>
      </c>
      <c r="N1793" s="1855">
        <v>0</v>
      </c>
      <c r="O1793" s="1856">
        <v>0</v>
      </c>
    </row>
    <row r="1794" spans="3:15">
      <c r="C1794" s="1861" t="s">
        <v>5583</v>
      </c>
      <c r="D1794" s="1858">
        <v>0</v>
      </c>
      <c r="E1794" s="1858">
        <v>0</v>
      </c>
      <c r="F1794" s="1859">
        <v>0</v>
      </c>
      <c r="G1794" s="1872" t="s">
        <v>5583</v>
      </c>
      <c r="H1794" s="1856">
        <v>0</v>
      </c>
      <c r="I1794" s="1856">
        <v>1</v>
      </c>
      <c r="J1794" s="1873">
        <v>1</v>
      </c>
      <c r="K1794" s="1860"/>
      <c r="L1794" s="1854">
        <v>13185011100</v>
      </c>
      <c r="M1794" s="1855">
        <v>0</v>
      </c>
      <c r="N1794" s="1855">
        <v>1</v>
      </c>
      <c r="O1794" s="1856">
        <v>1</v>
      </c>
    </row>
    <row r="1795" spans="3:15">
      <c r="C1795" s="1861" t="s">
        <v>5584</v>
      </c>
      <c r="D1795" s="1858">
        <v>0</v>
      </c>
      <c r="E1795" s="1858">
        <v>0</v>
      </c>
      <c r="F1795" s="1859">
        <v>0</v>
      </c>
      <c r="G1795" s="1872" t="s">
        <v>5584</v>
      </c>
      <c r="H1795" s="1856">
        <v>0</v>
      </c>
      <c r="I1795" s="1856">
        <v>0</v>
      </c>
      <c r="J1795" s="1873">
        <v>0</v>
      </c>
      <c r="K1795" s="1860"/>
      <c r="L1795" s="1854">
        <v>13185011200</v>
      </c>
      <c r="M1795" s="1855">
        <v>0</v>
      </c>
      <c r="N1795" s="1855">
        <v>0</v>
      </c>
      <c r="O1795" s="1856">
        <v>0</v>
      </c>
    </row>
    <row r="1796" spans="3:15">
      <c r="C1796" s="1861" t="s">
        <v>5585</v>
      </c>
      <c r="D1796" s="1858">
        <v>0</v>
      </c>
      <c r="E1796" s="1858">
        <v>0</v>
      </c>
      <c r="F1796" s="1859">
        <v>0</v>
      </c>
      <c r="G1796" s="1872" t="s">
        <v>5585</v>
      </c>
      <c r="H1796" s="1856">
        <v>0</v>
      </c>
      <c r="I1796" s="1856">
        <v>0</v>
      </c>
      <c r="J1796" s="1873">
        <v>0</v>
      </c>
      <c r="K1796" s="1860"/>
      <c r="L1796" s="1854">
        <v>13185011301</v>
      </c>
      <c r="M1796" s="1855">
        <v>0</v>
      </c>
      <c r="N1796" s="1855">
        <v>0</v>
      </c>
      <c r="O1796" s="1856">
        <v>0</v>
      </c>
    </row>
    <row r="1797" spans="3:15">
      <c r="C1797" s="1861" t="s">
        <v>5586</v>
      </c>
      <c r="D1797" s="1858">
        <v>0</v>
      </c>
      <c r="E1797" s="1858">
        <v>0</v>
      </c>
      <c r="F1797" s="1859">
        <v>0</v>
      </c>
      <c r="G1797" s="1872" t="s">
        <v>5586</v>
      </c>
      <c r="H1797" s="1856">
        <v>0</v>
      </c>
      <c r="I1797" s="1856">
        <v>0</v>
      </c>
      <c r="J1797" s="1873">
        <v>0</v>
      </c>
      <c r="K1797" s="1860"/>
      <c r="L1797" s="1854">
        <v>13185011302</v>
      </c>
      <c r="M1797" s="1855">
        <v>0</v>
      </c>
      <c r="N1797" s="1855">
        <v>0</v>
      </c>
      <c r="O1797" s="1856">
        <v>0</v>
      </c>
    </row>
    <row r="1798" spans="3:15">
      <c r="C1798" s="1861" t="s">
        <v>5587</v>
      </c>
      <c r="D1798" s="1858">
        <v>0</v>
      </c>
      <c r="E1798" s="1858">
        <v>0</v>
      </c>
      <c r="F1798" s="1859">
        <v>0</v>
      </c>
      <c r="G1798" s="1872" t="s">
        <v>5587</v>
      </c>
      <c r="H1798" s="1856">
        <v>0</v>
      </c>
      <c r="I1798" s="1856">
        <v>1</v>
      </c>
      <c r="J1798" s="1873">
        <v>1</v>
      </c>
      <c r="K1798" s="1860"/>
      <c r="L1798" s="1854">
        <v>13185011401</v>
      </c>
      <c r="M1798" s="1855">
        <v>0</v>
      </c>
      <c r="N1798" s="1855">
        <v>1</v>
      </c>
      <c r="O1798" s="1856">
        <v>1</v>
      </c>
    </row>
    <row r="1799" spans="3:15">
      <c r="C1799" s="1861" t="s">
        <v>5588</v>
      </c>
      <c r="D1799" s="1858">
        <v>0</v>
      </c>
      <c r="E1799" s="1858">
        <v>0</v>
      </c>
      <c r="F1799" s="1859">
        <v>0</v>
      </c>
      <c r="G1799" s="1872" t="s">
        <v>5588</v>
      </c>
      <c r="H1799" s="1856">
        <v>0</v>
      </c>
      <c r="I1799" s="1856">
        <v>0</v>
      </c>
      <c r="J1799" s="1873">
        <v>0</v>
      </c>
      <c r="K1799" s="1860"/>
      <c r="L1799" s="1854">
        <v>13185011402</v>
      </c>
      <c r="M1799" s="1855">
        <v>0</v>
      </c>
      <c r="N1799" s="1855">
        <v>0</v>
      </c>
      <c r="O1799" s="1856">
        <v>0</v>
      </c>
    </row>
    <row r="1800" spans="3:15">
      <c r="C1800" s="1861" t="s">
        <v>5589</v>
      </c>
      <c r="D1800" s="1858">
        <v>0</v>
      </c>
      <c r="E1800" s="1858">
        <v>0</v>
      </c>
      <c r="F1800" s="1859">
        <v>0</v>
      </c>
      <c r="G1800" s="1872" t="s">
        <v>5589</v>
      </c>
      <c r="H1800" s="1856">
        <v>0</v>
      </c>
      <c r="I1800" s="1856">
        <v>0</v>
      </c>
      <c r="J1800" s="1873">
        <v>0</v>
      </c>
      <c r="K1800" s="1860"/>
      <c r="L1800" s="1854">
        <v>13185011403</v>
      </c>
      <c r="M1800" s="1855">
        <v>0</v>
      </c>
      <c r="N1800" s="1855">
        <v>0</v>
      </c>
      <c r="O1800" s="1856">
        <v>0</v>
      </c>
    </row>
    <row r="1801" spans="3:15">
      <c r="C1801" s="1861" t="s">
        <v>5590</v>
      </c>
      <c r="D1801" s="1858">
        <v>0</v>
      </c>
      <c r="E1801" s="1858">
        <v>0</v>
      </c>
      <c r="F1801" s="1859">
        <v>0</v>
      </c>
      <c r="G1801" s="1872" t="s">
        <v>5590</v>
      </c>
      <c r="H1801" s="1856">
        <v>0</v>
      </c>
      <c r="I1801" s="1856">
        <v>0</v>
      </c>
      <c r="J1801" s="1873">
        <v>0</v>
      </c>
      <c r="K1801" s="1860"/>
      <c r="L1801" s="1854">
        <v>13185011500</v>
      </c>
      <c r="M1801" s="1855">
        <v>0</v>
      </c>
      <c r="N1801" s="1855">
        <v>0</v>
      </c>
      <c r="O1801" s="1856">
        <v>0</v>
      </c>
    </row>
    <row r="1802" spans="3:15">
      <c r="C1802" s="1861" t="s">
        <v>5591</v>
      </c>
      <c r="D1802" s="1858">
        <v>0</v>
      </c>
      <c r="E1802" s="1858">
        <v>1</v>
      </c>
      <c r="F1802" s="1859">
        <v>1</v>
      </c>
      <c r="G1802" s="1872" t="s">
        <v>5591</v>
      </c>
      <c r="H1802" s="1856">
        <v>0</v>
      </c>
      <c r="I1802" s="1856">
        <v>0</v>
      </c>
      <c r="J1802" s="1873">
        <v>0</v>
      </c>
      <c r="K1802" s="1860"/>
      <c r="L1802" s="1854">
        <v>13185011600</v>
      </c>
      <c r="M1802" s="1855">
        <v>0</v>
      </c>
      <c r="N1802" s="1855">
        <v>1</v>
      </c>
      <c r="O1802" s="1856">
        <v>1</v>
      </c>
    </row>
    <row r="1803" spans="3:15">
      <c r="C1803" s="1861" t="s">
        <v>5592</v>
      </c>
      <c r="D1803" s="1858">
        <v>0</v>
      </c>
      <c r="E1803" s="1858">
        <v>0</v>
      </c>
      <c r="F1803" s="1859">
        <v>0</v>
      </c>
      <c r="G1803" s="1872" t="s">
        <v>5592</v>
      </c>
      <c r="H1803" s="1856">
        <v>1</v>
      </c>
      <c r="I1803" s="1856">
        <v>0</v>
      </c>
      <c r="J1803" s="1873">
        <v>1</v>
      </c>
      <c r="K1803" s="1860"/>
      <c r="L1803" s="1854">
        <v>13187960101</v>
      </c>
      <c r="M1803" s="1855">
        <v>1</v>
      </c>
      <c r="N1803" s="1855">
        <v>0</v>
      </c>
      <c r="O1803" s="1856">
        <v>1</v>
      </c>
    </row>
    <row r="1804" spans="3:15">
      <c r="C1804" s="1861" t="s">
        <v>5593</v>
      </c>
      <c r="D1804" s="1858">
        <v>1</v>
      </c>
      <c r="E1804" s="1858">
        <v>1</v>
      </c>
      <c r="F1804" s="1859">
        <v>2</v>
      </c>
      <c r="G1804" s="1872" t="s">
        <v>5593</v>
      </c>
      <c r="H1804" s="1856">
        <v>1</v>
      </c>
      <c r="I1804" s="1856">
        <v>1</v>
      </c>
      <c r="J1804" s="1873">
        <v>2</v>
      </c>
      <c r="K1804" s="1860"/>
      <c r="L1804" s="1854">
        <v>13187960102</v>
      </c>
      <c r="M1804" s="1855">
        <v>1</v>
      </c>
      <c r="N1804" s="1855">
        <v>1</v>
      </c>
      <c r="O1804" s="1856">
        <v>2</v>
      </c>
    </row>
    <row r="1805" spans="3:15">
      <c r="C1805" s="1861" t="s">
        <v>5594</v>
      </c>
      <c r="D1805" s="1858">
        <v>0</v>
      </c>
      <c r="E1805" s="1858">
        <v>1</v>
      </c>
      <c r="F1805" s="1859">
        <v>1</v>
      </c>
      <c r="G1805" s="1872" t="s">
        <v>5594</v>
      </c>
      <c r="H1805" s="1856">
        <v>0</v>
      </c>
      <c r="I1805" s="1856">
        <v>1</v>
      </c>
      <c r="J1805" s="1873">
        <v>1</v>
      </c>
      <c r="K1805" s="1860"/>
      <c r="L1805" s="1854">
        <v>13187960201</v>
      </c>
      <c r="M1805" s="1855">
        <v>0</v>
      </c>
      <c r="N1805" s="1855">
        <v>1</v>
      </c>
      <c r="O1805" s="1856">
        <v>1</v>
      </c>
    </row>
    <row r="1806" spans="3:15">
      <c r="C1806" s="1861" t="s">
        <v>5595</v>
      </c>
      <c r="D1806" s="1858">
        <v>0</v>
      </c>
      <c r="E1806" s="1858">
        <v>0</v>
      </c>
      <c r="F1806" s="1859">
        <v>0</v>
      </c>
      <c r="G1806" s="1872" t="s">
        <v>5595</v>
      </c>
      <c r="H1806" s="1856">
        <v>0</v>
      </c>
      <c r="I1806" s="1856">
        <v>0</v>
      </c>
      <c r="J1806" s="1873">
        <v>0</v>
      </c>
      <c r="K1806" s="1860"/>
      <c r="L1806" s="1854">
        <v>13187960202</v>
      </c>
      <c r="M1806" s="1855">
        <v>0</v>
      </c>
      <c r="N1806" s="1855">
        <v>0</v>
      </c>
      <c r="O1806" s="1856">
        <v>0</v>
      </c>
    </row>
    <row r="1807" spans="3:15">
      <c r="C1807" s="1861" t="s">
        <v>5596</v>
      </c>
      <c r="D1807" s="1858">
        <v>1</v>
      </c>
      <c r="E1807" s="1858">
        <v>1</v>
      </c>
      <c r="F1807" s="1859">
        <v>2</v>
      </c>
      <c r="G1807" s="1872" t="s">
        <v>5596</v>
      </c>
      <c r="H1807" s="1856">
        <v>1</v>
      </c>
      <c r="I1807" s="1856">
        <v>0</v>
      </c>
      <c r="J1807" s="1873">
        <v>1</v>
      </c>
      <c r="K1807" s="1860"/>
      <c r="L1807" s="1854">
        <v>13189950100</v>
      </c>
      <c r="M1807" s="1855">
        <v>1</v>
      </c>
      <c r="N1807" s="1855">
        <v>1</v>
      </c>
      <c r="O1807" s="1856">
        <v>2</v>
      </c>
    </row>
    <row r="1808" spans="3:15">
      <c r="C1808" s="1861" t="s">
        <v>5597</v>
      </c>
      <c r="D1808" s="1858">
        <v>0</v>
      </c>
      <c r="E1808" s="1858">
        <v>0</v>
      </c>
      <c r="F1808" s="1859">
        <v>0</v>
      </c>
      <c r="G1808" s="1872" t="s">
        <v>5597</v>
      </c>
      <c r="H1808" s="1856">
        <v>0</v>
      </c>
      <c r="I1808" s="1856">
        <v>0</v>
      </c>
      <c r="J1808" s="1873">
        <v>0</v>
      </c>
      <c r="K1808" s="1860"/>
      <c r="L1808" s="1854">
        <v>13189950200</v>
      </c>
      <c r="M1808" s="1855">
        <v>0</v>
      </c>
      <c r="N1808" s="1855">
        <v>0</v>
      </c>
      <c r="O1808" s="1856">
        <v>0</v>
      </c>
    </row>
    <row r="1809" spans="3:15">
      <c r="C1809" s="1861" t="s">
        <v>5598</v>
      </c>
      <c r="D1809" s="1858">
        <v>0</v>
      </c>
      <c r="E1809" s="1858">
        <v>0</v>
      </c>
      <c r="F1809" s="1859">
        <v>0</v>
      </c>
      <c r="G1809" s="1872" t="s">
        <v>5598</v>
      </c>
      <c r="H1809" s="1856">
        <v>0</v>
      </c>
      <c r="I1809" s="1856">
        <v>0</v>
      </c>
      <c r="J1809" s="1873">
        <v>0</v>
      </c>
      <c r="K1809" s="1860"/>
      <c r="L1809" s="1854">
        <v>13189950300</v>
      </c>
      <c r="M1809" s="1855">
        <v>0</v>
      </c>
      <c r="N1809" s="1855">
        <v>0</v>
      </c>
      <c r="O1809" s="1856">
        <v>0</v>
      </c>
    </row>
    <row r="1810" spans="3:15">
      <c r="C1810" s="1861" t="s">
        <v>5599</v>
      </c>
      <c r="D1810" s="1858">
        <v>0</v>
      </c>
      <c r="E1810" s="1858">
        <v>0</v>
      </c>
      <c r="F1810" s="1859">
        <v>0</v>
      </c>
      <c r="G1810" s="1872" t="s">
        <v>5599</v>
      </c>
      <c r="H1810" s="1856">
        <v>0</v>
      </c>
      <c r="I1810" s="1856">
        <v>0</v>
      </c>
      <c r="J1810" s="1873">
        <v>0</v>
      </c>
      <c r="K1810" s="1860"/>
      <c r="L1810" s="1854">
        <v>13189950400</v>
      </c>
      <c r="M1810" s="1855">
        <v>0</v>
      </c>
      <c r="N1810" s="1855">
        <v>0</v>
      </c>
      <c r="O1810" s="1856">
        <v>0</v>
      </c>
    </row>
    <row r="1811" spans="3:15">
      <c r="C1811" s="1861" t="s">
        <v>5600</v>
      </c>
      <c r="D1811" s="1858">
        <v>0</v>
      </c>
      <c r="E1811" s="1858">
        <v>0</v>
      </c>
      <c r="F1811" s="1859">
        <v>0</v>
      </c>
      <c r="G1811" s="1872" t="s">
        <v>5600</v>
      </c>
      <c r="H1811" s="1856">
        <v>0</v>
      </c>
      <c r="I1811" s="1856">
        <v>0</v>
      </c>
      <c r="J1811" s="1873">
        <v>0</v>
      </c>
      <c r="K1811" s="1860"/>
      <c r="L1811" s="1854">
        <v>13189950500</v>
      </c>
      <c r="M1811" s="1855">
        <v>0</v>
      </c>
      <c r="N1811" s="1855">
        <v>0</v>
      </c>
      <c r="O1811" s="1856">
        <v>0</v>
      </c>
    </row>
    <row r="1812" spans="3:15">
      <c r="C1812" s="1861" t="s">
        <v>5601</v>
      </c>
      <c r="D1812" s="1858">
        <v>0</v>
      </c>
      <c r="E1812" s="1858">
        <v>0</v>
      </c>
      <c r="F1812" s="1859">
        <v>0</v>
      </c>
      <c r="G1812" s="1872" t="s">
        <v>5601</v>
      </c>
      <c r="H1812" s="1856">
        <v>0</v>
      </c>
      <c r="I1812" s="1856">
        <v>1</v>
      </c>
      <c r="J1812" s="1873">
        <v>1</v>
      </c>
      <c r="K1812" s="1860"/>
      <c r="L1812" s="1854">
        <v>13191110100</v>
      </c>
      <c r="M1812" s="1855">
        <v>0</v>
      </c>
      <c r="N1812" s="1855">
        <v>1</v>
      </c>
      <c r="O1812" s="1856">
        <v>1</v>
      </c>
    </row>
    <row r="1813" spans="3:15">
      <c r="C1813" s="1861" t="s">
        <v>5602</v>
      </c>
      <c r="D1813" s="1858">
        <v>0</v>
      </c>
      <c r="E1813" s="1858">
        <v>0</v>
      </c>
      <c r="F1813" s="1859">
        <v>0</v>
      </c>
      <c r="G1813" s="1872" t="s">
        <v>5602</v>
      </c>
      <c r="H1813" s="1856">
        <v>0</v>
      </c>
      <c r="I1813" s="1856">
        <v>0</v>
      </c>
      <c r="J1813" s="1873">
        <v>0</v>
      </c>
      <c r="K1813" s="1860"/>
      <c r="L1813" s="1854">
        <v>13191110200</v>
      </c>
      <c r="M1813" s="1855">
        <v>0</v>
      </c>
      <c r="N1813" s="1855">
        <v>0</v>
      </c>
      <c r="O1813" s="1856">
        <v>0</v>
      </c>
    </row>
    <row r="1814" spans="3:15">
      <c r="C1814" s="1861" t="s">
        <v>5603</v>
      </c>
      <c r="D1814" s="1858">
        <v>0</v>
      </c>
      <c r="E1814" s="1858">
        <v>0</v>
      </c>
      <c r="F1814" s="1859">
        <v>0</v>
      </c>
      <c r="G1814" s="1872" t="s">
        <v>5603</v>
      </c>
      <c r="H1814" s="1856">
        <v>0</v>
      </c>
      <c r="I1814" s="1856">
        <v>0</v>
      </c>
      <c r="J1814" s="1873">
        <v>0</v>
      </c>
      <c r="K1814" s="1860"/>
      <c r="L1814" s="1854">
        <v>13191110300</v>
      </c>
      <c r="M1814" s="1855">
        <v>0</v>
      </c>
      <c r="N1814" s="1855">
        <v>0</v>
      </c>
      <c r="O1814" s="1856">
        <v>0</v>
      </c>
    </row>
    <row r="1815" spans="3:15">
      <c r="C1815" s="1861" t="s">
        <v>5604</v>
      </c>
      <c r="D1815" s="1858" t="s">
        <v>3908</v>
      </c>
      <c r="E1815" s="1858" t="s">
        <v>3908</v>
      </c>
      <c r="F1815" s="1859">
        <v>0</v>
      </c>
      <c r="G1815" s="1872" t="s">
        <v>5604</v>
      </c>
      <c r="H1815" s="1856" t="s">
        <v>3908</v>
      </c>
      <c r="I1815" s="1856" t="s">
        <v>3908</v>
      </c>
      <c r="J1815" s="1873">
        <v>0</v>
      </c>
      <c r="K1815" s="1860"/>
      <c r="L1815" s="1854">
        <v>13191980000</v>
      </c>
      <c r="M1815" s="1855">
        <v>0</v>
      </c>
      <c r="N1815" s="1855">
        <v>0</v>
      </c>
      <c r="O1815" s="1856">
        <v>0</v>
      </c>
    </row>
    <row r="1816" spans="3:15">
      <c r="C1816" s="1861" t="s">
        <v>5605</v>
      </c>
      <c r="D1816" s="1858" t="s">
        <v>3908</v>
      </c>
      <c r="E1816" s="1858" t="s">
        <v>3908</v>
      </c>
      <c r="F1816" s="1859">
        <v>0</v>
      </c>
      <c r="G1816" s="1872" t="s">
        <v>5605</v>
      </c>
      <c r="H1816" s="1856" t="s">
        <v>3908</v>
      </c>
      <c r="I1816" s="1856" t="s">
        <v>3908</v>
      </c>
      <c r="J1816" s="1873">
        <v>0</v>
      </c>
      <c r="K1816" s="1860"/>
      <c r="L1816" s="1854">
        <v>13191990000</v>
      </c>
      <c r="M1816" s="1855">
        <v>0</v>
      </c>
      <c r="N1816" s="1855">
        <v>0</v>
      </c>
      <c r="O1816" s="1856">
        <v>0</v>
      </c>
    </row>
    <row r="1817" spans="3:15">
      <c r="C1817" s="1861" t="s">
        <v>5606</v>
      </c>
      <c r="D1817" s="1858">
        <v>0</v>
      </c>
      <c r="E1817" s="1858">
        <v>0</v>
      </c>
      <c r="F1817" s="1859">
        <v>0</v>
      </c>
      <c r="G1817" s="1872" t="s">
        <v>5606</v>
      </c>
      <c r="H1817" s="1856">
        <v>0</v>
      </c>
      <c r="I1817" s="1856" t="s">
        <v>3908</v>
      </c>
      <c r="J1817" s="1873">
        <v>0</v>
      </c>
      <c r="K1817" s="1860"/>
      <c r="L1817" s="1854">
        <v>13193000100</v>
      </c>
      <c r="M1817" s="1855">
        <v>0</v>
      </c>
      <c r="N1817" s="1855">
        <v>0</v>
      </c>
      <c r="O1817" s="1856">
        <v>0</v>
      </c>
    </row>
    <row r="1818" spans="3:15">
      <c r="C1818" s="1861" t="s">
        <v>5607</v>
      </c>
      <c r="D1818" s="1858">
        <v>0</v>
      </c>
      <c r="E1818" s="1858">
        <v>0</v>
      </c>
      <c r="F1818" s="1859">
        <v>0</v>
      </c>
      <c r="G1818" s="1872" t="s">
        <v>5607</v>
      </c>
      <c r="H1818" s="1856">
        <v>0</v>
      </c>
      <c r="I1818" s="1856">
        <v>0</v>
      </c>
      <c r="J1818" s="1873">
        <v>0</v>
      </c>
      <c r="K1818" s="1860"/>
      <c r="L1818" s="1854">
        <v>13193000200</v>
      </c>
      <c r="M1818" s="1855">
        <v>0</v>
      </c>
      <c r="N1818" s="1855">
        <v>0</v>
      </c>
      <c r="O1818" s="1856">
        <v>0</v>
      </c>
    </row>
    <row r="1819" spans="3:15">
      <c r="C1819" s="1861" t="s">
        <v>5608</v>
      </c>
      <c r="D1819" s="1858">
        <v>0</v>
      </c>
      <c r="E1819" s="1858">
        <v>0</v>
      </c>
      <c r="F1819" s="1859">
        <v>0</v>
      </c>
      <c r="G1819" s="1872" t="s">
        <v>5608</v>
      </c>
      <c r="H1819" s="1856">
        <v>0</v>
      </c>
      <c r="I1819" s="1856">
        <v>1</v>
      </c>
      <c r="J1819" s="1873">
        <v>1</v>
      </c>
      <c r="K1819" s="1860"/>
      <c r="L1819" s="1854">
        <v>13193000300</v>
      </c>
      <c r="M1819" s="1855">
        <v>0</v>
      </c>
      <c r="N1819" s="1855">
        <v>1</v>
      </c>
      <c r="O1819" s="1856">
        <v>1</v>
      </c>
    </row>
    <row r="1820" spans="3:15">
      <c r="C1820" s="1861" t="s">
        <v>5609</v>
      </c>
      <c r="D1820" s="1858">
        <v>0</v>
      </c>
      <c r="E1820" s="1858">
        <v>0</v>
      </c>
      <c r="F1820" s="1859">
        <v>0</v>
      </c>
      <c r="G1820" s="1872" t="s">
        <v>5609</v>
      </c>
      <c r="H1820" s="1856">
        <v>0</v>
      </c>
      <c r="I1820" s="1856">
        <v>0</v>
      </c>
      <c r="J1820" s="1873">
        <v>0</v>
      </c>
      <c r="K1820" s="1860"/>
      <c r="L1820" s="1854">
        <v>13193000400</v>
      </c>
      <c r="M1820" s="1855">
        <v>0</v>
      </c>
      <c r="N1820" s="1855">
        <v>0</v>
      </c>
      <c r="O1820" s="1856">
        <v>0</v>
      </c>
    </row>
    <row r="1821" spans="3:15">
      <c r="C1821" s="1861" t="s">
        <v>5610</v>
      </c>
      <c r="D1821" s="1858">
        <v>0</v>
      </c>
      <c r="E1821" s="1858">
        <v>0</v>
      </c>
      <c r="F1821" s="1859">
        <v>0</v>
      </c>
      <c r="G1821" s="1872" t="s">
        <v>5610</v>
      </c>
      <c r="H1821" s="1856">
        <v>0</v>
      </c>
      <c r="I1821" s="1856">
        <v>0</v>
      </c>
      <c r="J1821" s="1873">
        <v>0</v>
      </c>
      <c r="K1821" s="1860"/>
      <c r="L1821" s="1854">
        <v>13195020100</v>
      </c>
      <c r="M1821" s="1855">
        <v>0</v>
      </c>
      <c r="N1821" s="1855">
        <v>0</v>
      </c>
      <c r="O1821" s="1856">
        <v>0</v>
      </c>
    </row>
    <row r="1822" spans="3:15">
      <c r="C1822" s="1861" t="s">
        <v>5611</v>
      </c>
      <c r="D1822" s="1858">
        <v>0</v>
      </c>
      <c r="E1822" s="1858">
        <v>0</v>
      </c>
      <c r="F1822" s="1859">
        <v>0</v>
      </c>
      <c r="G1822" s="1872" t="s">
        <v>5611</v>
      </c>
      <c r="H1822" s="1856">
        <v>0</v>
      </c>
      <c r="I1822" s="1856">
        <v>0</v>
      </c>
      <c r="J1822" s="1873">
        <v>0</v>
      </c>
      <c r="K1822" s="1860"/>
      <c r="L1822" s="1854">
        <v>13195020200</v>
      </c>
      <c r="M1822" s="1855">
        <v>0</v>
      </c>
      <c r="N1822" s="1855">
        <v>0</v>
      </c>
      <c r="O1822" s="1856">
        <v>0</v>
      </c>
    </row>
    <row r="1823" spans="3:15">
      <c r="C1823" s="1861" t="s">
        <v>5612</v>
      </c>
      <c r="D1823" s="1858">
        <v>0</v>
      </c>
      <c r="E1823" s="1858">
        <v>0</v>
      </c>
      <c r="F1823" s="1859">
        <v>0</v>
      </c>
      <c r="G1823" s="1872" t="s">
        <v>5612</v>
      </c>
      <c r="H1823" s="1856">
        <v>0</v>
      </c>
      <c r="I1823" s="1856">
        <v>0</v>
      </c>
      <c r="J1823" s="1873">
        <v>0</v>
      </c>
      <c r="K1823" s="1860"/>
      <c r="L1823" s="1854">
        <v>13195020300</v>
      </c>
      <c r="M1823" s="1855">
        <v>0</v>
      </c>
      <c r="N1823" s="1855">
        <v>0</v>
      </c>
      <c r="O1823" s="1856">
        <v>0</v>
      </c>
    </row>
    <row r="1824" spans="3:15">
      <c r="C1824" s="1861" t="s">
        <v>5613</v>
      </c>
      <c r="D1824" s="1858">
        <v>1</v>
      </c>
      <c r="E1824" s="1858">
        <v>1</v>
      </c>
      <c r="F1824" s="1859">
        <v>2</v>
      </c>
      <c r="G1824" s="1872" t="s">
        <v>5613</v>
      </c>
      <c r="H1824" s="1856">
        <v>0</v>
      </c>
      <c r="I1824" s="1856">
        <v>0</v>
      </c>
      <c r="J1824" s="1873">
        <v>0</v>
      </c>
      <c r="K1824" s="1860"/>
      <c r="L1824" s="1854">
        <v>13195020400</v>
      </c>
      <c r="M1824" s="1855">
        <v>1</v>
      </c>
      <c r="N1824" s="1855">
        <v>1</v>
      </c>
      <c r="O1824" s="1856">
        <v>2</v>
      </c>
    </row>
    <row r="1825" spans="3:15">
      <c r="C1825" s="1861" t="s">
        <v>5614</v>
      </c>
      <c r="D1825" s="1858">
        <v>0</v>
      </c>
      <c r="E1825" s="1858">
        <v>1</v>
      </c>
      <c r="F1825" s="1859">
        <v>1</v>
      </c>
      <c r="G1825" s="1872" t="s">
        <v>5614</v>
      </c>
      <c r="H1825" s="1856">
        <v>0</v>
      </c>
      <c r="I1825" s="1856">
        <v>0</v>
      </c>
      <c r="J1825" s="1873">
        <v>0</v>
      </c>
      <c r="K1825" s="1860"/>
      <c r="L1825" s="1854">
        <v>13195020500</v>
      </c>
      <c r="M1825" s="1855">
        <v>0</v>
      </c>
      <c r="N1825" s="1855">
        <v>1</v>
      </c>
      <c r="O1825" s="1856">
        <v>1</v>
      </c>
    </row>
    <row r="1826" spans="3:15">
      <c r="C1826" s="1861" t="s">
        <v>5615</v>
      </c>
      <c r="D1826" s="1858">
        <v>1</v>
      </c>
      <c r="E1826" s="1858">
        <v>0</v>
      </c>
      <c r="F1826" s="1859">
        <v>1</v>
      </c>
      <c r="G1826" s="1872" t="s">
        <v>5615</v>
      </c>
      <c r="H1826" s="1856">
        <v>0</v>
      </c>
      <c r="I1826" s="1856">
        <v>0</v>
      </c>
      <c r="J1826" s="1873">
        <v>0</v>
      </c>
      <c r="K1826" s="1860"/>
      <c r="L1826" s="1854">
        <v>13195020600</v>
      </c>
      <c r="M1826" s="1855">
        <v>1</v>
      </c>
      <c r="N1826" s="1855">
        <v>0</v>
      </c>
      <c r="O1826" s="1856">
        <v>1</v>
      </c>
    </row>
    <row r="1827" spans="3:15">
      <c r="C1827" s="1861" t="s">
        <v>5616</v>
      </c>
      <c r="D1827" s="1858">
        <v>0</v>
      </c>
      <c r="E1827" s="1858">
        <v>0</v>
      </c>
      <c r="F1827" s="1859">
        <v>0</v>
      </c>
      <c r="G1827" s="1872" t="s">
        <v>5616</v>
      </c>
      <c r="H1827" s="1856">
        <v>0</v>
      </c>
      <c r="I1827" s="1856">
        <v>0</v>
      </c>
      <c r="J1827" s="1873">
        <v>0</v>
      </c>
      <c r="K1827" s="1860"/>
      <c r="L1827" s="1854">
        <v>13197920100</v>
      </c>
      <c r="M1827" s="1855">
        <v>0</v>
      </c>
      <c r="N1827" s="1855">
        <v>0</v>
      </c>
      <c r="O1827" s="1856">
        <v>0</v>
      </c>
    </row>
    <row r="1828" spans="3:15">
      <c r="C1828" s="1861" t="s">
        <v>5617</v>
      </c>
      <c r="D1828" s="1858">
        <v>0</v>
      </c>
      <c r="E1828" s="1858">
        <v>0</v>
      </c>
      <c r="F1828" s="1859">
        <v>0</v>
      </c>
      <c r="G1828" s="1872" t="s">
        <v>5617</v>
      </c>
      <c r="H1828" s="1856">
        <v>0</v>
      </c>
      <c r="I1828" s="1856">
        <v>0</v>
      </c>
      <c r="J1828" s="1873">
        <v>0</v>
      </c>
      <c r="K1828" s="1860"/>
      <c r="L1828" s="1854">
        <v>13197920200</v>
      </c>
      <c r="M1828" s="1855">
        <v>0</v>
      </c>
      <c r="N1828" s="1855">
        <v>0</v>
      </c>
      <c r="O1828" s="1856">
        <v>0</v>
      </c>
    </row>
    <row r="1829" spans="3:15">
      <c r="C1829" s="1861" t="s">
        <v>5618</v>
      </c>
      <c r="D1829" s="1858">
        <v>0</v>
      </c>
      <c r="E1829" s="1858">
        <v>0</v>
      </c>
      <c r="F1829" s="1859">
        <v>0</v>
      </c>
      <c r="G1829" s="1872" t="s">
        <v>5618</v>
      </c>
      <c r="H1829" s="1856">
        <v>0</v>
      </c>
      <c r="I1829" s="1856">
        <v>0</v>
      </c>
      <c r="J1829" s="1873">
        <v>0</v>
      </c>
      <c r="K1829" s="1860"/>
      <c r="L1829" s="1854">
        <v>13199970500</v>
      </c>
      <c r="M1829" s="1855">
        <v>0</v>
      </c>
      <c r="N1829" s="1855">
        <v>0</v>
      </c>
      <c r="O1829" s="1856">
        <v>0</v>
      </c>
    </row>
    <row r="1830" spans="3:15">
      <c r="C1830" s="1861" t="s">
        <v>5619</v>
      </c>
      <c r="D1830" s="1858">
        <v>0</v>
      </c>
      <c r="E1830" s="1858">
        <v>0</v>
      </c>
      <c r="F1830" s="1859">
        <v>0</v>
      </c>
      <c r="G1830" s="1872" t="s">
        <v>5619</v>
      </c>
      <c r="H1830" s="1856">
        <v>0</v>
      </c>
      <c r="I1830" s="1856">
        <v>0</v>
      </c>
      <c r="J1830" s="1873">
        <v>0</v>
      </c>
      <c r="K1830" s="1860"/>
      <c r="L1830" s="1854">
        <v>13199970600</v>
      </c>
      <c r="M1830" s="1855">
        <v>0</v>
      </c>
      <c r="N1830" s="1855">
        <v>0</v>
      </c>
      <c r="O1830" s="1856">
        <v>0</v>
      </c>
    </row>
    <row r="1831" spans="3:15">
      <c r="C1831" s="1861" t="s">
        <v>5620</v>
      </c>
      <c r="D1831" s="1858">
        <v>0</v>
      </c>
      <c r="E1831" s="1858">
        <v>0</v>
      </c>
      <c r="F1831" s="1859">
        <v>0</v>
      </c>
      <c r="G1831" s="1872" t="s">
        <v>5620</v>
      </c>
      <c r="H1831" s="1856">
        <v>0</v>
      </c>
      <c r="I1831" s="1856">
        <v>0</v>
      </c>
      <c r="J1831" s="1873">
        <v>0</v>
      </c>
      <c r="K1831" s="1860"/>
      <c r="L1831" s="1854">
        <v>13199970700</v>
      </c>
      <c r="M1831" s="1855">
        <v>0</v>
      </c>
      <c r="N1831" s="1855">
        <v>0</v>
      </c>
      <c r="O1831" s="1856">
        <v>0</v>
      </c>
    </row>
    <row r="1832" spans="3:15">
      <c r="C1832" s="1861" t="s">
        <v>5621</v>
      </c>
      <c r="D1832" s="1858">
        <v>0</v>
      </c>
      <c r="E1832" s="1858">
        <v>0</v>
      </c>
      <c r="F1832" s="1859">
        <v>0</v>
      </c>
      <c r="G1832" s="1872" t="s">
        <v>5621</v>
      </c>
      <c r="H1832" s="1856">
        <v>0</v>
      </c>
      <c r="I1832" s="1856">
        <v>0</v>
      </c>
      <c r="J1832" s="1873">
        <v>0</v>
      </c>
      <c r="K1832" s="1860"/>
      <c r="L1832" s="1854">
        <v>13199970800</v>
      </c>
      <c r="M1832" s="1855">
        <v>0</v>
      </c>
      <c r="N1832" s="1855">
        <v>0</v>
      </c>
      <c r="O1832" s="1856">
        <v>0</v>
      </c>
    </row>
    <row r="1833" spans="3:15">
      <c r="C1833" s="1861" t="s">
        <v>5622</v>
      </c>
      <c r="D1833" s="1858">
        <v>0</v>
      </c>
      <c r="E1833" s="1858">
        <v>0</v>
      </c>
      <c r="F1833" s="1859">
        <v>0</v>
      </c>
      <c r="G1833" s="1872" t="s">
        <v>5622</v>
      </c>
      <c r="H1833" s="1856">
        <v>0</v>
      </c>
      <c r="I1833" s="1856">
        <v>0</v>
      </c>
      <c r="J1833" s="1873">
        <v>0</v>
      </c>
      <c r="K1833" s="1860"/>
      <c r="L1833" s="1854">
        <v>13201950100</v>
      </c>
      <c r="M1833" s="1855">
        <v>0</v>
      </c>
      <c r="N1833" s="1855">
        <v>0</v>
      </c>
      <c r="O1833" s="1856">
        <v>0</v>
      </c>
    </row>
    <row r="1834" spans="3:15">
      <c r="C1834" s="1861" t="s">
        <v>5623</v>
      </c>
      <c r="D1834" s="1858">
        <v>0</v>
      </c>
      <c r="E1834" s="1858">
        <v>0</v>
      </c>
      <c r="F1834" s="1859">
        <v>0</v>
      </c>
      <c r="G1834" s="1872" t="s">
        <v>5623</v>
      </c>
      <c r="H1834" s="1856">
        <v>0</v>
      </c>
      <c r="I1834" s="1856">
        <v>0</v>
      </c>
      <c r="J1834" s="1873">
        <v>0</v>
      </c>
      <c r="K1834" s="1860"/>
      <c r="L1834" s="1854">
        <v>13201950200</v>
      </c>
      <c r="M1834" s="1855">
        <v>0</v>
      </c>
      <c r="N1834" s="1855">
        <v>0</v>
      </c>
      <c r="O1834" s="1856">
        <v>0</v>
      </c>
    </row>
    <row r="1835" spans="3:15">
      <c r="C1835" s="1861" t="s">
        <v>5624</v>
      </c>
      <c r="D1835" s="1858">
        <v>1</v>
      </c>
      <c r="E1835" s="1858">
        <v>0</v>
      </c>
      <c r="F1835" s="1859">
        <v>1</v>
      </c>
      <c r="G1835" s="1872" t="s">
        <v>5624</v>
      </c>
      <c r="H1835" s="1856">
        <v>1</v>
      </c>
      <c r="I1835" s="1856">
        <v>1</v>
      </c>
      <c r="J1835" s="1873">
        <v>2</v>
      </c>
      <c r="K1835" s="1860"/>
      <c r="L1835" s="1854">
        <v>13201950300</v>
      </c>
      <c r="M1835" s="1855">
        <v>1</v>
      </c>
      <c r="N1835" s="1855">
        <v>1</v>
      </c>
      <c r="O1835" s="1856">
        <v>2</v>
      </c>
    </row>
    <row r="1836" spans="3:15">
      <c r="C1836" s="1861" t="s">
        <v>5625</v>
      </c>
      <c r="D1836" s="1858">
        <v>0</v>
      </c>
      <c r="E1836" s="1858">
        <v>0</v>
      </c>
      <c r="F1836" s="1859">
        <v>0</v>
      </c>
      <c r="G1836" s="1872" t="s">
        <v>5625</v>
      </c>
      <c r="H1836" s="1856">
        <v>0</v>
      </c>
      <c r="I1836" s="1856">
        <v>0</v>
      </c>
      <c r="J1836" s="1873">
        <v>0</v>
      </c>
      <c r="K1836" s="1860"/>
      <c r="L1836" s="1854">
        <v>13205090100</v>
      </c>
      <c r="M1836" s="1855">
        <v>0</v>
      </c>
      <c r="N1836" s="1855">
        <v>0</v>
      </c>
      <c r="O1836" s="1856">
        <v>0</v>
      </c>
    </row>
    <row r="1837" spans="3:15">
      <c r="C1837" s="1861" t="s">
        <v>5626</v>
      </c>
      <c r="D1837" s="1858">
        <v>0</v>
      </c>
      <c r="E1837" s="1858">
        <v>0</v>
      </c>
      <c r="F1837" s="1859">
        <v>0</v>
      </c>
      <c r="G1837" s="1872" t="s">
        <v>5626</v>
      </c>
      <c r="H1837" s="1856">
        <v>0</v>
      </c>
      <c r="I1837" s="1856">
        <v>0</v>
      </c>
      <c r="J1837" s="1873">
        <v>0</v>
      </c>
      <c r="K1837" s="1860"/>
      <c r="L1837" s="1854">
        <v>13205090200</v>
      </c>
      <c r="M1837" s="1855">
        <v>0</v>
      </c>
      <c r="N1837" s="1855">
        <v>0</v>
      </c>
      <c r="O1837" s="1856">
        <v>0</v>
      </c>
    </row>
    <row r="1838" spans="3:15">
      <c r="C1838" s="1861" t="s">
        <v>5627</v>
      </c>
      <c r="D1838" s="1858">
        <v>0</v>
      </c>
      <c r="E1838" s="1858">
        <v>0</v>
      </c>
      <c r="F1838" s="1859">
        <v>0</v>
      </c>
      <c r="G1838" s="1872" t="s">
        <v>5627</v>
      </c>
      <c r="H1838" s="1856">
        <v>0</v>
      </c>
      <c r="I1838" s="1856">
        <v>0</v>
      </c>
      <c r="J1838" s="1873">
        <v>0</v>
      </c>
      <c r="K1838" s="1860"/>
      <c r="L1838" s="1854">
        <v>13205090300</v>
      </c>
      <c r="M1838" s="1855">
        <v>0</v>
      </c>
      <c r="N1838" s="1855">
        <v>0</v>
      </c>
      <c r="O1838" s="1856">
        <v>0</v>
      </c>
    </row>
    <row r="1839" spans="3:15">
      <c r="C1839" s="1861" t="s">
        <v>5628</v>
      </c>
      <c r="D1839" s="1858">
        <v>0</v>
      </c>
      <c r="E1839" s="1858">
        <v>0</v>
      </c>
      <c r="F1839" s="1859">
        <v>0</v>
      </c>
      <c r="G1839" s="1872" t="s">
        <v>5628</v>
      </c>
      <c r="H1839" s="1856">
        <v>0</v>
      </c>
      <c r="I1839" s="1856">
        <v>0</v>
      </c>
      <c r="J1839" s="1873">
        <v>0</v>
      </c>
      <c r="K1839" s="1860"/>
      <c r="L1839" s="1854">
        <v>13205090400</v>
      </c>
      <c r="M1839" s="1855">
        <v>0</v>
      </c>
      <c r="N1839" s="1855">
        <v>0</v>
      </c>
      <c r="O1839" s="1856">
        <v>0</v>
      </c>
    </row>
    <row r="1840" spans="3:15">
      <c r="C1840" s="1861" t="s">
        <v>5629</v>
      </c>
      <c r="D1840" s="1858">
        <v>0</v>
      </c>
      <c r="E1840" s="1858">
        <v>0</v>
      </c>
      <c r="F1840" s="1859">
        <v>0</v>
      </c>
      <c r="G1840" s="1872" t="s">
        <v>5629</v>
      </c>
      <c r="H1840" s="1856">
        <v>0</v>
      </c>
      <c r="I1840" s="1856">
        <v>0</v>
      </c>
      <c r="J1840" s="1873">
        <v>0</v>
      </c>
      <c r="K1840" s="1860"/>
      <c r="L1840" s="1854">
        <v>13205090500</v>
      </c>
      <c r="M1840" s="1855">
        <v>0</v>
      </c>
      <c r="N1840" s="1855">
        <v>0</v>
      </c>
      <c r="O1840" s="1856">
        <v>0</v>
      </c>
    </row>
    <row r="1841" spans="3:15">
      <c r="C1841" s="1861" t="s">
        <v>5630</v>
      </c>
      <c r="D1841" s="1858">
        <v>0</v>
      </c>
      <c r="E1841" s="1858">
        <v>0</v>
      </c>
      <c r="F1841" s="1859">
        <v>0</v>
      </c>
      <c r="G1841" s="1872" t="s">
        <v>5630</v>
      </c>
      <c r="H1841" s="1856">
        <v>0</v>
      </c>
      <c r="I1841" s="1856">
        <v>0</v>
      </c>
      <c r="J1841" s="1873">
        <v>0</v>
      </c>
      <c r="K1841" s="1860"/>
      <c r="L1841" s="1854">
        <v>13207050101</v>
      </c>
      <c r="M1841" s="1855">
        <v>0</v>
      </c>
      <c r="N1841" s="1855">
        <v>0</v>
      </c>
      <c r="O1841" s="1856">
        <v>0</v>
      </c>
    </row>
    <row r="1842" spans="3:15">
      <c r="C1842" s="1861" t="s">
        <v>5631</v>
      </c>
      <c r="D1842" s="1858">
        <v>0</v>
      </c>
      <c r="E1842" s="1858">
        <v>0</v>
      </c>
      <c r="F1842" s="1859">
        <v>0</v>
      </c>
      <c r="G1842" s="1872" t="s">
        <v>5631</v>
      </c>
      <c r="H1842" s="1856">
        <v>0</v>
      </c>
      <c r="I1842" s="1856">
        <v>0</v>
      </c>
      <c r="J1842" s="1873">
        <v>0</v>
      </c>
      <c r="K1842" s="1860"/>
      <c r="L1842" s="1854">
        <v>13207050102</v>
      </c>
      <c r="M1842" s="1855">
        <v>0</v>
      </c>
      <c r="N1842" s="1855">
        <v>0</v>
      </c>
      <c r="O1842" s="1856">
        <v>0</v>
      </c>
    </row>
    <row r="1843" spans="3:15">
      <c r="C1843" s="1861" t="s">
        <v>5632</v>
      </c>
      <c r="D1843" s="1858">
        <v>0</v>
      </c>
      <c r="E1843" s="1858">
        <v>0</v>
      </c>
      <c r="F1843" s="1859">
        <v>0</v>
      </c>
      <c r="G1843" s="1872" t="s">
        <v>5632</v>
      </c>
      <c r="H1843" s="1856">
        <v>0</v>
      </c>
      <c r="I1843" s="1856">
        <v>0</v>
      </c>
      <c r="J1843" s="1873">
        <v>0</v>
      </c>
      <c r="K1843" s="1860"/>
      <c r="L1843" s="1854">
        <v>13207050200</v>
      </c>
      <c r="M1843" s="1855">
        <v>0</v>
      </c>
      <c r="N1843" s="1855">
        <v>0</v>
      </c>
      <c r="O1843" s="1856">
        <v>0</v>
      </c>
    </row>
    <row r="1844" spans="3:15">
      <c r="C1844" s="1861" t="s">
        <v>5633</v>
      </c>
      <c r="D1844" s="1858">
        <v>0</v>
      </c>
      <c r="E1844" s="1858">
        <v>1</v>
      </c>
      <c r="F1844" s="1859">
        <v>1</v>
      </c>
      <c r="G1844" s="1872" t="s">
        <v>5633</v>
      </c>
      <c r="H1844" s="1856">
        <v>0</v>
      </c>
      <c r="I1844" s="1856">
        <v>1</v>
      </c>
      <c r="J1844" s="1873">
        <v>1</v>
      </c>
      <c r="K1844" s="1860"/>
      <c r="L1844" s="1854">
        <v>13207050301</v>
      </c>
      <c r="M1844" s="1855">
        <v>0</v>
      </c>
      <c r="N1844" s="1855">
        <v>1</v>
      </c>
      <c r="O1844" s="1856">
        <v>1</v>
      </c>
    </row>
    <row r="1845" spans="3:15">
      <c r="C1845" s="1861" t="s">
        <v>5634</v>
      </c>
      <c r="D1845" s="1858">
        <v>1</v>
      </c>
      <c r="E1845" s="1858">
        <v>1</v>
      </c>
      <c r="F1845" s="1859">
        <v>2</v>
      </c>
      <c r="G1845" s="1872" t="s">
        <v>5634</v>
      </c>
      <c r="H1845" s="1856">
        <v>1</v>
      </c>
      <c r="I1845" s="1856">
        <v>1</v>
      </c>
      <c r="J1845" s="1873">
        <v>2</v>
      </c>
      <c r="K1845" s="1860"/>
      <c r="L1845" s="1854">
        <v>13207050302</v>
      </c>
      <c r="M1845" s="1855">
        <v>1</v>
      </c>
      <c r="N1845" s="1855">
        <v>1</v>
      </c>
      <c r="O1845" s="1856">
        <v>2</v>
      </c>
    </row>
    <row r="1846" spans="3:15">
      <c r="C1846" s="1861" t="s">
        <v>5635</v>
      </c>
      <c r="D1846" s="1858">
        <v>0</v>
      </c>
      <c r="E1846" s="1858">
        <v>0</v>
      </c>
      <c r="F1846" s="1859">
        <v>0</v>
      </c>
      <c r="G1846" s="1872" t="s">
        <v>5635</v>
      </c>
      <c r="H1846" s="1856">
        <v>0</v>
      </c>
      <c r="I1846" s="1856">
        <v>0</v>
      </c>
      <c r="J1846" s="1873">
        <v>0</v>
      </c>
      <c r="K1846" s="1860"/>
      <c r="L1846" s="1854">
        <v>13209950100</v>
      </c>
      <c r="M1846" s="1855">
        <v>0</v>
      </c>
      <c r="N1846" s="1855">
        <v>0</v>
      </c>
      <c r="O1846" s="1856">
        <v>0</v>
      </c>
    </row>
    <row r="1847" spans="3:15">
      <c r="C1847" s="1861" t="s">
        <v>5636</v>
      </c>
      <c r="D1847" s="1858">
        <v>0</v>
      </c>
      <c r="E1847" s="1858">
        <v>0</v>
      </c>
      <c r="F1847" s="1859">
        <v>0</v>
      </c>
      <c r="G1847" s="1872" t="s">
        <v>5636</v>
      </c>
      <c r="H1847" s="1856">
        <v>0</v>
      </c>
      <c r="I1847" s="1856">
        <v>1</v>
      </c>
      <c r="J1847" s="1873">
        <v>1</v>
      </c>
      <c r="K1847" s="1860"/>
      <c r="L1847" s="1854">
        <v>13209950200</v>
      </c>
      <c r="M1847" s="1855">
        <v>0</v>
      </c>
      <c r="N1847" s="1855">
        <v>1</v>
      </c>
      <c r="O1847" s="1856">
        <v>1</v>
      </c>
    </row>
    <row r="1848" spans="3:15">
      <c r="C1848" s="1861" t="s">
        <v>5637</v>
      </c>
      <c r="D1848" s="1858">
        <v>0</v>
      </c>
      <c r="E1848" s="1858">
        <v>0</v>
      </c>
      <c r="F1848" s="1859">
        <v>0</v>
      </c>
      <c r="G1848" s="1872" t="s">
        <v>5637</v>
      </c>
      <c r="H1848" s="1856">
        <v>0</v>
      </c>
      <c r="I1848" s="1856">
        <v>0</v>
      </c>
      <c r="J1848" s="1873">
        <v>0</v>
      </c>
      <c r="K1848" s="1860"/>
      <c r="L1848" s="1854">
        <v>13209950300</v>
      </c>
      <c r="M1848" s="1855">
        <v>0</v>
      </c>
      <c r="N1848" s="1855">
        <v>0</v>
      </c>
      <c r="O1848" s="1856">
        <v>0</v>
      </c>
    </row>
    <row r="1849" spans="3:15">
      <c r="C1849" s="1861" t="s">
        <v>5638</v>
      </c>
      <c r="D1849" s="1858">
        <v>1</v>
      </c>
      <c r="E1849" s="1858">
        <v>1</v>
      </c>
      <c r="F1849" s="1859">
        <v>2</v>
      </c>
      <c r="G1849" s="1872" t="s">
        <v>5638</v>
      </c>
      <c r="H1849" s="1856">
        <v>1</v>
      </c>
      <c r="I1849" s="1856">
        <v>1</v>
      </c>
      <c r="J1849" s="1873">
        <v>2</v>
      </c>
      <c r="K1849" s="1860"/>
      <c r="L1849" s="1854">
        <v>13211010100</v>
      </c>
      <c r="M1849" s="1855">
        <v>1</v>
      </c>
      <c r="N1849" s="1855">
        <v>1</v>
      </c>
      <c r="O1849" s="1856">
        <v>2</v>
      </c>
    </row>
    <row r="1850" spans="3:15">
      <c r="C1850" s="1861" t="s">
        <v>5639</v>
      </c>
      <c r="D1850" s="1858">
        <v>0</v>
      </c>
      <c r="E1850" s="1858">
        <v>0</v>
      </c>
      <c r="F1850" s="1859">
        <v>0</v>
      </c>
      <c r="G1850" s="1872" t="s">
        <v>5639</v>
      </c>
      <c r="H1850" s="1856">
        <v>0</v>
      </c>
      <c r="I1850" s="1856">
        <v>0</v>
      </c>
      <c r="J1850" s="1873">
        <v>0</v>
      </c>
      <c r="K1850" s="1860"/>
      <c r="L1850" s="1854">
        <v>13211010200</v>
      </c>
      <c r="M1850" s="1855">
        <v>0</v>
      </c>
      <c r="N1850" s="1855">
        <v>0</v>
      </c>
      <c r="O1850" s="1856">
        <v>0</v>
      </c>
    </row>
    <row r="1851" spans="3:15">
      <c r="C1851" s="1861" t="s">
        <v>5640</v>
      </c>
      <c r="D1851" s="1858">
        <v>1</v>
      </c>
      <c r="E1851" s="1858">
        <v>1</v>
      </c>
      <c r="F1851" s="1859">
        <v>2</v>
      </c>
      <c r="G1851" s="1872" t="s">
        <v>5640</v>
      </c>
      <c r="H1851" s="1856">
        <v>0</v>
      </c>
      <c r="I1851" s="1856">
        <v>1</v>
      </c>
      <c r="J1851" s="1873">
        <v>1</v>
      </c>
      <c r="K1851" s="1860"/>
      <c r="L1851" s="1854">
        <v>13211010300</v>
      </c>
      <c r="M1851" s="1855">
        <v>1</v>
      </c>
      <c r="N1851" s="1855">
        <v>1</v>
      </c>
      <c r="O1851" s="1856">
        <v>2</v>
      </c>
    </row>
    <row r="1852" spans="3:15">
      <c r="C1852" s="1861" t="s">
        <v>5641</v>
      </c>
      <c r="D1852" s="1858">
        <v>1</v>
      </c>
      <c r="E1852" s="1858">
        <v>0</v>
      </c>
      <c r="F1852" s="1859">
        <v>1</v>
      </c>
      <c r="G1852" s="1872" t="s">
        <v>5641</v>
      </c>
      <c r="H1852" s="1856">
        <v>1</v>
      </c>
      <c r="I1852" s="1856">
        <v>0</v>
      </c>
      <c r="J1852" s="1873">
        <v>1</v>
      </c>
      <c r="K1852" s="1860"/>
      <c r="L1852" s="1854">
        <v>13211010400</v>
      </c>
      <c r="M1852" s="1855">
        <v>1</v>
      </c>
      <c r="N1852" s="1855">
        <v>0</v>
      </c>
      <c r="O1852" s="1856">
        <v>1</v>
      </c>
    </row>
    <row r="1853" spans="3:15">
      <c r="C1853" s="1861" t="s">
        <v>5642</v>
      </c>
      <c r="D1853" s="1858">
        <v>1</v>
      </c>
      <c r="E1853" s="1858">
        <v>1</v>
      </c>
      <c r="F1853" s="1859">
        <v>2</v>
      </c>
      <c r="G1853" s="1872" t="s">
        <v>5642</v>
      </c>
      <c r="H1853" s="1856">
        <v>1</v>
      </c>
      <c r="I1853" s="1856">
        <v>0</v>
      </c>
      <c r="J1853" s="1873">
        <v>1</v>
      </c>
      <c r="K1853" s="1860"/>
      <c r="L1853" s="1854">
        <v>13211010500</v>
      </c>
      <c r="M1853" s="1855">
        <v>1</v>
      </c>
      <c r="N1853" s="1855">
        <v>1</v>
      </c>
      <c r="O1853" s="1856">
        <v>2</v>
      </c>
    </row>
    <row r="1854" spans="3:15">
      <c r="C1854" s="1861" t="s">
        <v>5643</v>
      </c>
      <c r="D1854" s="1858">
        <v>0</v>
      </c>
      <c r="E1854" s="1858">
        <v>0</v>
      </c>
      <c r="F1854" s="1859">
        <v>0</v>
      </c>
      <c r="G1854" s="1872" t="s">
        <v>5643</v>
      </c>
      <c r="H1854" s="1856">
        <v>0</v>
      </c>
      <c r="I1854" s="1856">
        <v>0</v>
      </c>
      <c r="J1854" s="1873">
        <v>0</v>
      </c>
      <c r="K1854" s="1860"/>
      <c r="L1854" s="1854">
        <v>13213010100</v>
      </c>
      <c r="M1854" s="1855">
        <v>0</v>
      </c>
      <c r="N1854" s="1855">
        <v>0</v>
      </c>
      <c r="O1854" s="1856">
        <v>0</v>
      </c>
    </row>
    <row r="1855" spans="3:15">
      <c r="C1855" s="1861" t="s">
        <v>5644</v>
      </c>
      <c r="D1855" s="1858">
        <v>0</v>
      </c>
      <c r="E1855" s="1858">
        <v>0</v>
      </c>
      <c r="F1855" s="1859">
        <v>0</v>
      </c>
      <c r="G1855" s="1872" t="s">
        <v>5644</v>
      </c>
      <c r="H1855" s="1856">
        <v>0</v>
      </c>
      <c r="I1855" s="1856">
        <v>0</v>
      </c>
      <c r="J1855" s="1873">
        <v>0</v>
      </c>
      <c r="K1855" s="1860"/>
      <c r="L1855" s="1854">
        <v>13213010201</v>
      </c>
      <c r="M1855" s="1855">
        <v>0</v>
      </c>
      <c r="N1855" s="1855">
        <v>0</v>
      </c>
      <c r="O1855" s="1856">
        <v>0</v>
      </c>
    </row>
    <row r="1856" spans="3:15">
      <c r="C1856" s="1861" t="s">
        <v>5645</v>
      </c>
      <c r="D1856" s="1858">
        <v>0</v>
      </c>
      <c r="E1856" s="1858">
        <v>0</v>
      </c>
      <c r="F1856" s="1859">
        <v>0</v>
      </c>
      <c r="G1856" s="1872" t="s">
        <v>5645</v>
      </c>
      <c r="H1856" s="1856">
        <v>0</v>
      </c>
      <c r="I1856" s="1856">
        <v>0</v>
      </c>
      <c r="J1856" s="1873">
        <v>0</v>
      </c>
      <c r="K1856" s="1860"/>
      <c r="L1856" s="1854">
        <v>13213010202</v>
      </c>
      <c r="M1856" s="1855">
        <v>0</v>
      </c>
      <c r="N1856" s="1855">
        <v>0</v>
      </c>
      <c r="O1856" s="1856">
        <v>0</v>
      </c>
    </row>
    <row r="1857" spans="3:15">
      <c r="C1857" s="1861" t="s">
        <v>5646</v>
      </c>
      <c r="D1857" s="1858">
        <v>0</v>
      </c>
      <c r="E1857" s="1858">
        <v>0</v>
      </c>
      <c r="F1857" s="1859">
        <v>0</v>
      </c>
      <c r="G1857" s="1872" t="s">
        <v>5646</v>
      </c>
      <c r="H1857" s="1856">
        <v>0</v>
      </c>
      <c r="I1857" s="1856">
        <v>0</v>
      </c>
      <c r="J1857" s="1873">
        <v>0</v>
      </c>
      <c r="K1857" s="1860"/>
      <c r="L1857" s="1854">
        <v>13213010300</v>
      </c>
      <c r="M1857" s="1855">
        <v>0</v>
      </c>
      <c r="N1857" s="1855">
        <v>0</v>
      </c>
      <c r="O1857" s="1856">
        <v>0</v>
      </c>
    </row>
    <row r="1858" spans="3:15">
      <c r="C1858" s="1861" t="s">
        <v>5647</v>
      </c>
      <c r="D1858" s="1858">
        <v>0</v>
      </c>
      <c r="E1858" s="1858">
        <v>0</v>
      </c>
      <c r="F1858" s="1859">
        <v>0</v>
      </c>
      <c r="G1858" s="1872" t="s">
        <v>5647</v>
      </c>
      <c r="H1858" s="1856">
        <v>0</v>
      </c>
      <c r="I1858" s="1856">
        <v>0</v>
      </c>
      <c r="J1858" s="1873">
        <v>0</v>
      </c>
      <c r="K1858" s="1860"/>
      <c r="L1858" s="1854">
        <v>13213010400</v>
      </c>
      <c r="M1858" s="1855">
        <v>0</v>
      </c>
      <c r="N1858" s="1855">
        <v>0</v>
      </c>
      <c r="O1858" s="1856">
        <v>0</v>
      </c>
    </row>
    <row r="1859" spans="3:15">
      <c r="C1859" s="1861" t="s">
        <v>5648</v>
      </c>
      <c r="D1859" s="1858">
        <v>0</v>
      </c>
      <c r="E1859" s="1858">
        <v>0</v>
      </c>
      <c r="F1859" s="1859">
        <v>0</v>
      </c>
      <c r="G1859" s="1872" t="s">
        <v>5648</v>
      </c>
      <c r="H1859" s="1856">
        <v>0</v>
      </c>
      <c r="I1859" s="1856">
        <v>0</v>
      </c>
      <c r="J1859" s="1873">
        <v>0</v>
      </c>
      <c r="K1859" s="1860"/>
      <c r="L1859" s="1854">
        <v>13213010500</v>
      </c>
      <c r="M1859" s="1855">
        <v>0</v>
      </c>
      <c r="N1859" s="1855">
        <v>0</v>
      </c>
      <c r="O1859" s="1856">
        <v>0</v>
      </c>
    </row>
    <row r="1860" spans="3:15">
      <c r="C1860" s="1861" t="s">
        <v>5649</v>
      </c>
      <c r="D1860" s="1858">
        <v>0</v>
      </c>
      <c r="E1860" s="1858">
        <v>0</v>
      </c>
      <c r="F1860" s="1859">
        <v>0</v>
      </c>
      <c r="G1860" s="1872" t="s">
        <v>5649</v>
      </c>
      <c r="H1860" s="1856">
        <v>0</v>
      </c>
      <c r="I1860" s="1856">
        <v>0</v>
      </c>
      <c r="J1860" s="1873">
        <v>0</v>
      </c>
      <c r="K1860" s="1860"/>
      <c r="L1860" s="1854">
        <v>13213010600</v>
      </c>
      <c r="M1860" s="1855">
        <v>0</v>
      </c>
      <c r="N1860" s="1855">
        <v>0</v>
      </c>
      <c r="O1860" s="1856">
        <v>0</v>
      </c>
    </row>
    <row r="1861" spans="3:15">
      <c r="C1861" s="1861" t="s">
        <v>5650</v>
      </c>
      <c r="D1861" s="1858">
        <v>0</v>
      </c>
      <c r="E1861" s="1858">
        <v>0</v>
      </c>
      <c r="F1861" s="1859">
        <v>0</v>
      </c>
      <c r="G1861" s="1872" t="s">
        <v>5650</v>
      </c>
      <c r="H1861" s="1856">
        <v>0</v>
      </c>
      <c r="I1861" s="1856">
        <v>0</v>
      </c>
      <c r="J1861" s="1873">
        <v>0</v>
      </c>
      <c r="K1861" s="1860"/>
      <c r="L1861" s="1854">
        <v>13213010700</v>
      </c>
      <c r="M1861" s="1855">
        <v>0</v>
      </c>
      <c r="N1861" s="1855">
        <v>0</v>
      </c>
      <c r="O1861" s="1856">
        <v>0</v>
      </c>
    </row>
    <row r="1862" spans="3:15">
      <c r="C1862" s="1861" t="s">
        <v>5651</v>
      </c>
      <c r="D1862" s="1858">
        <v>0</v>
      </c>
      <c r="E1862" s="1858">
        <v>1</v>
      </c>
      <c r="F1862" s="1859">
        <v>1</v>
      </c>
      <c r="G1862" s="1872" t="s">
        <v>5651</v>
      </c>
      <c r="H1862" s="1856">
        <v>0</v>
      </c>
      <c r="I1862" s="1856">
        <v>1</v>
      </c>
      <c r="J1862" s="1873">
        <v>1</v>
      </c>
      <c r="K1862" s="1860"/>
      <c r="L1862" s="1854">
        <v>13215000200</v>
      </c>
      <c r="M1862" s="1855">
        <v>0</v>
      </c>
      <c r="N1862" s="1855">
        <v>1</v>
      </c>
      <c r="O1862" s="1856">
        <v>1</v>
      </c>
    </row>
    <row r="1863" spans="3:15">
      <c r="C1863" s="1861" t="s">
        <v>5652</v>
      </c>
      <c r="D1863" s="1858">
        <v>0</v>
      </c>
      <c r="E1863" s="1858">
        <v>0</v>
      </c>
      <c r="F1863" s="1859">
        <v>0</v>
      </c>
      <c r="G1863" s="1872" t="s">
        <v>5652</v>
      </c>
      <c r="H1863" s="1856">
        <v>0</v>
      </c>
      <c r="I1863" s="1856">
        <v>0</v>
      </c>
      <c r="J1863" s="1873">
        <v>0</v>
      </c>
      <c r="K1863" s="1860"/>
      <c r="L1863" s="1854">
        <v>13215000300</v>
      </c>
      <c r="M1863" s="1855">
        <v>0</v>
      </c>
      <c r="N1863" s="1855">
        <v>0</v>
      </c>
      <c r="O1863" s="1856">
        <v>0</v>
      </c>
    </row>
    <row r="1864" spans="3:15">
      <c r="C1864" s="1861" t="s">
        <v>5653</v>
      </c>
      <c r="D1864" s="1858">
        <v>0</v>
      </c>
      <c r="E1864" s="1858">
        <v>0</v>
      </c>
      <c r="F1864" s="1859">
        <v>0</v>
      </c>
      <c r="G1864" s="1872" t="s">
        <v>5653</v>
      </c>
      <c r="H1864" s="1856">
        <v>0</v>
      </c>
      <c r="I1864" s="1856">
        <v>0</v>
      </c>
      <c r="J1864" s="1873">
        <v>0</v>
      </c>
      <c r="K1864" s="1860"/>
      <c r="L1864" s="1854">
        <v>13215000400</v>
      </c>
      <c r="M1864" s="1855">
        <v>0</v>
      </c>
      <c r="N1864" s="1855">
        <v>0</v>
      </c>
      <c r="O1864" s="1856">
        <v>0</v>
      </c>
    </row>
    <row r="1865" spans="3:15">
      <c r="C1865" s="1861" t="s">
        <v>5654</v>
      </c>
      <c r="D1865" s="1858">
        <v>0</v>
      </c>
      <c r="E1865" s="1858">
        <v>0</v>
      </c>
      <c r="F1865" s="1859">
        <v>0</v>
      </c>
      <c r="G1865" s="1872" t="s">
        <v>5654</v>
      </c>
      <c r="H1865" s="1856">
        <v>0</v>
      </c>
      <c r="I1865" s="1856">
        <v>0</v>
      </c>
      <c r="J1865" s="1873">
        <v>0</v>
      </c>
      <c r="K1865" s="1860"/>
      <c r="L1865" s="1854">
        <v>13215000800</v>
      </c>
      <c r="M1865" s="1855">
        <v>0</v>
      </c>
      <c r="N1865" s="1855">
        <v>0</v>
      </c>
      <c r="O1865" s="1856">
        <v>0</v>
      </c>
    </row>
    <row r="1866" spans="3:15">
      <c r="C1866" s="1861" t="s">
        <v>5655</v>
      </c>
      <c r="D1866" s="1858">
        <v>0</v>
      </c>
      <c r="E1866" s="1858">
        <v>0</v>
      </c>
      <c r="F1866" s="1859">
        <v>0</v>
      </c>
      <c r="G1866" s="1872" t="s">
        <v>5655</v>
      </c>
      <c r="H1866" s="1856">
        <v>0</v>
      </c>
      <c r="I1866" s="1856">
        <v>0</v>
      </c>
      <c r="J1866" s="1873">
        <v>0</v>
      </c>
      <c r="K1866" s="1860"/>
      <c r="L1866" s="1854">
        <v>13215000900</v>
      </c>
      <c r="M1866" s="1855">
        <v>0</v>
      </c>
      <c r="N1866" s="1855">
        <v>0</v>
      </c>
      <c r="O1866" s="1856">
        <v>0</v>
      </c>
    </row>
    <row r="1867" spans="3:15">
      <c r="C1867" s="1861" t="s">
        <v>5656</v>
      </c>
      <c r="D1867" s="1858">
        <v>0</v>
      </c>
      <c r="E1867" s="1858">
        <v>0</v>
      </c>
      <c r="F1867" s="1859">
        <v>0</v>
      </c>
      <c r="G1867" s="1872" t="s">
        <v>5656</v>
      </c>
      <c r="H1867" s="1856">
        <v>0</v>
      </c>
      <c r="I1867" s="1856">
        <v>0</v>
      </c>
      <c r="J1867" s="1873">
        <v>0</v>
      </c>
      <c r="K1867" s="1860"/>
      <c r="L1867" s="1854">
        <v>13215001000</v>
      </c>
      <c r="M1867" s="1855">
        <v>0</v>
      </c>
      <c r="N1867" s="1855">
        <v>0</v>
      </c>
      <c r="O1867" s="1856">
        <v>0</v>
      </c>
    </row>
    <row r="1868" spans="3:15">
      <c r="C1868" s="1861" t="s">
        <v>5657</v>
      </c>
      <c r="D1868" s="1858">
        <v>1</v>
      </c>
      <c r="E1868" s="1858">
        <v>1</v>
      </c>
      <c r="F1868" s="1859">
        <v>2</v>
      </c>
      <c r="G1868" s="1872" t="s">
        <v>5657</v>
      </c>
      <c r="H1868" s="1856">
        <v>1</v>
      </c>
      <c r="I1868" s="1856">
        <v>1</v>
      </c>
      <c r="J1868" s="1873">
        <v>2</v>
      </c>
      <c r="K1868" s="1860"/>
      <c r="L1868" s="1854">
        <v>13215001100</v>
      </c>
      <c r="M1868" s="1855">
        <v>1</v>
      </c>
      <c r="N1868" s="1855">
        <v>1</v>
      </c>
      <c r="O1868" s="1856">
        <v>2</v>
      </c>
    </row>
    <row r="1869" spans="3:15">
      <c r="C1869" s="1861" t="s">
        <v>5658</v>
      </c>
      <c r="D1869" s="1858">
        <v>1</v>
      </c>
      <c r="E1869" s="1858">
        <v>1</v>
      </c>
      <c r="F1869" s="1859">
        <v>2</v>
      </c>
      <c r="G1869" s="1872" t="s">
        <v>5658</v>
      </c>
      <c r="H1869" s="1856">
        <v>1</v>
      </c>
      <c r="I1869" s="1856">
        <v>1</v>
      </c>
      <c r="J1869" s="1873">
        <v>2</v>
      </c>
      <c r="K1869" s="1860"/>
      <c r="L1869" s="1854">
        <v>13215001200</v>
      </c>
      <c r="M1869" s="1855">
        <v>1</v>
      </c>
      <c r="N1869" s="1855">
        <v>1</v>
      </c>
      <c r="O1869" s="1856">
        <v>2</v>
      </c>
    </row>
    <row r="1870" spans="3:15">
      <c r="C1870" s="1861" t="s">
        <v>5659</v>
      </c>
      <c r="D1870" s="1858">
        <v>0</v>
      </c>
      <c r="E1870" s="1858">
        <v>0</v>
      </c>
      <c r="F1870" s="1859">
        <v>0</v>
      </c>
      <c r="G1870" s="1872" t="s">
        <v>5659</v>
      </c>
      <c r="H1870" s="1856">
        <v>0</v>
      </c>
      <c r="I1870" s="1856">
        <v>0</v>
      </c>
      <c r="J1870" s="1873">
        <v>0</v>
      </c>
      <c r="K1870" s="1860"/>
      <c r="L1870" s="1854">
        <v>13215001400</v>
      </c>
      <c r="M1870" s="1855">
        <v>0</v>
      </c>
      <c r="N1870" s="1855">
        <v>0</v>
      </c>
      <c r="O1870" s="1856">
        <v>0</v>
      </c>
    </row>
    <row r="1871" spans="3:15">
      <c r="C1871" s="1861" t="s">
        <v>5660</v>
      </c>
      <c r="D1871" s="1858">
        <v>0</v>
      </c>
      <c r="E1871" s="1858">
        <v>0</v>
      </c>
      <c r="F1871" s="1859">
        <v>0</v>
      </c>
      <c r="G1871" s="1872" t="s">
        <v>5660</v>
      </c>
      <c r="H1871" s="1856">
        <v>0</v>
      </c>
      <c r="I1871" s="1856" t="s">
        <v>3908</v>
      </c>
      <c r="J1871" s="1873">
        <v>0</v>
      </c>
      <c r="K1871" s="1860"/>
      <c r="L1871" s="1854">
        <v>13215001600</v>
      </c>
      <c r="M1871" s="1855">
        <v>0</v>
      </c>
      <c r="N1871" s="1855">
        <v>0</v>
      </c>
      <c r="O1871" s="1856">
        <v>0</v>
      </c>
    </row>
    <row r="1872" spans="3:15">
      <c r="C1872" s="1861" t="s">
        <v>5661</v>
      </c>
      <c r="D1872" s="1858">
        <v>0</v>
      </c>
      <c r="E1872" s="1858">
        <v>0</v>
      </c>
      <c r="F1872" s="1859">
        <v>0</v>
      </c>
      <c r="G1872" s="1872" t="s">
        <v>5661</v>
      </c>
      <c r="H1872" s="1856">
        <v>0</v>
      </c>
      <c r="I1872" s="1856">
        <v>0</v>
      </c>
      <c r="J1872" s="1873">
        <v>0</v>
      </c>
      <c r="K1872" s="1860"/>
      <c r="L1872" s="1854">
        <v>13215001800</v>
      </c>
      <c r="M1872" s="1855">
        <v>0</v>
      </c>
      <c r="N1872" s="1855">
        <v>0</v>
      </c>
      <c r="O1872" s="1856">
        <v>0</v>
      </c>
    </row>
    <row r="1873" spans="3:15">
      <c r="C1873" s="1861" t="s">
        <v>5662</v>
      </c>
      <c r="D1873" s="1858">
        <v>0</v>
      </c>
      <c r="E1873" s="1858">
        <v>0</v>
      </c>
      <c r="F1873" s="1859">
        <v>0</v>
      </c>
      <c r="G1873" s="1872" t="s">
        <v>5662</v>
      </c>
      <c r="H1873" s="1856">
        <v>0</v>
      </c>
      <c r="I1873" s="1856">
        <v>0</v>
      </c>
      <c r="J1873" s="1873">
        <v>0</v>
      </c>
      <c r="K1873" s="1860"/>
      <c r="L1873" s="1854">
        <v>13215002000</v>
      </c>
      <c r="M1873" s="1855">
        <v>0</v>
      </c>
      <c r="N1873" s="1855">
        <v>0</v>
      </c>
      <c r="O1873" s="1856">
        <v>0</v>
      </c>
    </row>
    <row r="1874" spans="3:15">
      <c r="C1874" s="1861" t="s">
        <v>5663</v>
      </c>
      <c r="D1874" s="1858">
        <v>0</v>
      </c>
      <c r="E1874" s="1858">
        <v>0</v>
      </c>
      <c r="F1874" s="1859">
        <v>0</v>
      </c>
      <c r="G1874" s="1872" t="s">
        <v>5663</v>
      </c>
      <c r="H1874" s="1856">
        <v>0</v>
      </c>
      <c r="I1874" s="1856">
        <v>0</v>
      </c>
      <c r="J1874" s="1873">
        <v>0</v>
      </c>
      <c r="K1874" s="1860"/>
      <c r="L1874" s="1854">
        <v>13215002100</v>
      </c>
      <c r="M1874" s="1855">
        <v>0</v>
      </c>
      <c r="N1874" s="1855">
        <v>0</v>
      </c>
      <c r="O1874" s="1856">
        <v>0</v>
      </c>
    </row>
    <row r="1875" spans="3:15">
      <c r="C1875" s="1861" t="s">
        <v>5664</v>
      </c>
      <c r="D1875" s="1858">
        <v>0</v>
      </c>
      <c r="E1875" s="1858">
        <v>0</v>
      </c>
      <c r="F1875" s="1859">
        <v>0</v>
      </c>
      <c r="G1875" s="1872" t="s">
        <v>5664</v>
      </c>
      <c r="H1875" s="1856">
        <v>0</v>
      </c>
      <c r="I1875" s="1856">
        <v>0</v>
      </c>
      <c r="J1875" s="1873">
        <v>0</v>
      </c>
      <c r="K1875" s="1860"/>
      <c r="L1875" s="1854">
        <v>13215002200</v>
      </c>
      <c r="M1875" s="1855">
        <v>0</v>
      </c>
      <c r="N1875" s="1855">
        <v>0</v>
      </c>
      <c r="O1875" s="1856">
        <v>0</v>
      </c>
    </row>
    <row r="1876" spans="3:15">
      <c r="C1876" s="1861" t="s">
        <v>5665</v>
      </c>
      <c r="D1876" s="1858">
        <v>0</v>
      </c>
      <c r="E1876" s="1858">
        <v>0</v>
      </c>
      <c r="F1876" s="1859">
        <v>0</v>
      </c>
      <c r="G1876" s="1872" t="s">
        <v>5665</v>
      </c>
      <c r="H1876" s="1856">
        <v>0</v>
      </c>
      <c r="I1876" s="1856">
        <v>0</v>
      </c>
      <c r="J1876" s="1873">
        <v>0</v>
      </c>
      <c r="K1876" s="1860"/>
      <c r="L1876" s="1854">
        <v>13215002300</v>
      </c>
      <c r="M1876" s="1855">
        <v>0</v>
      </c>
      <c r="N1876" s="1855">
        <v>0</v>
      </c>
      <c r="O1876" s="1856">
        <v>0</v>
      </c>
    </row>
    <row r="1877" spans="3:15">
      <c r="C1877" s="1861" t="s">
        <v>5666</v>
      </c>
      <c r="D1877" s="1858">
        <v>0</v>
      </c>
      <c r="E1877" s="1858">
        <v>0</v>
      </c>
      <c r="F1877" s="1859">
        <v>0</v>
      </c>
      <c r="G1877" s="1872" t="s">
        <v>5666</v>
      </c>
      <c r="H1877" s="1856">
        <v>0</v>
      </c>
      <c r="I1877" s="1856">
        <v>0</v>
      </c>
      <c r="J1877" s="1873">
        <v>0</v>
      </c>
      <c r="K1877" s="1860"/>
      <c r="L1877" s="1854">
        <v>13215002400</v>
      </c>
      <c r="M1877" s="1855">
        <v>0</v>
      </c>
      <c r="N1877" s="1855">
        <v>0</v>
      </c>
      <c r="O1877" s="1856">
        <v>0</v>
      </c>
    </row>
    <row r="1878" spans="3:15">
      <c r="C1878" s="1861" t="s">
        <v>5667</v>
      </c>
      <c r="D1878" s="1858">
        <v>0</v>
      </c>
      <c r="E1878" s="1858">
        <v>0</v>
      </c>
      <c r="F1878" s="1859">
        <v>0</v>
      </c>
      <c r="G1878" s="1872" t="s">
        <v>5667</v>
      </c>
      <c r="H1878" s="1856">
        <v>0</v>
      </c>
      <c r="I1878" s="1856">
        <v>0</v>
      </c>
      <c r="J1878" s="1873">
        <v>0</v>
      </c>
      <c r="K1878" s="1860"/>
      <c r="L1878" s="1854">
        <v>13215002500</v>
      </c>
      <c r="M1878" s="1855">
        <v>0</v>
      </c>
      <c r="N1878" s="1855">
        <v>0</v>
      </c>
      <c r="O1878" s="1856">
        <v>0</v>
      </c>
    </row>
    <row r="1879" spans="3:15">
      <c r="C1879" s="1861" t="s">
        <v>5668</v>
      </c>
      <c r="D1879" s="1858">
        <v>0</v>
      </c>
      <c r="E1879" s="1858">
        <v>0</v>
      </c>
      <c r="F1879" s="1859">
        <v>0</v>
      </c>
      <c r="G1879" s="1872" t="s">
        <v>5668</v>
      </c>
      <c r="H1879" s="1856">
        <v>0</v>
      </c>
      <c r="I1879" s="1856">
        <v>0</v>
      </c>
      <c r="J1879" s="1873">
        <v>0</v>
      </c>
      <c r="K1879" s="1860"/>
      <c r="L1879" s="1854">
        <v>13215002700</v>
      </c>
      <c r="M1879" s="1855">
        <v>0</v>
      </c>
      <c r="N1879" s="1855">
        <v>0</v>
      </c>
      <c r="O1879" s="1856">
        <v>0</v>
      </c>
    </row>
    <row r="1880" spans="3:15">
      <c r="C1880" s="1861" t="s">
        <v>5669</v>
      </c>
      <c r="D1880" s="1858">
        <v>0</v>
      </c>
      <c r="E1880" s="1858">
        <v>0</v>
      </c>
      <c r="F1880" s="1859">
        <v>0</v>
      </c>
      <c r="G1880" s="1872" t="s">
        <v>5669</v>
      </c>
      <c r="H1880" s="1856">
        <v>0</v>
      </c>
      <c r="I1880" s="1856">
        <v>0</v>
      </c>
      <c r="J1880" s="1873">
        <v>0</v>
      </c>
      <c r="K1880" s="1860"/>
      <c r="L1880" s="1854">
        <v>13215002800</v>
      </c>
      <c r="M1880" s="1855">
        <v>0</v>
      </c>
      <c r="N1880" s="1855">
        <v>0</v>
      </c>
      <c r="O1880" s="1856">
        <v>0</v>
      </c>
    </row>
    <row r="1881" spans="3:15">
      <c r="C1881" s="1861" t="s">
        <v>5670</v>
      </c>
      <c r="D1881" s="1858">
        <v>0</v>
      </c>
      <c r="E1881" s="1858">
        <v>0</v>
      </c>
      <c r="F1881" s="1859">
        <v>0</v>
      </c>
      <c r="G1881" s="1872" t="s">
        <v>5670</v>
      </c>
      <c r="H1881" s="1856">
        <v>0</v>
      </c>
      <c r="I1881" s="1856">
        <v>0</v>
      </c>
      <c r="J1881" s="1873">
        <v>0</v>
      </c>
      <c r="K1881" s="1860"/>
      <c r="L1881" s="1854">
        <v>13215002901</v>
      </c>
      <c r="M1881" s="1855">
        <v>0</v>
      </c>
      <c r="N1881" s="1855">
        <v>0</v>
      </c>
      <c r="O1881" s="1856">
        <v>0</v>
      </c>
    </row>
    <row r="1882" spans="3:15">
      <c r="C1882" s="1861" t="s">
        <v>5671</v>
      </c>
      <c r="D1882" s="1858">
        <v>0</v>
      </c>
      <c r="E1882" s="1858">
        <v>0</v>
      </c>
      <c r="F1882" s="1859">
        <v>0</v>
      </c>
      <c r="G1882" s="1872" t="s">
        <v>5671</v>
      </c>
      <c r="H1882" s="1856">
        <v>0</v>
      </c>
      <c r="I1882" s="1856">
        <v>0</v>
      </c>
      <c r="J1882" s="1873">
        <v>0</v>
      </c>
      <c r="K1882" s="1860"/>
      <c r="L1882" s="1854">
        <v>13215002902</v>
      </c>
      <c r="M1882" s="1855">
        <v>0</v>
      </c>
      <c r="N1882" s="1855">
        <v>0</v>
      </c>
      <c r="O1882" s="1856">
        <v>0</v>
      </c>
    </row>
    <row r="1883" spans="3:15">
      <c r="C1883" s="1861" t="s">
        <v>5672</v>
      </c>
      <c r="D1883" s="1858">
        <v>0</v>
      </c>
      <c r="E1883" s="1858">
        <v>0</v>
      </c>
      <c r="F1883" s="1859">
        <v>0</v>
      </c>
      <c r="G1883" s="1872" t="s">
        <v>5672</v>
      </c>
      <c r="H1883" s="1856">
        <v>0</v>
      </c>
      <c r="I1883" s="1856" t="s">
        <v>3908</v>
      </c>
      <c r="J1883" s="1873">
        <v>0</v>
      </c>
      <c r="K1883" s="1860"/>
      <c r="L1883" s="1854">
        <v>13215003000</v>
      </c>
      <c r="M1883" s="1855">
        <v>0</v>
      </c>
      <c r="N1883" s="1855">
        <v>0</v>
      </c>
      <c r="O1883" s="1856">
        <v>0</v>
      </c>
    </row>
    <row r="1884" spans="3:15">
      <c r="C1884" s="1861" t="s">
        <v>5673</v>
      </c>
      <c r="D1884" s="1858">
        <v>0</v>
      </c>
      <c r="E1884" s="1858">
        <v>0</v>
      </c>
      <c r="F1884" s="1859">
        <v>0</v>
      </c>
      <c r="G1884" s="1872" t="s">
        <v>5673</v>
      </c>
      <c r="H1884" s="1856">
        <v>0</v>
      </c>
      <c r="I1884" s="1856">
        <v>0</v>
      </c>
      <c r="J1884" s="1873">
        <v>0</v>
      </c>
      <c r="K1884" s="1860"/>
      <c r="L1884" s="1854">
        <v>13215003200</v>
      </c>
      <c r="M1884" s="1855">
        <v>0</v>
      </c>
      <c r="N1884" s="1855">
        <v>0</v>
      </c>
      <c r="O1884" s="1856">
        <v>0</v>
      </c>
    </row>
    <row r="1885" spans="3:15">
      <c r="C1885" s="1861" t="s">
        <v>5674</v>
      </c>
      <c r="D1885" s="1858">
        <v>0</v>
      </c>
      <c r="E1885" s="1858">
        <v>0</v>
      </c>
      <c r="F1885" s="1859">
        <v>0</v>
      </c>
      <c r="G1885" s="1872" t="s">
        <v>5674</v>
      </c>
      <c r="H1885" s="1856">
        <v>0</v>
      </c>
      <c r="I1885" s="1856">
        <v>0</v>
      </c>
      <c r="J1885" s="1873">
        <v>0</v>
      </c>
      <c r="K1885" s="1860"/>
      <c r="L1885" s="1854">
        <v>13215003301</v>
      </c>
      <c r="M1885" s="1855">
        <v>0</v>
      </c>
      <c r="N1885" s="1855">
        <v>0</v>
      </c>
      <c r="O1885" s="1856">
        <v>0</v>
      </c>
    </row>
    <row r="1886" spans="3:15">
      <c r="C1886" s="1861" t="s">
        <v>5675</v>
      </c>
      <c r="D1886" s="1858">
        <v>0</v>
      </c>
      <c r="E1886" s="1858">
        <v>0</v>
      </c>
      <c r="F1886" s="1859">
        <v>0</v>
      </c>
      <c r="G1886" s="1872" t="s">
        <v>5675</v>
      </c>
      <c r="H1886" s="1856">
        <v>0</v>
      </c>
      <c r="I1886" s="1856">
        <v>0</v>
      </c>
      <c r="J1886" s="1873">
        <v>0</v>
      </c>
      <c r="K1886" s="1860"/>
      <c r="L1886" s="1854">
        <v>13215003302</v>
      </c>
      <c r="M1886" s="1855">
        <v>0</v>
      </c>
      <c r="N1886" s="1855">
        <v>0</v>
      </c>
      <c r="O1886" s="1856">
        <v>0</v>
      </c>
    </row>
    <row r="1887" spans="3:15">
      <c r="C1887" s="1861" t="s">
        <v>5676</v>
      </c>
      <c r="D1887" s="1858">
        <v>0</v>
      </c>
      <c r="E1887" s="1858">
        <v>0</v>
      </c>
      <c r="F1887" s="1859">
        <v>0</v>
      </c>
      <c r="G1887" s="1872" t="s">
        <v>5676</v>
      </c>
      <c r="H1887" s="1856">
        <v>0</v>
      </c>
      <c r="I1887" s="1856">
        <v>0</v>
      </c>
      <c r="J1887" s="1873">
        <v>0</v>
      </c>
      <c r="K1887" s="1860"/>
      <c r="L1887" s="1854">
        <v>13215003400</v>
      </c>
      <c r="M1887" s="1855">
        <v>0</v>
      </c>
      <c r="N1887" s="1855">
        <v>0</v>
      </c>
      <c r="O1887" s="1856">
        <v>0</v>
      </c>
    </row>
    <row r="1888" spans="3:15">
      <c r="C1888" s="1861" t="s">
        <v>5677</v>
      </c>
      <c r="D1888" s="1858">
        <v>1</v>
      </c>
      <c r="E1888" s="1858">
        <v>1</v>
      </c>
      <c r="F1888" s="1859">
        <v>2</v>
      </c>
      <c r="G1888" s="1872" t="s">
        <v>5677</v>
      </c>
      <c r="H1888" s="1856">
        <v>1</v>
      </c>
      <c r="I1888" s="1856">
        <v>1</v>
      </c>
      <c r="J1888" s="1873">
        <v>2</v>
      </c>
      <c r="K1888" s="1860"/>
      <c r="L1888" s="1854">
        <v>13215010104</v>
      </c>
      <c r="M1888" s="1855">
        <v>1</v>
      </c>
      <c r="N1888" s="1855">
        <v>1</v>
      </c>
      <c r="O1888" s="1856">
        <v>2</v>
      </c>
    </row>
    <row r="1889" spans="3:15">
      <c r="C1889" s="1861" t="s">
        <v>5678</v>
      </c>
      <c r="D1889" s="1858">
        <v>0</v>
      </c>
      <c r="E1889" s="1858">
        <v>1</v>
      </c>
      <c r="F1889" s="1859">
        <v>1</v>
      </c>
      <c r="G1889" s="1872" t="s">
        <v>5678</v>
      </c>
      <c r="H1889" s="1856">
        <v>0</v>
      </c>
      <c r="I1889" s="1856">
        <v>1</v>
      </c>
      <c r="J1889" s="1873">
        <v>1</v>
      </c>
      <c r="K1889" s="1860"/>
      <c r="L1889" s="1854">
        <v>13215010106</v>
      </c>
      <c r="M1889" s="1855">
        <v>0</v>
      </c>
      <c r="N1889" s="1855">
        <v>1</v>
      </c>
      <c r="O1889" s="1856">
        <v>1</v>
      </c>
    </row>
    <row r="1890" spans="3:15">
      <c r="C1890" s="1861" t="s">
        <v>5679</v>
      </c>
      <c r="D1890" s="1858">
        <v>1</v>
      </c>
      <c r="E1890" s="1858">
        <v>1</v>
      </c>
      <c r="F1890" s="1859">
        <v>2</v>
      </c>
      <c r="G1890" s="1872" t="s">
        <v>5679</v>
      </c>
      <c r="H1890" s="1856">
        <v>1</v>
      </c>
      <c r="I1890" s="1856">
        <v>1</v>
      </c>
      <c r="J1890" s="1873">
        <v>2</v>
      </c>
      <c r="K1890" s="1860"/>
      <c r="L1890" s="1854">
        <v>13215010107</v>
      </c>
      <c r="M1890" s="1855">
        <v>1</v>
      </c>
      <c r="N1890" s="1855">
        <v>1</v>
      </c>
      <c r="O1890" s="1856">
        <v>2</v>
      </c>
    </row>
    <row r="1891" spans="3:15">
      <c r="C1891" s="1861" t="s">
        <v>5680</v>
      </c>
      <c r="D1891" s="1858">
        <v>1</v>
      </c>
      <c r="E1891" s="1858">
        <v>1</v>
      </c>
      <c r="F1891" s="1859">
        <v>2</v>
      </c>
      <c r="G1891" s="1872" t="s">
        <v>5680</v>
      </c>
      <c r="H1891" s="1856">
        <v>1</v>
      </c>
      <c r="I1891" s="1856">
        <v>1</v>
      </c>
      <c r="J1891" s="1873">
        <v>2</v>
      </c>
      <c r="K1891" s="1860"/>
      <c r="L1891" s="1854">
        <v>13215010201</v>
      </c>
      <c r="M1891" s="1855">
        <v>1</v>
      </c>
      <c r="N1891" s="1855">
        <v>1</v>
      </c>
      <c r="O1891" s="1856">
        <v>2</v>
      </c>
    </row>
    <row r="1892" spans="3:15">
      <c r="C1892" s="1861" t="s">
        <v>5681</v>
      </c>
      <c r="D1892" s="1858">
        <v>1</v>
      </c>
      <c r="E1892" s="1858">
        <v>1</v>
      </c>
      <c r="F1892" s="1859">
        <v>2</v>
      </c>
      <c r="G1892" s="1872" t="s">
        <v>5681</v>
      </c>
      <c r="H1892" s="1856">
        <v>1</v>
      </c>
      <c r="I1892" s="1856">
        <v>1</v>
      </c>
      <c r="J1892" s="1873">
        <v>2</v>
      </c>
      <c r="K1892" s="1860"/>
      <c r="L1892" s="1854">
        <v>13215010203</v>
      </c>
      <c r="M1892" s="1855">
        <v>1</v>
      </c>
      <c r="N1892" s="1855">
        <v>1</v>
      </c>
      <c r="O1892" s="1856">
        <v>2</v>
      </c>
    </row>
    <row r="1893" spans="3:15">
      <c r="C1893" s="1861" t="s">
        <v>5682</v>
      </c>
      <c r="D1893" s="1858">
        <v>1</v>
      </c>
      <c r="E1893" s="1858">
        <v>1</v>
      </c>
      <c r="F1893" s="1859">
        <v>2</v>
      </c>
      <c r="G1893" s="1872" t="s">
        <v>5682</v>
      </c>
      <c r="H1893" s="1856">
        <v>1</v>
      </c>
      <c r="I1893" s="1856">
        <v>1</v>
      </c>
      <c r="J1893" s="1873">
        <v>2</v>
      </c>
      <c r="K1893" s="1860"/>
      <c r="L1893" s="1854">
        <v>13215010204</v>
      </c>
      <c r="M1893" s="1855">
        <v>1</v>
      </c>
      <c r="N1893" s="1855">
        <v>1</v>
      </c>
      <c r="O1893" s="1856">
        <v>2</v>
      </c>
    </row>
    <row r="1894" spans="3:15">
      <c r="C1894" s="1861" t="s">
        <v>5683</v>
      </c>
      <c r="D1894" s="1858">
        <v>1</v>
      </c>
      <c r="E1894" s="1858">
        <v>1</v>
      </c>
      <c r="F1894" s="1859">
        <v>2</v>
      </c>
      <c r="G1894" s="1872" t="s">
        <v>5683</v>
      </c>
      <c r="H1894" s="1856">
        <v>1</v>
      </c>
      <c r="I1894" s="1856">
        <v>1</v>
      </c>
      <c r="J1894" s="1873">
        <v>2</v>
      </c>
      <c r="K1894" s="1860"/>
      <c r="L1894" s="1854">
        <v>13215010205</v>
      </c>
      <c r="M1894" s="1855">
        <v>1</v>
      </c>
      <c r="N1894" s="1855">
        <v>1</v>
      </c>
      <c r="O1894" s="1856">
        <v>2</v>
      </c>
    </row>
    <row r="1895" spans="3:15">
      <c r="C1895" s="1861" t="s">
        <v>5684</v>
      </c>
      <c r="D1895" s="1858">
        <v>1</v>
      </c>
      <c r="E1895" s="1858">
        <v>1</v>
      </c>
      <c r="F1895" s="1859">
        <v>2</v>
      </c>
      <c r="G1895" s="1872" t="s">
        <v>5684</v>
      </c>
      <c r="H1895" s="1856">
        <v>1</v>
      </c>
      <c r="I1895" s="1856">
        <v>1</v>
      </c>
      <c r="J1895" s="1873">
        <v>2</v>
      </c>
      <c r="K1895" s="1860"/>
      <c r="L1895" s="1854">
        <v>13215010301</v>
      </c>
      <c r="M1895" s="1855">
        <v>1</v>
      </c>
      <c r="N1895" s="1855">
        <v>1</v>
      </c>
      <c r="O1895" s="1856">
        <v>2</v>
      </c>
    </row>
    <row r="1896" spans="3:15">
      <c r="C1896" s="1861" t="s">
        <v>5685</v>
      </c>
      <c r="D1896" s="1858">
        <v>1</v>
      </c>
      <c r="E1896" s="1858">
        <v>1</v>
      </c>
      <c r="F1896" s="1859">
        <v>2</v>
      </c>
      <c r="G1896" s="1872" t="s">
        <v>5685</v>
      </c>
      <c r="H1896" s="1856">
        <v>1</v>
      </c>
      <c r="I1896" s="1856">
        <v>1</v>
      </c>
      <c r="J1896" s="1873">
        <v>2</v>
      </c>
      <c r="K1896" s="1860"/>
      <c r="L1896" s="1854">
        <v>13215010302</v>
      </c>
      <c r="M1896" s="1855">
        <v>1</v>
      </c>
      <c r="N1896" s="1855">
        <v>1</v>
      </c>
      <c r="O1896" s="1856">
        <v>2</v>
      </c>
    </row>
    <row r="1897" spans="3:15">
      <c r="C1897" s="1861" t="s">
        <v>5686</v>
      </c>
      <c r="D1897" s="1858">
        <v>1</v>
      </c>
      <c r="E1897" s="1858">
        <v>1</v>
      </c>
      <c r="F1897" s="1859">
        <v>2</v>
      </c>
      <c r="G1897" s="1872" t="s">
        <v>5686</v>
      </c>
      <c r="H1897" s="1856">
        <v>1</v>
      </c>
      <c r="I1897" s="1856">
        <v>1</v>
      </c>
      <c r="J1897" s="1873">
        <v>2</v>
      </c>
      <c r="K1897" s="1860"/>
      <c r="L1897" s="1854">
        <v>13215010401</v>
      </c>
      <c r="M1897" s="1855">
        <v>1</v>
      </c>
      <c r="N1897" s="1855">
        <v>1</v>
      </c>
      <c r="O1897" s="1856">
        <v>2</v>
      </c>
    </row>
    <row r="1898" spans="3:15">
      <c r="C1898" s="1861" t="s">
        <v>5687</v>
      </c>
      <c r="D1898" s="1858">
        <v>1</v>
      </c>
      <c r="E1898" s="1858">
        <v>0</v>
      </c>
      <c r="F1898" s="1859">
        <v>1</v>
      </c>
      <c r="G1898" s="1872" t="s">
        <v>5687</v>
      </c>
      <c r="H1898" s="1856">
        <v>1</v>
      </c>
      <c r="I1898" s="1856">
        <v>0</v>
      </c>
      <c r="J1898" s="1873">
        <v>0</v>
      </c>
      <c r="K1898" s="1860"/>
      <c r="L1898" s="1854">
        <v>13215010402</v>
      </c>
      <c r="M1898" s="1855">
        <v>1</v>
      </c>
      <c r="N1898" s="1855">
        <v>0</v>
      </c>
      <c r="O1898" s="1856">
        <v>1</v>
      </c>
    </row>
    <row r="1899" spans="3:15">
      <c r="C1899" s="1861" t="s">
        <v>5688</v>
      </c>
      <c r="D1899" s="1858">
        <v>1</v>
      </c>
      <c r="E1899" s="1858">
        <v>0</v>
      </c>
      <c r="F1899" s="1859">
        <v>1</v>
      </c>
      <c r="G1899" s="1872" t="s">
        <v>5688</v>
      </c>
      <c r="H1899" s="1856">
        <v>0</v>
      </c>
      <c r="I1899" s="1856">
        <v>1</v>
      </c>
      <c r="J1899" s="1873">
        <v>1</v>
      </c>
      <c r="K1899" s="1860"/>
      <c r="L1899" s="1854">
        <v>13215010501</v>
      </c>
      <c r="M1899" s="1855">
        <v>1</v>
      </c>
      <c r="N1899" s="1855">
        <v>1</v>
      </c>
      <c r="O1899" s="1856">
        <v>1</v>
      </c>
    </row>
    <row r="1900" spans="3:15">
      <c r="C1900" s="1861" t="s">
        <v>5689</v>
      </c>
      <c r="D1900" s="1858">
        <v>0</v>
      </c>
      <c r="E1900" s="1858">
        <v>0</v>
      </c>
      <c r="F1900" s="1859">
        <v>0</v>
      </c>
      <c r="G1900" s="1872" t="s">
        <v>5689</v>
      </c>
      <c r="H1900" s="1856">
        <v>0</v>
      </c>
      <c r="I1900" s="1856">
        <v>0</v>
      </c>
      <c r="J1900" s="1873">
        <v>0</v>
      </c>
      <c r="K1900" s="1860"/>
      <c r="L1900" s="1854">
        <v>13215010502</v>
      </c>
      <c r="M1900" s="1855">
        <v>0</v>
      </c>
      <c r="N1900" s="1855">
        <v>0</v>
      </c>
      <c r="O1900" s="1856">
        <v>0</v>
      </c>
    </row>
    <row r="1901" spans="3:15">
      <c r="C1901" s="1861" t="s">
        <v>5690</v>
      </c>
      <c r="D1901" s="1858">
        <v>0</v>
      </c>
      <c r="E1901" s="1858">
        <v>0</v>
      </c>
      <c r="F1901" s="1859">
        <v>0</v>
      </c>
      <c r="G1901" s="1872" t="s">
        <v>5690</v>
      </c>
      <c r="H1901" s="1856">
        <v>0</v>
      </c>
      <c r="I1901" s="1856">
        <v>0</v>
      </c>
      <c r="J1901" s="1873">
        <v>0</v>
      </c>
      <c r="K1901" s="1860"/>
      <c r="L1901" s="1854">
        <v>13215010602</v>
      </c>
      <c r="M1901" s="1855">
        <v>0</v>
      </c>
      <c r="N1901" s="1855">
        <v>0</v>
      </c>
      <c r="O1901" s="1856">
        <v>0</v>
      </c>
    </row>
    <row r="1902" spans="3:15">
      <c r="C1902" s="1861" t="s">
        <v>5691</v>
      </c>
      <c r="D1902" s="1858">
        <v>0</v>
      </c>
      <c r="E1902" s="1858">
        <v>0</v>
      </c>
      <c r="F1902" s="1859">
        <v>0</v>
      </c>
      <c r="G1902" s="1872" t="s">
        <v>5691</v>
      </c>
      <c r="H1902" s="1856">
        <v>0</v>
      </c>
      <c r="I1902" s="1856">
        <v>1</v>
      </c>
      <c r="J1902" s="1873">
        <v>1</v>
      </c>
      <c r="K1902" s="1860"/>
      <c r="L1902" s="1854">
        <v>13215010605</v>
      </c>
      <c r="M1902" s="1855">
        <v>0</v>
      </c>
      <c r="N1902" s="1855">
        <v>1</v>
      </c>
      <c r="O1902" s="1856">
        <v>1</v>
      </c>
    </row>
    <row r="1903" spans="3:15">
      <c r="C1903" s="1861" t="s">
        <v>5692</v>
      </c>
      <c r="D1903" s="1858" t="s">
        <v>3908</v>
      </c>
      <c r="E1903" s="1858">
        <v>0</v>
      </c>
      <c r="F1903" s="1859">
        <v>0</v>
      </c>
      <c r="G1903" s="1872" t="s">
        <v>5692</v>
      </c>
      <c r="H1903" s="1856" t="s">
        <v>3908</v>
      </c>
      <c r="I1903" s="1856" t="s">
        <v>3908</v>
      </c>
      <c r="J1903" s="1873">
        <v>0</v>
      </c>
      <c r="K1903" s="1860"/>
      <c r="L1903" s="1854">
        <v>13215010606</v>
      </c>
      <c r="M1903" s="1855">
        <v>0</v>
      </c>
      <c r="N1903" s="1855">
        <v>0</v>
      </c>
      <c r="O1903" s="1856">
        <v>0</v>
      </c>
    </row>
    <row r="1904" spans="3:15">
      <c r="C1904" s="1861" t="s">
        <v>5693</v>
      </c>
      <c r="D1904" s="1858">
        <v>0</v>
      </c>
      <c r="E1904" s="1858">
        <v>0</v>
      </c>
      <c r="F1904" s="1859">
        <v>0</v>
      </c>
      <c r="G1904" s="1872" t="s">
        <v>5693</v>
      </c>
      <c r="H1904" s="1856">
        <v>0</v>
      </c>
      <c r="I1904" s="1856">
        <v>0</v>
      </c>
      <c r="J1904" s="1873">
        <v>0</v>
      </c>
      <c r="K1904" s="1860"/>
      <c r="L1904" s="1854">
        <v>13215010607</v>
      </c>
      <c r="M1904" s="1855">
        <v>0</v>
      </c>
      <c r="N1904" s="1855">
        <v>0</v>
      </c>
      <c r="O1904" s="1856">
        <v>0</v>
      </c>
    </row>
    <row r="1905" spans="3:15">
      <c r="C1905" s="1861" t="s">
        <v>5694</v>
      </c>
      <c r="D1905" s="1858">
        <v>0</v>
      </c>
      <c r="E1905" s="1858">
        <v>0</v>
      </c>
      <c r="F1905" s="1859">
        <v>0</v>
      </c>
      <c r="G1905" s="1872" t="s">
        <v>5694</v>
      </c>
      <c r="H1905" s="1856">
        <v>0</v>
      </c>
      <c r="I1905" s="1856">
        <v>0</v>
      </c>
      <c r="J1905" s="1873">
        <v>0</v>
      </c>
      <c r="K1905" s="1860"/>
      <c r="L1905" s="1854">
        <v>13215010608</v>
      </c>
      <c r="M1905" s="1855">
        <v>0</v>
      </c>
      <c r="N1905" s="1855">
        <v>0</v>
      </c>
      <c r="O1905" s="1856">
        <v>0</v>
      </c>
    </row>
    <row r="1906" spans="3:15">
      <c r="C1906" s="1861" t="s">
        <v>5695</v>
      </c>
      <c r="D1906" s="1858">
        <v>0</v>
      </c>
      <c r="E1906" s="1858">
        <v>0</v>
      </c>
      <c r="F1906" s="1859">
        <v>0</v>
      </c>
      <c r="G1906" s="1872" t="s">
        <v>5695</v>
      </c>
      <c r="H1906" s="1856">
        <v>0</v>
      </c>
      <c r="I1906" s="1856">
        <v>0</v>
      </c>
      <c r="J1906" s="1873">
        <v>0</v>
      </c>
      <c r="K1906" s="1860"/>
      <c r="L1906" s="1854">
        <v>13215010701</v>
      </c>
      <c r="M1906" s="1855">
        <v>0</v>
      </c>
      <c r="N1906" s="1855">
        <v>0</v>
      </c>
      <c r="O1906" s="1856">
        <v>0</v>
      </c>
    </row>
    <row r="1907" spans="3:15">
      <c r="C1907" s="1861" t="s">
        <v>5696</v>
      </c>
      <c r="D1907" s="1858">
        <v>0</v>
      </c>
      <c r="E1907" s="1858">
        <v>0</v>
      </c>
      <c r="F1907" s="1859">
        <v>0</v>
      </c>
      <c r="G1907" s="1872" t="s">
        <v>5696</v>
      </c>
      <c r="H1907" s="1856">
        <v>1</v>
      </c>
      <c r="I1907" s="1856">
        <v>0</v>
      </c>
      <c r="J1907" s="1873">
        <v>0</v>
      </c>
      <c r="K1907" s="1860"/>
      <c r="L1907" s="1854">
        <v>13215010702</v>
      </c>
      <c r="M1907" s="1855">
        <v>1</v>
      </c>
      <c r="N1907" s="1855">
        <v>0</v>
      </c>
      <c r="O1907" s="1856">
        <v>0</v>
      </c>
    </row>
    <row r="1908" spans="3:15">
      <c r="C1908" s="1861" t="s">
        <v>5697</v>
      </c>
      <c r="D1908" s="1858">
        <v>0</v>
      </c>
      <c r="E1908" s="1858">
        <v>0</v>
      </c>
      <c r="F1908" s="1859">
        <v>0</v>
      </c>
      <c r="G1908" s="1872" t="s">
        <v>5697</v>
      </c>
      <c r="H1908" s="1856">
        <v>0</v>
      </c>
      <c r="I1908" s="1856">
        <v>0</v>
      </c>
      <c r="J1908" s="1873">
        <v>0</v>
      </c>
      <c r="K1908" s="1860"/>
      <c r="L1908" s="1854">
        <v>13215010703</v>
      </c>
      <c r="M1908" s="1855">
        <v>0</v>
      </c>
      <c r="N1908" s="1855">
        <v>0</v>
      </c>
      <c r="O1908" s="1856">
        <v>0</v>
      </c>
    </row>
    <row r="1909" spans="3:15">
      <c r="C1909" s="1861" t="s">
        <v>5698</v>
      </c>
      <c r="D1909" s="1858">
        <v>0</v>
      </c>
      <c r="E1909" s="1858">
        <v>1</v>
      </c>
      <c r="F1909" s="1859">
        <v>1</v>
      </c>
      <c r="G1909" s="1872" t="s">
        <v>5698</v>
      </c>
      <c r="H1909" s="1856">
        <v>0</v>
      </c>
      <c r="I1909" s="1856" t="s">
        <v>3908</v>
      </c>
      <c r="J1909" s="1873">
        <v>0</v>
      </c>
      <c r="K1909" s="1860"/>
      <c r="L1909" s="1854">
        <v>13215010801</v>
      </c>
      <c r="M1909" s="1855">
        <v>0</v>
      </c>
      <c r="N1909" s="1855">
        <v>1</v>
      </c>
      <c r="O1909" s="1856">
        <v>1</v>
      </c>
    </row>
    <row r="1910" spans="3:15">
      <c r="C1910" s="1861" t="s">
        <v>5699</v>
      </c>
      <c r="D1910" s="1858">
        <v>0</v>
      </c>
      <c r="E1910" s="1858">
        <v>1</v>
      </c>
      <c r="F1910" s="1859">
        <v>1</v>
      </c>
      <c r="G1910" s="1872" t="s">
        <v>5699</v>
      </c>
      <c r="H1910" s="1856">
        <v>1</v>
      </c>
      <c r="I1910" s="1856" t="s">
        <v>3908</v>
      </c>
      <c r="J1910" s="1873">
        <v>1</v>
      </c>
      <c r="K1910" s="1860"/>
      <c r="L1910" s="1854">
        <v>13215010802</v>
      </c>
      <c r="M1910" s="1855">
        <v>1</v>
      </c>
      <c r="N1910" s="1855">
        <v>1</v>
      </c>
      <c r="O1910" s="1856">
        <v>1</v>
      </c>
    </row>
    <row r="1911" spans="3:15">
      <c r="C1911" s="1861" t="s">
        <v>5700</v>
      </c>
      <c r="D1911" s="1858">
        <v>0</v>
      </c>
      <c r="E1911" s="1858">
        <v>0</v>
      </c>
      <c r="F1911" s="1859">
        <v>0</v>
      </c>
      <c r="G1911" s="1872" t="s">
        <v>5700</v>
      </c>
      <c r="H1911" s="1856">
        <v>0</v>
      </c>
      <c r="I1911" s="1856">
        <v>0</v>
      </c>
      <c r="J1911" s="1873">
        <v>0</v>
      </c>
      <c r="K1911" s="1860"/>
      <c r="L1911" s="1854">
        <v>13215011100</v>
      </c>
      <c r="M1911" s="1855">
        <v>0</v>
      </c>
      <c r="N1911" s="1855">
        <v>0</v>
      </c>
      <c r="O1911" s="1856">
        <v>0</v>
      </c>
    </row>
    <row r="1912" spans="3:15">
      <c r="C1912" s="1861" t="s">
        <v>5701</v>
      </c>
      <c r="D1912" s="1858">
        <v>0</v>
      </c>
      <c r="E1912" s="1858">
        <v>0</v>
      </c>
      <c r="F1912" s="1859">
        <v>0</v>
      </c>
      <c r="G1912" s="1872" t="s">
        <v>5701</v>
      </c>
      <c r="H1912" s="1856">
        <v>0</v>
      </c>
      <c r="I1912" s="1856">
        <v>0</v>
      </c>
      <c r="J1912" s="1873">
        <v>0</v>
      </c>
      <c r="K1912" s="1860"/>
      <c r="L1912" s="1854">
        <v>13215011200</v>
      </c>
      <c r="M1912" s="1855">
        <v>0</v>
      </c>
      <c r="N1912" s="1855">
        <v>0</v>
      </c>
      <c r="O1912" s="1856">
        <v>0</v>
      </c>
    </row>
    <row r="1913" spans="3:15">
      <c r="C1913" s="1861" t="s">
        <v>5702</v>
      </c>
      <c r="D1913" s="1858">
        <v>0</v>
      </c>
      <c r="E1913" s="1858">
        <v>0</v>
      </c>
      <c r="F1913" s="1859">
        <v>0</v>
      </c>
      <c r="G1913" s="1872" t="s">
        <v>5702</v>
      </c>
      <c r="H1913" s="1856">
        <v>0</v>
      </c>
      <c r="I1913" s="1856">
        <v>0</v>
      </c>
      <c r="J1913" s="1873">
        <v>0</v>
      </c>
      <c r="K1913" s="1860"/>
      <c r="L1913" s="1854">
        <v>13215011400</v>
      </c>
      <c r="M1913" s="1855">
        <v>0</v>
      </c>
      <c r="N1913" s="1855">
        <v>0</v>
      </c>
      <c r="O1913" s="1856">
        <v>0</v>
      </c>
    </row>
    <row r="1914" spans="3:15">
      <c r="C1914" s="1861" t="s">
        <v>5703</v>
      </c>
      <c r="D1914" s="1858">
        <v>0</v>
      </c>
      <c r="E1914" s="1858">
        <v>0</v>
      </c>
      <c r="F1914" s="1859">
        <v>0</v>
      </c>
      <c r="G1914" s="1872" t="s">
        <v>5703</v>
      </c>
      <c r="H1914" s="1856">
        <v>0</v>
      </c>
      <c r="I1914" s="1856">
        <v>0</v>
      </c>
      <c r="J1914" s="1873">
        <v>0</v>
      </c>
      <c r="K1914" s="1860"/>
      <c r="L1914" s="1854">
        <v>13215011500</v>
      </c>
      <c r="M1914" s="1855">
        <v>0</v>
      </c>
      <c r="N1914" s="1855">
        <v>0</v>
      </c>
      <c r="O1914" s="1856">
        <v>0</v>
      </c>
    </row>
    <row r="1915" spans="3:15">
      <c r="C1915" s="1861" t="s">
        <v>5704</v>
      </c>
      <c r="D1915" s="1858">
        <v>0</v>
      </c>
      <c r="E1915" s="1858">
        <v>1</v>
      </c>
      <c r="F1915" s="1859">
        <v>1</v>
      </c>
      <c r="G1915" s="1872" t="s">
        <v>5704</v>
      </c>
      <c r="H1915" s="1856">
        <v>0</v>
      </c>
      <c r="I1915" s="1856">
        <v>1</v>
      </c>
      <c r="J1915" s="1873">
        <v>1</v>
      </c>
      <c r="K1915" s="1860"/>
      <c r="L1915" s="1854">
        <v>13217100100</v>
      </c>
      <c r="M1915" s="1855">
        <v>0</v>
      </c>
      <c r="N1915" s="1855">
        <v>1</v>
      </c>
      <c r="O1915" s="1856">
        <v>1</v>
      </c>
    </row>
    <row r="1916" spans="3:15">
      <c r="C1916" s="1861" t="s">
        <v>5705</v>
      </c>
      <c r="D1916" s="1858">
        <v>1</v>
      </c>
      <c r="E1916" s="1858">
        <v>1</v>
      </c>
      <c r="F1916" s="1859">
        <v>2</v>
      </c>
      <c r="G1916" s="1872" t="s">
        <v>5705</v>
      </c>
      <c r="H1916" s="1856">
        <v>1</v>
      </c>
      <c r="I1916" s="1856">
        <v>1</v>
      </c>
      <c r="J1916" s="1873">
        <v>2</v>
      </c>
      <c r="K1916" s="1860"/>
      <c r="L1916" s="1854">
        <v>13217100201</v>
      </c>
      <c r="M1916" s="1855">
        <v>1</v>
      </c>
      <c r="N1916" s="1855">
        <v>1</v>
      </c>
      <c r="O1916" s="1856">
        <v>2</v>
      </c>
    </row>
    <row r="1917" spans="3:15">
      <c r="C1917" s="1861" t="s">
        <v>5706</v>
      </c>
      <c r="D1917" s="1858">
        <v>1</v>
      </c>
      <c r="E1917" s="1858">
        <v>1</v>
      </c>
      <c r="F1917" s="1859">
        <v>2</v>
      </c>
      <c r="G1917" s="1872" t="s">
        <v>5706</v>
      </c>
      <c r="H1917" s="1856">
        <v>1</v>
      </c>
      <c r="I1917" s="1856">
        <v>1</v>
      </c>
      <c r="J1917" s="1873">
        <v>2</v>
      </c>
      <c r="K1917" s="1860"/>
      <c r="L1917" s="1854">
        <v>13217100202</v>
      </c>
      <c r="M1917" s="1855">
        <v>1</v>
      </c>
      <c r="N1917" s="1855">
        <v>1</v>
      </c>
      <c r="O1917" s="1856">
        <v>2</v>
      </c>
    </row>
    <row r="1918" spans="3:15">
      <c r="C1918" s="1861" t="s">
        <v>5707</v>
      </c>
      <c r="D1918" s="1858">
        <v>0</v>
      </c>
      <c r="E1918" s="1858">
        <v>0</v>
      </c>
      <c r="F1918" s="1859">
        <v>0</v>
      </c>
      <c r="G1918" s="1872" t="s">
        <v>5707</v>
      </c>
      <c r="H1918" s="1856">
        <v>0</v>
      </c>
      <c r="I1918" s="1856">
        <v>1</v>
      </c>
      <c r="J1918" s="1873">
        <v>1</v>
      </c>
      <c r="K1918" s="1860"/>
      <c r="L1918" s="1854">
        <v>13217100300</v>
      </c>
      <c r="M1918" s="1855">
        <v>0</v>
      </c>
      <c r="N1918" s="1855">
        <v>1</v>
      </c>
      <c r="O1918" s="1856">
        <v>1</v>
      </c>
    </row>
    <row r="1919" spans="3:15">
      <c r="C1919" s="1861" t="s">
        <v>5708</v>
      </c>
      <c r="D1919" s="1858">
        <v>0</v>
      </c>
      <c r="E1919" s="1858">
        <v>0</v>
      </c>
      <c r="F1919" s="1859">
        <v>0</v>
      </c>
      <c r="G1919" s="1872" t="s">
        <v>5708</v>
      </c>
      <c r="H1919" s="1856">
        <v>0</v>
      </c>
      <c r="I1919" s="1856">
        <v>0</v>
      </c>
      <c r="J1919" s="1873">
        <v>0</v>
      </c>
      <c r="K1919" s="1860"/>
      <c r="L1919" s="1854">
        <v>13217100400</v>
      </c>
      <c r="M1919" s="1855">
        <v>0</v>
      </c>
      <c r="N1919" s="1855">
        <v>0</v>
      </c>
      <c r="O1919" s="1856">
        <v>0</v>
      </c>
    </row>
    <row r="1920" spans="3:15">
      <c r="C1920" s="1861" t="s">
        <v>5709</v>
      </c>
      <c r="D1920" s="1858">
        <v>0</v>
      </c>
      <c r="E1920" s="1858">
        <v>0</v>
      </c>
      <c r="F1920" s="1859">
        <v>0</v>
      </c>
      <c r="G1920" s="1872" t="s">
        <v>5709</v>
      </c>
      <c r="H1920" s="1856">
        <v>0</v>
      </c>
      <c r="I1920" s="1856">
        <v>1</v>
      </c>
      <c r="J1920" s="1873">
        <v>1</v>
      </c>
      <c r="K1920" s="1860"/>
      <c r="L1920" s="1854">
        <v>13217100501</v>
      </c>
      <c r="M1920" s="1855">
        <v>0</v>
      </c>
      <c r="N1920" s="1855">
        <v>1</v>
      </c>
      <c r="O1920" s="1856">
        <v>1</v>
      </c>
    </row>
    <row r="1921" spans="3:15">
      <c r="C1921" s="1861" t="s">
        <v>5710</v>
      </c>
      <c r="D1921" s="1858">
        <v>0</v>
      </c>
      <c r="E1921" s="1858">
        <v>0</v>
      </c>
      <c r="F1921" s="1859">
        <v>0</v>
      </c>
      <c r="G1921" s="1872" t="s">
        <v>5710</v>
      </c>
      <c r="H1921" s="1856">
        <v>0</v>
      </c>
      <c r="I1921" s="1856">
        <v>0</v>
      </c>
      <c r="J1921" s="1873">
        <v>0</v>
      </c>
      <c r="K1921" s="1860"/>
      <c r="L1921" s="1854">
        <v>13217100502</v>
      </c>
      <c r="M1921" s="1855">
        <v>0</v>
      </c>
      <c r="N1921" s="1855">
        <v>0</v>
      </c>
      <c r="O1921" s="1856">
        <v>0</v>
      </c>
    </row>
    <row r="1922" spans="3:15">
      <c r="C1922" s="1861" t="s">
        <v>5711</v>
      </c>
      <c r="D1922" s="1858">
        <v>0</v>
      </c>
      <c r="E1922" s="1858">
        <v>0</v>
      </c>
      <c r="F1922" s="1859">
        <v>0</v>
      </c>
      <c r="G1922" s="1872" t="s">
        <v>5711</v>
      </c>
      <c r="H1922" s="1856">
        <v>0</v>
      </c>
      <c r="I1922" s="1856">
        <v>0</v>
      </c>
      <c r="J1922" s="1873">
        <v>0</v>
      </c>
      <c r="K1922" s="1860"/>
      <c r="L1922" s="1854">
        <v>13217100600</v>
      </c>
      <c r="M1922" s="1855">
        <v>0</v>
      </c>
      <c r="N1922" s="1855">
        <v>0</v>
      </c>
      <c r="O1922" s="1856">
        <v>0</v>
      </c>
    </row>
    <row r="1923" spans="3:15">
      <c r="C1923" s="1861" t="s">
        <v>5712</v>
      </c>
      <c r="D1923" s="1858">
        <v>0</v>
      </c>
      <c r="E1923" s="1858">
        <v>0</v>
      </c>
      <c r="F1923" s="1859">
        <v>0</v>
      </c>
      <c r="G1923" s="1872" t="s">
        <v>5712</v>
      </c>
      <c r="H1923" s="1856">
        <v>0</v>
      </c>
      <c r="I1923" s="1856">
        <v>0</v>
      </c>
      <c r="J1923" s="1873">
        <v>0</v>
      </c>
      <c r="K1923" s="1860"/>
      <c r="L1923" s="1854">
        <v>13217100700</v>
      </c>
      <c r="M1923" s="1855">
        <v>0</v>
      </c>
      <c r="N1923" s="1855">
        <v>0</v>
      </c>
      <c r="O1923" s="1856">
        <v>0</v>
      </c>
    </row>
    <row r="1924" spans="3:15">
      <c r="C1924" s="1861" t="s">
        <v>5713</v>
      </c>
      <c r="D1924" s="1858">
        <v>0</v>
      </c>
      <c r="E1924" s="1858">
        <v>1</v>
      </c>
      <c r="F1924" s="1859">
        <v>1</v>
      </c>
      <c r="G1924" s="1872" t="s">
        <v>5713</v>
      </c>
      <c r="H1924" s="1856">
        <v>0</v>
      </c>
      <c r="I1924" s="1856">
        <v>0</v>
      </c>
      <c r="J1924" s="1873">
        <v>0</v>
      </c>
      <c r="K1924" s="1860"/>
      <c r="L1924" s="1854">
        <v>13217100800</v>
      </c>
      <c r="M1924" s="1855">
        <v>0</v>
      </c>
      <c r="N1924" s="1855">
        <v>1</v>
      </c>
      <c r="O1924" s="1856">
        <v>1</v>
      </c>
    </row>
    <row r="1925" spans="3:15">
      <c r="C1925" s="1861" t="s">
        <v>5714</v>
      </c>
      <c r="D1925" s="1858">
        <v>0</v>
      </c>
      <c r="E1925" s="1858">
        <v>1</v>
      </c>
      <c r="F1925" s="1859">
        <v>1</v>
      </c>
      <c r="G1925" s="1872" t="s">
        <v>5714</v>
      </c>
      <c r="H1925" s="1856">
        <v>0</v>
      </c>
      <c r="I1925" s="1856">
        <v>1</v>
      </c>
      <c r="J1925" s="1873">
        <v>1</v>
      </c>
      <c r="K1925" s="1860"/>
      <c r="L1925" s="1854">
        <v>13217100901</v>
      </c>
      <c r="M1925" s="1855">
        <v>0</v>
      </c>
      <c r="N1925" s="1855">
        <v>1</v>
      </c>
      <c r="O1925" s="1856">
        <v>1</v>
      </c>
    </row>
    <row r="1926" spans="3:15">
      <c r="C1926" s="1861" t="s">
        <v>5715</v>
      </c>
      <c r="D1926" s="1858">
        <v>0</v>
      </c>
      <c r="E1926" s="1858">
        <v>0</v>
      </c>
      <c r="F1926" s="1859">
        <v>0</v>
      </c>
      <c r="G1926" s="1872" t="s">
        <v>5715</v>
      </c>
      <c r="H1926" s="1856">
        <v>0</v>
      </c>
      <c r="I1926" s="1856">
        <v>0</v>
      </c>
      <c r="J1926" s="1873">
        <v>0</v>
      </c>
      <c r="K1926" s="1860"/>
      <c r="L1926" s="1854">
        <v>13217100902</v>
      </c>
      <c r="M1926" s="1855">
        <v>0</v>
      </c>
      <c r="N1926" s="1855">
        <v>0</v>
      </c>
      <c r="O1926" s="1856">
        <v>0</v>
      </c>
    </row>
    <row r="1927" spans="3:15">
      <c r="C1927" s="1861" t="s">
        <v>5716</v>
      </c>
      <c r="D1927" s="1858">
        <v>0</v>
      </c>
      <c r="E1927" s="1858">
        <v>0</v>
      </c>
      <c r="F1927" s="1859">
        <v>0</v>
      </c>
      <c r="G1927" s="1872" t="s">
        <v>5716</v>
      </c>
      <c r="H1927" s="1856">
        <v>0</v>
      </c>
      <c r="I1927" s="1856">
        <v>0</v>
      </c>
      <c r="J1927" s="1873">
        <v>0</v>
      </c>
      <c r="K1927" s="1860"/>
      <c r="L1927" s="1854">
        <v>13217100903</v>
      </c>
      <c r="M1927" s="1855">
        <v>0</v>
      </c>
      <c r="N1927" s="1855">
        <v>0</v>
      </c>
      <c r="O1927" s="1856">
        <v>0</v>
      </c>
    </row>
    <row r="1928" spans="3:15">
      <c r="C1928" s="1861" t="s">
        <v>5717</v>
      </c>
      <c r="D1928" s="1858">
        <v>1</v>
      </c>
      <c r="E1928" s="1858">
        <v>1</v>
      </c>
      <c r="F1928" s="1859">
        <v>2</v>
      </c>
      <c r="G1928" s="1872" t="s">
        <v>5717</v>
      </c>
      <c r="H1928" s="1856">
        <v>1</v>
      </c>
      <c r="I1928" s="1856">
        <v>1</v>
      </c>
      <c r="J1928" s="1873">
        <v>2</v>
      </c>
      <c r="K1928" s="1860"/>
      <c r="L1928" s="1854">
        <v>13219030100</v>
      </c>
      <c r="M1928" s="1855">
        <v>1</v>
      </c>
      <c r="N1928" s="1855">
        <v>1</v>
      </c>
      <c r="O1928" s="1856">
        <v>2</v>
      </c>
    </row>
    <row r="1929" spans="3:15">
      <c r="C1929" s="1861" t="s">
        <v>5718</v>
      </c>
      <c r="D1929" s="1858">
        <v>1</v>
      </c>
      <c r="E1929" s="1858">
        <v>1</v>
      </c>
      <c r="F1929" s="1859">
        <v>2</v>
      </c>
      <c r="G1929" s="1872" t="s">
        <v>5718</v>
      </c>
      <c r="H1929" s="1856">
        <v>1</v>
      </c>
      <c r="I1929" s="1856">
        <v>1</v>
      </c>
      <c r="J1929" s="1873">
        <v>2</v>
      </c>
      <c r="K1929" s="1860"/>
      <c r="L1929" s="1854">
        <v>13219030200</v>
      </c>
      <c r="M1929" s="1855">
        <v>1</v>
      </c>
      <c r="N1929" s="1855">
        <v>1</v>
      </c>
      <c r="O1929" s="1856">
        <v>2</v>
      </c>
    </row>
    <row r="1930" spans="3:15">
      <c r="C1930" s="1861" t="s">
        <v>5719</v>
      </c>
      <c r="D1930" s="1858">
        <v>1</v>
      </c>
      <c r="E1930" s="1858">
        <v>1</v>
      </c>
      <c r="F1930" s="1859">
        <v>2</v>
      </c>
      <c r="G1930" s="1872" t="s">
        <v>5719</v>
      </c>
      <c r="H1930" s="1856">
        <v>1</v>
      </c>
      <c r="I1930" s="1856">
        <v>1</v>
      </c>
      <c r="J1930" s="1873">
        <v>2</v>
      </c>
      <c r="K1930" s="1860"/>
      <c r="L1930" s="1854">
        <v>13219030300</v>
      </c>
      <c r="M1930" s="1855">
        <v>1</v>
      </c>
      <c r="N1930" s="1855">
        <v>1</v>
      </c>
      <c r="O1930" s="1856">
        <v>2</v>
      </c>
    </row>
    <row r="1931" spans="3:15">
      <c r="C1931" s="1861" t="s">
        <v>5720</v>
      </c>
      <c r="D1931" s="1858">
        <v>1</v>
      </c>
      <c r="E1931" s="1858">
        <v>1</v>
      </c>
      <c r="F1931" s="1859">
        <v>2</v>
      </c>
      <c r="G1931" s="1872" t="s">
        <v>5720</v>
      </c>
      <c r="H1931" s="1856">
        <v>1</v>
      </c>
      <c r="I1931" s="1856">
        <v>1</v>
      </c>
      <c r="J1931" s="1873">
        <v>2</v>
      </c>
      <c r="K1931" s="1860"/>
      <c r="L1931" s="1854">
        <v>13219030400</v>
      </c>
      <c r="M1931" s="1855">
        <v>1</v>
      </c>
      <c r="N1931" s="1855">
        <v>1</v>
      </c>
      <c r="O1931" s="1856">
        <v>2</v>
      </c>
    </row>
    <row r="1932" spans="3:15">
      <c r="C1932" s="1861" t="s">
        <v>5721</v>
      </c>
      <c r="D1932" s="1858">
        <v>1</v>
      </c>
      <c r="E1932" s="1858">
        <v>1</v>
      </c>
      <c r="F1932" s="1859">
        <v>2</v>
      </c>
      <c r="G1932" s="1872" t="s">
        <v>5721</v>
      </c>
      <c r="H1932" s="1856">
        <v>1</v>
      </c>
      <c r="I1932" s="1856">
        <v>1</v>
      </c>
      <c r="J1932" s="1873">
        <v>2</v>
      </c>
      <c r="K1932" s="1860"/>
      <c r="L1932" s="1854">
        <v>13219030500</v>
      </c>
      <c r="M1932" s="1855">
        <v>1</v>
      </c>
      <c r="N1932" s="1855">
        <v>1</v>
      </c>
      <c r="O1932" s="1856">
        <v>2</v>
      </c>
    </row>
    <row r="1933" spans="3:15">
      <c r="C1933" s="1861" t="s">
        <v>5722</v>
      </c>
      <c r="D1933" s="1858">
        <v>1</v>
      </c>
      <c r="E1933" s="1858">
        <v>1</v>
      </c>
      <c r="F1933" s="1859">
        <v>2</v>
      </c>
      <c r="G1933" s="1872" t="s">
        <v>5722</v>
      </c>
      <c r="H1933" s="1856">
        <v>1</v>
      </c>
      <c r="I1933" s="1856">
        <v>1</v>
      </c>
      <c r="J1933" s="1873">
        <v>2</v>
      </c>
      <c r="K1933" s="1860"/>
      <c r="L1933" s="1854">
        <v>13219030600</v>
      </c>
      <c r="M1933" s="1855">
        <v>1</v>
      </c>
      <c r="N1933" s="1855">
        <v>1</v>
      </c>
      <c r="O1933" s="1856">
        <v>2</v>
      </c>
    </row>
    <row r="1934" spans="3:15">
      <c r="C1934" s="1861" t="s">
        <v>5723</v>
      </c>
      <c r="D1934" s="1858">
        <v>0</v>
      </c>
      <c r="E1934" s="1858">
        <v>0</v>
      </c>
      <c r="F1934" s="1859">
        <v>0</v>
      </c>
      <c r="G1934" s="1872" t="s">
        <v>5723</v>
      </c>
      <c r="H1934" s="1856">
        <v>0</v>
      </c>
      <c r="I1934" s="1856">
        <v>0</v>
      </c>
      <c r="J1934" s="1873">
        <v>0</v>
      </c>
      <c r="K1934" s="1860"/>
      <c r="L1934" s="1854">
        <v>13221960100</v>
      </c>
      <c r="M1934" s="1855">
        <v>0</v>
      </c>
      <c r="N1934" s="1855">
        <v>0</v>
      </c>
      <c r="O1934" s="1856">
        <v>0</v>
      </c>
    </row>
    <row r="1935" spans="3:15">
      <c r="C1935" s="1861" t="s">
        <v>5724</v>
      </c>
      <c r="D1935" s="1858">
        <v>1</v>
      </c>
      <c r="E1935" s="1858">
        <v>1</v>
      </c>
      <c r="F1935" s="1859">
        <v>2</v>
      </c>
      <c r="G1935" s="1872" t="s">
        <v>5724</v>
      </c>
      <c r="H1935" s="1856">
        <v>1</v>
      </c>
      <c r="I1935" s="1856">
        <v>1</v>
      </c>
      <c r="J1935" s="1873">
        <v>2</v>
      </c>
      <c r="K1935" s="1860"/>
      <c r="L1935" s="1854">
        <v>13221960201</v>
      </c>
      <c r="M1935" s="1855">
        <v>1</v>
      </c>
      <c r="N1935" s="1855">
        <v>1</v>
      </c>
      <c r="O1935" s="1856">
        <v>2</v>
      </c>
    </row>
    <row r="1936" spans="3:15">
      <c r="C1936" s="1861" t="s">
        <v>5725</v>
      </c>
      <c r="D1936" s="1858">
        <v>0</v>
      </c>
      <c r="E1936" s="1858">
        <v>0</v>
      </c>
      <c r="F1936" s="1859">
        <v>0</v>
      </c>
      <c r="G1936" s="1872" t="s">
        <v>5725</v>
      </c>
      <c r="H1936" s="1856">
        <v>0</v>
      </c>
      <c r="I1936" s="1856">
        <v>1</v>
      </c>
      <c r="J1936" s="1873">
        <v>1</v>
      </c>
      <c r="K1936" s="1860"/>
      <c r="L1936" s="1854">
        <v>13221960202</v>
      </c>
      <c r="M1936" s="1855">
        <v>0</v>
      </c>
      <c r="N1936" s="1855">
        <v>1</v>
      </c>
      <c r="O1936" s="1856">
        <v>1</v>
      </c>
    </row>
    <row r="1937" spans="3:15">
      <c r="C1937" s="1861" t="s">
        <v>5726</v>
      </c>
      <c r="D1937" s="1858">
        <v>0</v>
      </c>
      <c r="E1937" s="1858">
        <v>0</v>
      </c>
      <c r="F1937" s="1859">
        <v>0</v>
      </c>
      <c r="G1937" s="1872" t="s">
        <v>5726</v>
      </c>
      <c r="H1937" s="1856">
        <v>0</v>
      </c>
      <c r="I1937" s="1856">
        <v>0</v>
      </c>
      <c r="J1937" s="1873">
        <v>0</v>
      </c>
      <c r="K1937" s="1860"/>
      <c r="L1937" s="1854">
        <v>13221960300</v>
      </c>
      <c r="M1937" s="1855">
        <v>0</v>
      </c>
      <c r="N1937" s="1855">
        <v>0</v>
      </c>
      <c r="O1937" s="1856">
        <v>0</v>
      </c>
    </row>
    <row r="1938" spans="3:15">
      <c r="C1938" s="1861" t="s">
        <v>5727</v>
      </c>
      <c r="D1938" s="1858">
        <v>1</v>
      </c>
      <c r="E1938" s="1858">
        <v>1</v>
      </c>
      <c r="F1938" s="1859">
        <v>2</v>
      </c>
      <c r="G1938" s="1872" t="s">
        <v>5727</v>
      </c>
      <c r="H1938" s="1856">
        <v>1</v>
      </c>
      <c r="I1938" s="1856">
        <v>1</v>
      </c>
      <c r="J1938" s="1873">
        <v>2</v>
      </c>
      <c r="K1938" s="1860"/>
      <c r="L1938" s="1854">
        <v>13223120101</v>
      </c>
      <c r="M1938" s="1855">
        <v>1</v>
      </c>
      <c r="N1938" s="1855">
        <v>1</v>
      </c>
      <c r="O1938" s="1856">
        <v>2</v>
      </c>
    </row>
    <row r="1939" spans="3:15">
      <c r="C1939" s="1861" t="s">
        <v>5728</v>
      </c>
      <c r="D1939" s="1858">
        <v>1</v>
      </c>
      <c r="E1939" s="1858">
        <v>1</v>
      </c>
      <c r="F1939" s="1859">
        <v>2</v>
      </c>
      <c r="G1939" s="1872" t="s">
        <v>5728</v>
      </c>
      <c r="H1939" s="1856">
        <v>1</v>
      </c>
      <c r="I1939" s="1856">
        <v>1</v>
      </c>
      <c r="J1939" s="1873">
        <v>2</v>
      </c>
      <c r="K1939" s="1860"/>
      <c r="L1939" s="1854">
        <v>13223120102</v>
      </c>
      <c r="M1939" s="1855">
        <v>1</v>
      </c>
      <c r="N1939" s="1855">
        <v>1</v>
      </c>
      <c r="O1939" s="1856">
        <v>2</v>
      </c>
    </row>
    <row r="1940" spans="3:15">
      <c r="C1940" s="1861" t="s">
        <v>5729</v>
      </c>
      <c r="D1940" s="1858">
        <v>1</v>
      </c>
      <c r="E1940" s="1858">
        <v>1</v>
      </c>
      <c r="F1940" s="1859">
        <v>2</v>
      </c>
      <c r="G1940" s="1872" t="s">
        <v>5729</v>
      </c>
      <c r="H1940" s="1856">
        <v>1</v>
      </c>
      <c r="I1940" s="1856" t="s">
        <v>3908</v>
      </c>
      <c r="J1940" s="1873">
        <v>1</v>
      </c>
      <c r="K1940" s="1860"/>
      <c r="L1940" s="1854">
        <v>13223120103</v>
      </c>
      <c r="M1940" s="1855">
        <v>1</v>
      </c>
      <c r="N1940" s="1855">
        <v>1</v>
      </c>
      <c r="O1940" s="1856">
        <v>2</v>
      </c>
    </row>
    <row r="1941" spans="3:15">
      <c r="C1941" s="1861" t="s">
        <v>5730</v>
      </c>
      <c r="D1941" s="1858">
        <v>1</v>
      </c>
      <c r="E1941" s="1858">
        <v>1</v>
      </c>
      <c r="F1941" s="1859">
        <v>2</v>
      </c>
      <c r="G1941" s="1872" t="s">
        <v>5730</v>
      </c>
      <c r="H1941" s="1856">
        <v>1</v>
      </c>
      <c r="I1941" s="1856" t="s">
        <v>3908</v>
      </c>
      <c r="J1941" s="1873">
        <v>1</v>
      </c>
      <c r="K1941" s="1860"/>
      <c r="L1941" s="1854">
        <v>13223120104</v>
      </c>
      <c r="M1941" s="1855">
        <v>1</v>
      </c>
      <c r="N1941" s="1855">
        <v>1</v>
      </c>
      <c r="O1941" s="1856">
        <v>2</v>
      </c>
    </row>
    <row r="1942" spans="3:15">
      <c r="C1942" s="1861" t="s">
        <v>5731</v>
      </c>
      <c r="D1942" s="1858">
        <v>1</v>
      </c>
      <c r="E1942" s="1858">
        <v>1</v>
      </c>
      <c r="F1942" s="1859">
        <v>2</v>
      </c>
      <c r="G1942" s="1872" t="s">
        <v>5731</v>
      </c>
      <c r="H1942" s="1856">
        <v>1</v>
      </c>
      <c r="I1942" s="1856">
        <v>1</v>
      </c>
      <c r="J1942" s="1873">
        <v>2</v>
      </c>
      <c r="K1942" s="1860"/>
      <c r="L1942" s="1854">
        <v>13223120202</v>
      </c>
      <c r="M1942" s="1855">
        <v>1</v>
      </c>
      <c r="N1942" s="1855">
        <v>1</v>
      </c>
      <c r="O1942" s="1856">
        <v>2</v>
      </c>
    </row>
    <row r="1943" spans="3:15">
      <c r="C1943" s="1861" t="s">
        <v>5732</v>
      </c>
      <c r="D1943" s="1858">
        <v>1</v>
      </c>
      <c r="E1943" s="1858">
        <v>1</v>
      </c>
      <c r="F1943" s="1859">
        <v>2</v>
      </c>
      <c r="G1943" s="1872" t="s">
        <v>5732</v>
      </c>
      <c r="H1943" s="1856">
        <v>1</v>
      </c>
      <c r="I1943" s="1856">
        <v>1</v>
      </c>
      <c r="J1943" s="1873">
        <v>2</v>
      </c>
      <c r="K1943" s="1860"/>
      <c r="L1943" s="1854">
        <v>13223120203</v>
      </c>
      <c r="M1943" s="1855">
        <v>1</v>
      </c>
      <c r="N1943" s="1855">
        <v>1</v>
      </c>
      <c r="O1943" s="1856">
        <v>2</v>
      </c>
    </row>
    <row r="1944" spans="3:15">
      <c r="C1944" s="1861" t="s">
        <v>5733</v>
      </c>
      <c r="D1944" s="1858">
        <v>1</v>
      </c>
      <c r="E1944" s="1858">
        <v>1</v>
      </c>
      <c r="F1944" s="1859">
        <v>2</v>
      </c>
      <c r="G1944" s="1872" t="s">
        <v>5733</v>
      </c>
      <c r="H1944" s="1856">
        <v>1</v>
      </c>
      <c r="I1944" s="1856">
        <v>1</v>
      </c>
      <c r="J1944" s="1873">
        <v>2</v>
      </c>
      <c r="K1944" s="1860"/>
      <c r="L1944" s="1854">
        <v>13223120204</v>
      </c>
      <c r="M1944" s="1855">
        <v>1</v>
      </c>
      <c r="N1944" s="1855">
        <v>1</v>
      </c>
      <c r="O1944" s="1856">
        <v>2</v>
      </c>
    </row>
    <row r="1945" spans="3:15">
      <c r="C1945" s="1861" t="s">
        <v>5734</v>
      </c>
      <c r="D1945" s="1858">
        <v>1</v>
      </c>
      <c r="E1945" s="1858">
        <v>0</v>
      </c>
      <c r="F1945" s="1859">
        <v>1</v>
      </c>
      <c r="G1945" s="1872" t="s">
        <v>5734</v>
      </c>
      <c r="H1945" s="1856">
        <v>1</v>
      </c>
      <c r="I1945" s="1856">
        <v>1</v>
      </c>
      <c r="J1945" s="1873">
        <v>2</v>
      </c>
      <c r="K1945" s="1860"/>
      <c r="L1945" s="1854">
        <v>13223120301</v>
      </c>
      <c r="M1945" s="1855">
        <v>1</v>
      </c>
      <c r="N1945" s="1855">
        <v>1</v>
      </c>
      <c r="O1945" s="1856">
        <v>2</v>
      </c>
    </row>
    <row r="1946" spans="3:15">
      <c r="C1946" s="1861" t="s">
        <v>5735</v>
      </c>
      <c r="D1946" s="1858">
        <v>1</v>
      </c>
      <c r="E1946" s="1858">
        <v>0</v>
      </c>
      <c r="F1946" s="1859">
        <v>1</v>
      </c>
      <c r="G1946" s="1872" t="s">
        <v>5735</v>
      </c>
      <c r="H1946" s="1856">
        <v>1</v>
      </c>
      <c r="I1946" s="1856">
        <v>0</v>
      </c>
      <c r="J1946" s="1873">
        <v>1</v>
      </c>
      <c r="K1946" s="1860"/>
      <c r="L1946" s="1854">
        <v>13223120302</v>
      </c>
      <c r="M1946" s="1855">
        <v>1</v>
      </c>
      <c r="N1946" s="1855">
        <v>0</v>
      </c>
      <c r="O1946" s="1856">
        <v>1</v>
      </c>
    </row>
    <row r="1947" spans="3:15">
      <c r="C1947" s="1861" t="s">
        <v>5736</v>
      </c>
      <c r="D1947" s="1858">
        <v>1</v>
      </c>
      <c r="E1947" s="1858">
        <v>1</v>
      </c>
      <c r="F1947" s="1859">
        <v>2</v>
      </c>
      <c r="G1947" s="1872" t="s">
        <v>5736</v>
      </c>
      <c r="H1947" s="1856">
        <v>0</v>
      </c>
      <c r="I1947" s="1856">
        <v>0</v>
      </c>
      <c r="J1947" s="1873">
        <v>0</v>
      </c>
      <c r="K1947" s="1860"/>
      <c r="L1947" s="1854">
        <v>13223120303</v>
      </c>
      <c r="M1947" s="1855">
        <v>1</v>
      </c>
      <c r="N1947" s="1855">
        <v>1</v>
      </c>
      <c r="O1947" s="1856">
        <v>2</v>
      </c>
    </row>
    <row r="1948" spans="3:15">
      <c r="C1948" s="1861" t="s">
        <v>5737</v>
      </c>
      <c r="D1948" s="1858">
        <v>0</v>
      </c>
      <c r="E1948" s="1858">
        <v>1</v>
      </c>
      <c r="F1948" s="1859">
        <v>1</v>
      </c>
      <c r="G1948" s="1872" t="s">
        <v>5737</v>
      </c>
      <c r="H1948" s="1856">
        <v>1</v>
      </c>
      <c r="I1948" s="1856">
        <v>1</v>
      </c>
      <c r="J1948" s="1873">
        <v>2</v>
      </c>
      <c r="K1948" s="1860"/>
      <c r="L1948" s="1854">
        <v>13223120400</v>
      </c>
      <c r="M1948" s="1855">
        <v>1</v>
      </c>
      <c r="N1948" s="1855">
        <v>1</v>
      </c>
      <c r="O1948" s="1856">
        <v>2</v>
      </c>
    </row>
    <row r="1949" spans="3:15">
      <c r="C1949" s="1861" t="s">
        <v>5738</v>
      </c>
      <c r="D1949" s="1858">
        <v>1</v>
      </c>
      <c r="E1949" s="1858">
        <v>1</v>
      </c>
      <c r="F1949" s="1859">
        <v>2</v>
      </c>
      <c r="G1949" s="1872" t="s">
        <v>5738</v>
      </c>
      <c r="H1949" s="1856">
        <v>1</v>
      </c>
      <c r="I1949" s="1856">
        <v>1</v>
      </c>
      <c r="J1949" s="1873">
        <v>1</v>
      </c>
      <c r="K1949" s="1860"/>
      <c r="L1949" s="1854">
        <v>13223120501</v>
      </c>
      <c r="M1949" s="1855">
        <v>1</v>
      </c>
      <c r="N1949" s="1855">
        <v>1</v>
      </c>
      <c r="O1949" s="1856">
        <v>2</v>
      </c>
    </row>
    <row r="1950" spans="3:15">
      <c r="C1950" s="1861" t="s">
        <v>5739</v>
      </c>
      <c r="D1950" s="1858">
        <v>1</v>
      </c>
      <c r="E1950" s="1858">
        <v>1</v>
      </c>
      <c r="F1950" s="1859">
        <v>2</v>
      </c>
      <c r="G1950" s="1872" t="s">
        <v>5739</v>
      </c>
      <c r="H1950" s="1856">
        <v>1</v>
      </c>
      <c r="I1950" s="1856">
        <v>0</v>
      </c>
      <c r="J1950" s="1873">
        <v>1</v>
      </c>
      <c r="K1950" s="1860"/>
      <c r="L1950" s="1854">
        <v>13223120502</v>
      </c>
      <c r="M1950" s="1855">
        <v>1</v>
      </c>
      <c r="N1950" s="1855">
        <v>1</v>
      </c>
      <c r="O1950" s="1856">
        <v>2</v>
      </c>
    </row>
    <row r="1951" spans="3:15">
      <c r="C1951" s="1861" t="s">
        <v>5740</v>
      </c>
      <c r="D1951" s="1858">
        <v>1</v>
      </c>
      <c r="E1951" s="1858">
        <v>1</v>
      </c>
      <c r="F1951" s="1859">
        <v>2</v>
      </c>
      <c r="G1951" s="1872" t="s">
        <v>5740</v>
      </c>
      <c r="H1951" s="1856">
        <v>0</v>
      </c>
      <c r="I1951" s="1856">
        <v>1</v>
      </c>
      <c r="J1951" s="1873">
        <v>1</v>
      </c>
      <c r="K1951" s="1860"/>
      <c r="L1951" s="1854">
        <v>13223120503</v>
      </c>
      <c r="M1951" s="1855">
        <v>1</v>
      </c>
      <c r="N1951" s="1855">
        <v>1</v>
      </c>
      <c r="O1951" s="1856">
        <v>2</v>
      </c>
    </row>
    <row r="1952" spans="3:15">
      <c r="C1952" s="1861" t="s">
        <v>5741</v>
      </c>
      <c r="D1952" s="1858">
        <v>1</v>
      </c>
      <c r="E1952" s="1858">
        <v>1</v>
      </c>
      <c r="F1952" s="1859">
        <v>2</v>
      </c>
      <c r="G1952" s="1872" t="s">
        <v>5741</v>
      </c>
      <c r="H1952" s="1856">
        <v>1</v>
      </c>
      <c r="I1952" s="1856">
        <v>0</v>
      </c>
      <c r="J1952" s="1873">
        <v>1</v>
      </c>
      <c r="K1952" s="1860"/>
      <c r="L1952" s="1854">
        <v>13223120601</v>
      </c>
      <c r="M1952" s="1855">
        <v>1</v>
      </c>
      <c r="N1952" s="1855">
        <v>1</v>
      </c>
      <c r="O1952" s="1856">
        <v>2</v>
      </c>
    </row>
    <row r="1953" spans="3:15">
      <c r="C1953" s="1861" t="s">
        <v>5742</v>
      </c>
      <c r="D1953" s="1858">
        <v>1</v>
      </c>
      <c r="E1953" s="1858">
        <v>1</v>
      </c>
      <c r="F1953" s="1859">
        <v>2</v>
      </c>
      <c r="G1953" s="1872" t="s">
        <v>5742</v>
      </c>
      <c r="H1953" s="1856">
        <v>1</v>
      </c>
      <c r="I1953" s="1856" t="s">
        <v>3908</v>
      </c>
      <c r="J1953" s="1873">
        <v>1</v>
      </c>
      <c r="K1953" s="1860"/>
      <c r="L1953" s="1854">
        <v>13223120602</v>
      </c>
      <c r="M1953" s="1855">
        <v>1</v>
      </c>
      <c r="N1953" s="1855">
        <v>1</v>
      </c>
      <c r="O1953" s="1856">
        <v>2</v>
      </c>
    </row>
    <row r="1954" spans="3:15">
      <c r="C1954" s="1861" t="s">
        <v>5743</v>
      </c>
      <c r="D1954" s="1858">
        <v>1</v>
      </c>
      <c r="E1954" s="1858">
        <v>1</v>
      </c>
      <c r="F1954" s="1859">
        <v>2</v>
      </c>
      <c r="G1954" s="1872" t="s">
        <v>5743</v>
      </c>
      <c r="H1954" s="1856">
        <v>0</v>
      </c>
      <c r="I1954" s="1856">
        <v>1</v>
      </c>
      <c r="J1954" s="1873">
        <v>1</v>
      </c>
      <c r="K1954" s="1860"/>
      <c r="L1954" s="1854">
        <v>13223120603</v>
      </c>
      <c r="M1954" s="1855">
        <v>1</v>
      </c>
      <c r="N1954" s="1855">
        <v>1</v>
      </c>
      <c r="O1954" s="1856">
        <v>2</v>
      </c>
    </row>
    <row r="1955" spans="3:15">
      <c r="C1955" s="1861" t="s">
        <v>5744</v>
      </c>
      <c r="D1955" s="1858">
        <v>1</v>
      </c>
      <c r="E1955" s="1858">
        <v>1</v>
      </c>
      <c r="F1955" s="1859">
        <v>2</v>
      </c>
      <c r="G1955" s="1872" t="s">
        <v>5744</v>
      </c>
      <c r="H1955" s="1856">
        <v>1</v>
      </c>
      <c r="I1955" s="1856">
        <v>1</v>
      </c>
      <c r="J1955" s="1873">
        <v>2</v>
      </c>
      <c r="K1955" s="1860"/>
      <c r="L1955" s="1854">
        <v>13223120604</v>
      </c>
      <c r="M1955" s="1855">
        <v>1</v>
      </c>
      <c r="N1955" s="1855">
        <v>1</v>
      </c>
      <c r="O1955" s="1856">
        <v>2</v>
      </c>
    </row>
    <row r="1956" spans="3:15">
      <c r="C1956" s="1861" t="s">
        <v>5745</v>
      </c>
      <c r="D1956" s="1858">
        <v>1</v>
      </c>
      <c r="E1956" s="1858">
        <v>1</v>
      </c>
      <c r="F1956" s="1859">
        <v>2</v>
      </c>
      <c r="G1956" s="1872" t="s">
        <v>5745</v>
      </c>
      <c r="H1956" s="1856">
        <v>1</v>
      </c>
      <c r="I1956" s="1856">
        <v>0</v>
      </c>
      <c r="J1956" s="1873">
        <v>1</v>
      </c>
      <c r="K1956" s="1860"/>
      <c r="L1956" s="1854">
        <v>13223120605</v>
      </c>
      <c r="M1956" s="1855">
        <v>1</v>
      </c>
      <c r="N1956" s="1855">
        <v>1</v>
      </c>
      <c r="O1956" s="1856">
        <v>2</v>
      </c>
    </row>
    <row r="1957" spans="3:15">
      <c r="C1957" s="1861" t="s">
        <v>5746</v>
      </c>
      <c r="D1957" s="1858">
        <v>1</v>
      </c>
      <c r="E1957" s="1858">
        <v>1</v>
      </c>
      <c r="F1957" s="1859">
        <v>2</v>
      </c>
      <c r="G1957" s="1872" t="s">
        <v>5746</v>
      </c>
      <c r="H1957" s="1856">
        <v>1</v>
      </c>
      <c r="I1957" s="1856">
        <v>1</v>
      </c>
      <c r="J1957" s="1873">
        <v>2</v>
      </c>
      <c r="K1957" s="1860"/>
      <c r="L1957" s="1854">
        <v>13225040101</v>
      </c>
      <c r="M1957" s="1855">
        <v>1</v>
      </c>
      <c r="N1957" s="1855">
        <v>1</v>
      </c>
      <c r="O1957" s="1856">
        <v>2</v>
      </c>
    </row>
    <row r="1958" spans="3:15">
      <c r="C1958" s="1861" t="s">
        <v>5747</v>
      </c>
      <c r="D1958" s="1858">
        <v>1</v>
      </c>
      <c r="E1958" s="1858">
        <v>1</v>
      </c>
      <c r="F1958" s="1859">
        <v>2</v>
      </c>
      <c r="G1958" s="1872" t="s">
        <v>5747</v>
      </c>
      <c r="H1958" s="1856">
        <v>0</v>
      </c>
      <c r="I1958" s="1856">
        <v>1</v>
      </c>
      <c r="J1958" s="1873">
        <v>1</v>
      </c>
      <c r="K1958" s="1860"/>
      <c r="L1958" s="1854">
        <v>13225040102</v>
      </c>
      <c r="M1958" s="1855">
        <v>1</v>
      </c>
      <c r="N1958" s="1855">
        <v>1</v>
      </c>
      <c r="O1958" s="1856">
        <v>2</v>
      </c>
    </row>
    <row r="1959" spans="3:15">
      <c r="C1959" s="1861" t="s">
        <v>5748</v>
      </c>
      <c r="D1959" s="1858">
        <v>0</v>
      </c>
      <c r="E1959" s="1858">
        <v>0</v>
      </c>
      <c r="F1959" s="1859">
        <v>0</v>
      </c>
      <c r="G1959" s="1872" t="s">
        <v>5748</v>
      </c>
      <c r="H1959" s="1856">
        <v>0</v>
      </c>
      <c r="I1959" s="1856">
        <v>0</v>
      </c>
      <c r="J1959" s="1873">
        <v>0</v>
      </c>
      <c r="K1959" s="1860"/>
      <c r="L1959" s="1854">
        <v>13225040200</v>
      </c>
      <c r="M1959" s="1855">
        <v>0</v>
      </c>
      <c r="N1959" s="1855">
        <v>0</v>
      </c>
      <c r="O1959" s="1856">
        <v>0</v>
      </c>
    </row>
    <row r="1960" spans="3:15">
      <c r="C1960" s="1861" t="s">
        <v>5749</v>
      </c>
      <c r="D1960" s="1858">
        <v>1</v>
      </c>
      <c r="E1960" s="1858">
        <v>0</v>
      </c>
      <c r="F1960" s="1859">
        <v>1</v>
      </c>
      <c r="G1960" s="1872" t="s">
        <v>5749</v>
      </c>
      <c r="H1960" s="1856">
        <v>0</v>
      </c>
      <c r="I1960" s="1856">
        <v>0</v>
      </c>
      <c r="J1960" s="1873">
        <v>0</v>
      </c>
      <c r="K1960" s="1860"/>
      <c r="L1960" s="1854">
        <v>13225040301</v>
      </c>
      <c r="M1960" s="1855">
        <v>1</v>
      </c>
      <c r="N1960" s="1855">
        <v>0</v>
      </c>
      <c r="O1960" s="1856">
        <v>1</v>
      </c>
    </row>
    <row r="1961" spans="3:15">
      <c r="C1961" s="1861" t="s">
        <v>5750</v>
      </c>
      <c r="D1961" s="1858">
        <v>0</v>
      </c>
      <c r="E1961" s="1858">
        <v>0</v>
      </c>
      <c r="F1961" s="1859">
        <v>0</v>
      </c>
      <c r="G1961" s="1872" t="s">
        <v>5750</v>
      </c>
      <c r="H1961" s="1856">
        <v>0</v>
      </c>
      <c r="I1961" s="1856">
        <v>0</v>
      </c>
      <c r="J1961" s="1873">
        <v>0</v>
      </c>
      <c r="K1961" s="1860"/>
      <c r="L1961" s="1854">
        <v>13225040302</v>
      </c>
      <c r="M1961" s="1855">
        <v>0</v>
      </c>
      <c r="N1961" s="1855">
        <v>0</v>
      </c>
      <c r="O1961" s="1856">
        <v>0</v>
      </c>
    </row>
    <row r="1962" spans="3:15">
      <c r="C1962" s="1861" t="s">
        <v>5751</v>
      </c>
      <c r="D1962" s="1858">
        <v>0</v>
      </c>
      <c r="E1962" s="1858">
        <v>0</v>
      </c>
      <c r="F1962" s="1859">
        <v>0</v>
      </c>
      <c r="G1962" s="1872" t="s">
        <v>5751</v>
      </c>
      <c r="H1962" s="1856">
        <v>0</v>
      </c>
      <c r="I1962" s="1856" t="s">
        <v>3908</v>
      </c>
      <c r="J1962" s="1873">
        <v>0</v>
      </c>
      <c r="K1962" s="1860"/>
      <c r="L1962" s="1854">
        <v>13225040400</v>
      </c>
      <c r="M1962" s="1855">
        <v>0</v>
      </c>
      <c r="N1962" s="1855">
        <v>0</v>
      </c>
      <c r="O1962" s="1856">
        <v>0</v>
      </c>
    </row>
    <row r="1963" spans="3:15">
      <c r="C1963" s="1861" t="s">
        <v>5752</v>
      </c>
      <c r="D1963" s="1858">
        <v>1</v>
      </c>
      <c r="E1963" s="1858">
        <v>1</v>
      </c>
      <c r="F1963" s="1859">
        <v>2</v>
      </c>
      <c r="G1963" s="1872" t="s">
        <v>5752</v>
      </c>
      <c r="H1963" s="1856">
        <v>1</v>
      </c>
      <c r="I1963" s="1856">
        <v>1</v>
      </c>
      <c r="J1963" s="1873">
        <v>2</v>
      </c>
      <c r="K1963" s="1860"/>
      <c r="L1963" s="1854">
        <v>13227050100</v>
      </c>
      <c r="M1963" s="1855">
        <v>1</v>
      </c>
      <c r="N1963" s="1855">
        <v>1</v>
      </c>
      <c r="O1963" s="1856">
        <v>2</v>
      </c>
    </row>
    <row r="1964" spans="3:15">
      <c r="C1964" s="1861" t="s">
        <v>5753</v>
      </c>
      <c r="D1964" s="1858">
        <v>0</v>
      </c>
      <c r="E1964" s="1858">
        <v>0</v>
      </c>
      <c r="F1964" s="1859">
        <v>0</v>
      </c>
      <c r="G1964" s="1872" t="s">
        <v>5753</v>
      </c>
      <c r="H1964" s="1856">
        <v>0</v>
      </c>
      <c r="I1964" s="1856">
        <v>0</v>
      </c>
      <c r="J1964" s="1873">
        <v>0</v>
      </c>
      <c r="K1964" s="1860"/>
      <c r="L1964" s="1854">
        <v>13227050200</v>
      </c>
      <c r="M1964" s="1855">
        <v>0</v>
      </c>
      <c r="N1964" s="1855">
        <v>0</v>
      </c>
      <c r="O1964" s="1856">
        <v>0</v>
      </c>
    </row>
    <row r="1965" spans="3:15">
      <c r="C1965" s="1861" t="s">
        <v>5754</v>
      </c>
      <c r="D1965" s="1858">
        <v>0</v>
      </c>
      <c r="E1965" s="1858">
        <v>1</v>
      </c>
      <c r="F1965" s="1859">
        <v>1</v>
      </c>
      <c r="G1965" s="1872" t="s">
        <v>5754</v>
      </c>
      <c r="H1965" s="1856">
        <v>0</v>
      </c>
      <c r="I1965" s="1856">
        <v>0</v>
      </c>
      <c r="J1965" s="1873">
        <v>0</v>
      </c>
      <c r="K1965" s="1860"/>
      <c r="L1965" s="1854">
        <v>13227050300</v>
      </c>
      <c r="M1965" s="1855">
        <v>0</v>
      </c>
      <c r="N1965" s="1855">
        <v>1</v>
      </c>
      <c r="O1965" s="1856">
        <v>1</v>
      </c>
    </row>
    <row r="1966" spans="3:15">
      <c r="C1966" s="1861" t="s">
        <v>5755</v>
      </c>
      <c r="D1966" s="1858">
        <v>0</v>
      </c>
      <c r="E1966" s="1858">
        <v>0</v>
      </c>
      <c r="F1966" s="1859">
        <v>0</v>
      </c>
      <c r="G1966" s="1872" t="s">
        <v>5755</v>
      </c>
      <c r="H1966" s="1856">
        <v>0</v>
      </c>
      <c r="I1966" s="1856">
        <v>1</v>
      </c>
      <c r="J1966" s="1873">
        <v>1</v>
      </c>
      <c r="K1966" s="1860"/>
      <c r="L1966" s="1854">
        <v>13227050400</v>
      </c>
      <c r="M1966" s="1855">
        <v>0</v>
      </c>
      <c r="N1966" s="1855">
        <v>1</v>
      </c>
      <c r="O1966" s="1856">
        <v>1</v>
      </c>
    </row>
    <row r="1967" spans="3:15">
      <c r="C1967" s="1861" t="s">
        <v>5756</v>
      </c>
      <c r="D1967" s="1858">
        <v>1</v>
      </c>
      <c r="E1967" s="1858">
        <v>1</v>
      </c>
      <c r="F1967" s="1859">
        <v>2</v>
      </c>
      <c r="G1967" s="1872" t="s">
        <v>5756</v>
      </c>
      <c r="H1967" s="1856">
        <v>0</v>
      </c>
      <c r="I1967" s="1856">
        <v>0</v>
      </c>
      <c r="J1967" s="1873">
        <v>0</v>
      </c>
      <c r="K1967" s="1860"/>
      <c r="L1967" s="1854">
        <v>13227050500</v>
      </c>
      <c r="M1967" s="1855">
        <v>1</v>
      </c>
      <c r="N1967" s="1855">
        <v>1</v>
      </c>
      <c r="O1967" s="1856">
        <v>2</v>
      </c>
    </row>
    <row r="1968" spans="3:15">
      <c r="C1968" s="1861" t="s">
        <v>5757</v>
      </c>
      <c r="D1968" s="1858">
        <v>1</v>
      </c>
      <c r="E1968" s="1858">
        <v>1</v>
      </c>
      <c r="F1968" s="1859">
        <v>2</v>
      </c>
      <c r="G1968" s="1872" t="s">
        <v>5757</v>
      </c>
      <c r="H1968" s="1856">
        <v>1</v>
      </c>
      <c r="I1968" s="1856">
        <v>1</v>
      </c>
      <c r="J1968" s="1873">
        <v>2</v>
      </c>
      <c r="K1968" s="1860"/>
      <c r="L1968" s="1854">
        <v>13227050600</v>
      </c>
      <c r="M1968" s="1855">
        <v>1</v>
      </c>
      <c r="N1968" s="1855">
        <v>1</v>
      </c>
      <c r="O1968" s="1856">
        <v>2</v>
      </c>
    </row>
    <row r="1969" spans="3:15">
      <c r="C1969" s="1861" t="s">
        <v>5758</v>
      </c>
      <c r="D1969" s="1858">
        <v>0</v>
      </c>
      <c r="E1969" s="1858">
        <v>0</v>
      </c>
      <c r="F1969" s="1859">
        <v>0</v>
      </c>
      <c r="G1969" s="1872" t="s">
        <v>5758</v>
      </c>
      <c r="H1969" s="1856">
        <v>0</v>
      </c>
      <c r="I1969" s="1856">
        <v>0</v>
      </c>
      <c r="J1969" s="1873">
        <v>0</v>
      </c>
      <c r="K1969" s="1860"/>
      <c r="L1969" s="1854">
        <v>13229960100</v>
      </c>
      <c r="M1969" s="1855">
        <v>0</v>
      </c>
      <c r="N1969" s="1855">
        <v>0</v>
      </c>
      <c r="O1969" s="1856">
        <v>0</v>
      </c>
    </row>
    <row r="1970" spans="3:15">
      <c r="C1970" s="1861" t="s">
        <v>5759</v>
      </c>
      <c r="D1970" s="1858">
        <v>0</v>
      </c>
      <c r="E1970" s="1858">
        <v>0</v>
      </c>
      <c r="F1970" s="1859">
        <v>0</v>
      </c>
      <c r="G1970" s="1872" t="s">
        <v>5759</v>
      </c>
      <c r="H1970" s="1856">
        <v>0</v>
      </c>
      <c r="I1970" s="1856">
        <v>0</v>
      </c>
      <c r="J1970" s="1873">
        <v>0</v>
      </c>
      <c r="K1970" s="1860"/>
      <c r="L1970" s="1854">
        <v>13229960200</v>
      </c>
      <c r="M1970" s="1855">
        <v>0</v>
      </c>
      <c r="N1970" s="1855">
        <v>0</v>
      </c>
      <c r="O1970" s="1856">
        <v>0</v>
      </c>
    </row>
    <row r="1971" spans="3:15">
      <c r="C1971" s="1861" t="s">
        <v>5760</v>
      </c>
      <c r="D1971" s="1858">
        <v>0</v>
      </c>
      <c r="E1971" s="1858">
        <v>0</v>
      </c>
      <c r="F1971" s="1859">
        <v>0</v>
      </c>
      <c r="G1971" s="1872" t="s">
        <v>5760</v>
      </c>
      <c r="H1971" s="1856">
        <v>0</v>
      </c>
      <c r="I1971" s="1856">
        <v>0</v>
      </c>
      <c r="J1971" s="1873">
        <v>0</v>
      </c>
      <c r="K1971" s="1860"/>
      <c r="L1971" s="1854">
        <v>13229960300</v>
      </c>
      <c r="M1971" s="1855">
        <v>0</v>
      </c>
      <c r="N1971" s="1855">
        <v>0</v>
      </c>
      <c r="O1971" s="1856">
        <v>0</v>
      </c>
    </row>
    <row r="1972" spans="3:15">
      <c r="C1972" s="1861" t="s">
        <v>5761</v>
      </c>
      <c r="D1972" s="1858">
        <v>0</v>
      </c>
      <c r="E1972" s="1858">
        <v>1</v>
      </c>
      <c r="F1972" s="1859">
        <v>1</v>
      </c>
      <c r="G1972" s="1872" t="s">
        <v>5761</v>
      </c>
      <c r="H1972" s="1856">
        <v>0</v>
      </c>
      <c r="I1972" s="1856">
        <v>0</v>
      </c>
      <c r="J1972" s="1873">
        <v>0</v>
      </c>
      <c r="K1972" s="1860"/>
      <c r="L1972" s="1854">
        <v>13229960400</v>
      </c>
      <c r="M1972" s="1855">
        <v>0</v>
      </c>
      <c r="N1972" s="1855">
        <v>1</v>
      </c>
      <c r="O1972" s="1856">
        <v>1</v>
      </c>
    </row>
    <row r="1973" spans="3:15">
      <c r="C1973" s="1861" t="s">
        <v>5762</v>
      </c>
      <c r="D1973" s="1858">
        <v>0</v>
      </c>
      <c r="E1973" s="1858">
        <v>1</v>
      </c>
      <c r="F1973" s="1859">
        <v>1</v>
      </c>
      <c r="G1973" s="1872" t="s">
        <v>5762</v>
      </c>
      <c r="H1973" s="1856">
        <v>0</v>
      </c>
      <c r="I1973" s="1856">
        <v>1</v>
      </c>
      <c r="J1973" s="1873">
        <v>1</v>
      </c>
      <c r="K1973" s="1860"/>
      <c r="L1973" s="1854">
        <v>13231010100</v>
      </c>
      <c r="M1973" s="1855">
        <v>0</v>
      </c>
      <c r="N1973" s="1855">
        <v>1</v>
      </c>
      <c r="O1973" s="1856">
        <v>1</v>
      </c>
    </row>
    <row r="1974" spans="3:15">
      <c r="C1974" s="1861" t="s">
        <v>5763</v>
      </c>
      <c r="D1974" s="1858">
        <v>1</v>
      </c>
      <c r="E1974" s="1858">
        <v>1</v>
      </c>
      <c r="F1974" s="1859">
        <v>2</v>
      </c>
      <c r="G1974" s="1872" t="s">
        <v>5763</v>
      </c>
      <c r="H1974" s="1856">
        <v>1</v>
      </c>
      <c r="I1974" s="1856">
        <v>1</v>
      </c>
      <c r="J1974" s="1873">
        <v>2</v>
      </c>
      <c r="K1974" s="1860"/>
      <c r="L1974" s="1854">
        <v>13231010200</v>
      </c>
      <c r="M1974" s="1855">
        <v>1</v>
      </c>
      <c r="N1974" s="1855">
        <v>1</v>
      </c>
      <c r="O1974" s="1856">
        <v>2</v>
      </c>
    </row>
    <row r="1975" spans="3:15">
      <c r="C1975" s="1861" t="s">
        <v>5764</v>
      </c>
      <c r="D1975" s="1858">
        <v>0</v>
      </c>
      <c r="E1975" s="1858">
        <v>1</v>
      </c>
      <c r="F1975" s="1859">
        <v>1</v>
      </c>
      <c r="G1975" s="1872" t="s">
        <v>5764</v>
      </c>
      <c r="H1975" s="1856">
        <v>0</v>
      </c>
      <c r="I1975" s="1856">
        <v>0</v>
      </c>
      <c r="J1975" s="1873">
        <v>0</v>
      </c>
      <c r="K1975" s="1860"/>
      <c r="L1975" s="1854">
        <v>13231010300</v>
      </c>
      <c r="M1975" s="1855">
        <v>0</v>
      </c>
      <c r="N1975" s="1855">
        <v>1</v>
      </c>
      <c r="O1975" s="1856">
        <v>1</v>
      </c>
    </row>
    <row r="1976" spans="3:15">
      <c r="C1976" s="1861" t="s">
        <v>5765</v>
      </c>
      <c r="D1976" s="1858">
        <v>0</v>
      </c>
      <c r="E1976" s="1858">
        <v>1</v>
      </c>
      <c r="F1976" s="1859">
        <v>1</v>
      </c>
      <c r="G1976" s="1872" t="s">
        <v>5765</v>
      </c>
      <c r="H1976" s="1856">
        <v>0</v>
      </c>
      <c r="I1976" s="1856">
        <v>0</v>
      </c>
      <c r="J1976" s="1873">
        <v>0</v>
      </c>
      <c r="K1976" s="1860"/>
      <c r="L1976" s="1854">
        <v>13231010400</v>
      </c>
      <c r="M1976" s="1855">
        <v>0</v>
      </c>
      <c r="N1976" s="1855">
        <v>1</v>
      </c>
      <c r="O1976" s="1856">
        <v>1</v>
      </c>
    </row>
    <row r="1977" spans="3:15">
      <c r="C1977" s="1861" t="s">
        <v>5766</v>
      </c>
      <c r="D1977" s="1858">
        <v>0</v>
      </c>
      <c r="E1977" s="1858">
        <v>0</v>
      </c>
      <c r="F1977" s="1859">
        <v>0</v>
      </c>
      <c r="G1977" s="1872" t="s">
        <v>5766</v>
      </c>
      <c r="H1977" s="1856">
        <v>0</v>
      </c>
      <c r="I1977" s="1856">
        <v>0</v>
      </c>
      <c r="J1977" s="1873">
        <v>0</v>
      </c>
      <c r="K1977" s="1860"/>
      <c r="L1977" s="1854">
        <v>13233010100</v>
      </c>
      <c r="M1977" s="1855">
        <v>0</v>
      </c>
      <c r="N1977" s="1855">
        <v>0</v>
      </c>
      <c r="O1977" s="1856">
        <v>0</v>
      </c>
    </row>
    <row r="1978" spans="3:15">
      <c r="C1978" s="1861" t="s">
        <v>5767</v>
      </c>
      <c r="D1978" s="1858">
        <v>0</v>
      </c>
      <c r="E1978" s="1858">
        <v>0</v>
      </c>
      <c r="F1978" s="1859">
        <v>0</v>
      </c>
      <c r="G1978" s="1872" t="s">
        <v>5767</v>
      </c>
      <c r="H1978" s="1856">
        <v>0</v>
      </c>
      <c r="I1978" s="1856">
        <v>1</v>
      </c>
      <c r="J1978" s="1873">
        <v>1</v>
      </c>
      <c r="K1978" s="1860"/>
      <c r="L1978" s="1854">
        <v>13233010200</v>
      </c>
      <c r="M1978" s="1855">
        <v>0</v>
      </c>
      <c r="N1978" s="1855">
        <v>1</v>
      </c>
      <c r="O1978" s="1856">
        <v>1</v>
      </c>
    </row>
    <row r="1979" spans="3:15">
      <c r="C1979" s="1861" t="s">
        <v>5768</v>
      </c>
      <c r="D1979" s="1858">
        <v>0</v>
      </c>
      <c r="E1979" s="1858">
        <v>0</v>
      </c>
      <c r="F1979" s="1859">
        <v>0</v>
      </c>
      <c r="G1979" s="1872" t="s">
        <v>5768</v>
      </c>
      <c r="H1979" s="1856">
        <v>0</v>
      </c>
      <c r="I1979" s="1856">
        <v>0</v>
      </c>
      <c r="J1979" s="1873">
        <v>0</v>
      </c>
      <c r="K1979" s="1860"/>
      <c r="L1979" s="1854">
        <v>13233010300</v>
      </c>
      <c r="M1979" s="1855">
        <v>0</v>
      </c>
      <c r="N1979" s="1855">
        <v>0</v>
      </c>
      <c r="O1979" s="1856">
        <v>0</v>
      </c>
    </row>
    <row r="1980" spans="3:15">
      <c r="C1980" s="1861" t="s">
        <v>5769</v>
      </c>
      <c r="D1980" s="1858">
        <v>0</v>
      </c>
      <c r="E1980" s="1858">
        <v>0</v>
      </c>
      <c r="F1980" s="1859">
        <v>0</v>
      </c>
      <c r="G1980" s="1872" t="s">
        <v>5769</v>
      </c>
      <c r="H1980" s="1856">
        <v>0</v>
      </c>
      <c r="I1980" s="1856">
        <v>0</v>
      </c>
      <c r="J1980" s="1873">
        <v>0</v>
      </c>
      <c r="K1980" s="1860"/>
      <c r="L1980" s="1854">
        <v>13233010400</v>
      </c>
      <c r="M1980" s="1855">
        <v>0</v>
      </c>
      <c r="N1980" s="1855">
        <v>0</v>
      </c>
      <c r="O1980" s="1856">
        <v>0</v>
      </c>
    </row>
    <row r="1981" spans="3:15">
      <c r="C1981" s="1861" t="s">
        <v>5770</v>
      </c>
      <c r="D1981" s="1858">
        <v>0</v>
      </c>
      <c r="E1981" s="1858">
        <v>0</v>
      </c>
      <c r="F1981" s="1859">
        <v>0</v>
      </c>
      <c r="G1981" s="1872" t="s">
        <v>5770</v>
      </c>
      <c r="H1981" s="1856">
        <v>0</v>
      </c>
      <c r="I1981" s="1856">
        <v>0</v>
      </c>
      <c r="J1981" s="1873">
        <v>0</v>
      </c>
      <c r="K1981" s="1860"/>
      <c r="L1981" s="1854">
        <v>13233010500</v>
      </c>
      <c r="M1981" s="1855">
        <v>0</v>
      </c>
      <c r="N1981" s="1855">
        <v>0</v>
      </c>
      <c r="O1981" s="1856">
        <v>0</v>
      </c>
    </row>
    <row r="1982" spans="3:15">
      <c r="C1982" s="1861" t="s">
        <v>5771</v>
      </c>
      <c r="D1982" s="1858">
        <v>0</v>
      </c>
      <c r="E1982" s="1858">
        <v>0</v>
      </c>
      <c r="F1982" s="1859">
        <v>0</v>
      </c>
      <c r="G1982" s="1872" t="s">
        <v>5771</v>
      </c>
      <c r="H1982" s="1856">
        <v>0</v>
      </c>
      <c r="I1982" s="1856">
        <v>1</v>
      </c>
      <c r="J1982" s="1873">
        <v>1</v>
      </c>
      <c r="K1982" s="1860"/>
      <c r="L1982" s="1854">
        <v>13233010600</v>
      </c>
      <c r="M1982" s="1855">
        <v>0</v>
      </c>
      <c r="N1982" s="1855">
        <v>1</v>
      </c>
      <c r="O1982" s="1856">
        <v>1</v>
      </c>
    </row>
    <row r="1983" spans="3:15">
      <c r="C1983" s="1861" t="s">
        <v>5772</v>
      </c>
      <c r="D1983" s="1858">
        <v>0</v>
      </c>
      <c r="E1983" s="1858">
        <v>0</v>
      </c>
      <c r="F1983" s="1859">
        <v>0</v>
      </c>
      <c r="G1983" s="1872" t="s">
        <v>5772</v>
      </c>
      <c r="H1983" s="1856">
        <v>0</v>
      </c>
      <c r="I1983" s="1856">
        <v>0</v>
      </c>
      <c r="J1983" s="1873">
        <v>0</v>
      </c>
      <c r="K1983" s="1860"/>
      <c r="L1983" s="1854">
        <v>13233010700</v>
      </c>
      <c r="M1983" s="1855">
        <v>0</v>
      </c>
      <c r="N1983" s="1855">
        <v>0</v>
      </c>
      <c r="O1983" s="1856">
        <v>0</v>
      </c>
    </row>
    <row r="1984" spans="3:15">
      <c r="C1984" s="1861" t="s">
        <v>5773</v>
      </c>
      <c r="D1984" s="1858">
        <v>0</v>
      </c>
      <c r="E1984" s="1858">
        <v>0</v>
      </c>
      <c r="F1984" s="1859">
        <v>0</v>
      </c>
      <c r="G1984" s="1872" t="s">
        <v>5773</v>
      </c>
      <c r="H1984" s="1856">
        <v>0</v>
      </c>
      <c r="I1984" s="1856">
        <v>0</v>
      </c>
      <c r="J1984" s="1873">
        <v>0</v>
      </c>
      <c r="K1984" s="1860"/>
      <c r="L1984" s="1854">
        <v>13235950100</v>
      </c>
      <c r="M1984" s="1855">
        <v>0</v>
      </c>
      <c r="N1984" s="1855">
        <v>0</v>
      </c>
      <c r="O1984" s="1856">
        <v>0</v>
      </c>
    </row>
    <row r="1985" spans="3:15">
      <c r="C1985" s="1861" t="s">
        <v>5774</v>
      </c>
      <c r="D1985" s="1858">
        <v>0</v>
      </c>
      <c r="E1985" s="1858">
        <v>0</v>
      </c>
      <c r="F1985" s="1859">
        <v>0</v>
      </c>
      <c r="G1985" s="1872" t="s">
        <v>5774</v>
      </c>
      <c r="H1985" s="1856">
        <v>0</v>
      </c>
      <c r="I1985" s="1856">
        <v>1</v>
      </c>
      <c r="J1985" s="1873">
        <v>1</v>
      </c>
      <c r="K1985" s="1860"/>
      <c r="L1985" s="1854">
        <v>13235950200</v>
      </c>
      <c r="M1985" s="1855">
        <v>0</v>
      </c>
      <c r="N1985" s="1855">
        <v>1</v>
      </c>
      <c r="O1985" s="1856">
        <v>1</v>
      </c>
    </row>
    <row r="1986" spans="3:15">
      <c r="C1986" s="1861" t="s">
        <v>5775</v>
      </c>
      <c r="D1986" s="1858">
        <v>0</v>
      </c>
      <c r="E1986" s="1858">
        <v>0</v>
      </c>
      <c r="F1986" s="1859">
        <v>0</v>
      </c>
      <c r="G1986" s="1872" t="s">
        <v>5775</v>
      </c>
      <c r="H1986" s="1856">
        <v>0</v>
      </c>
      <c r="I1986" s="1856">
        <v>0</v>
      </c>
      <c r="J1986" s="1873">
        <v>0</v>
      </c>
      <c r="K1986" s="1860"/>
      <c r="L1986" s="1854">
        <v>13235950300</v>
      </c>
      <c r="M1986" s="1855">
        <v>0</v>
      </c>
      <c r="N1986" s="1855">
        <v>0</v>
      </c>
      <c r="O1986" s="1856">
        <v>0</v>
      </c>
    </row>
    <row r="1987" spans="3:15">
      <c r="C1987" s="1861" t="s">
        <v>5776</v>
      </c>
      <c r="D1987" s="1858">
        <v>0</v>
      </c>
      <c r="E1987" s="1858">
        <v>0</v>
      </c>
      <c r="F1987" s="1859">
        <v>0</v>
      </c>
      <c r="G1987" s="1872" t="s">
        <v>5776</v>
      </c>
      <c r="H1987" s="1856">
        <v>0</v>
      </c>
      <c r="I1987" s="1856">
        <v>1</v>
      </c>
      <c r="J1987" s="1873">
        <v>1</v>
      </c>
      <c r="K1987" s="1860"/>
      <c r="L1987" s="1854">
        <v>13237960101</v>
      </c>
      <c r="M1987" s="1855">
        <v>0</v>
      </c>
      <c r="N1987" s="1855">
        <v>1</v>
      </c>
      <c r="O1987" s="1856">
        <v>1</v>
      </c>
    </row>
    <row r="1988" spans="3:15">
      <c r="C1988" s="1861" t="s">
        <v>5777</v>
      </c>
      <c r="D1988" s="1858">
        <v>1</v>
      </c>
      <c r="E1988" s="1858">
        <v>1</v>
      </c>
      <c r="F1988" s="1859">
        <v>2</v>
      </c>
      <c r="G1988" s="1872" t="s">
        <v>5777</v>
      </c>
      <c r="H1988" s="1856">
        <v>1</v>
      </c>
      <c r="I1988" s="1856" t="s">
        <v>3908</v>
      </c>
      <c r="J1988" s="1873">
        <v>1</v>
      </c>
      <c r="K1988" s="1860"/>
      <c r="L1988" s="1854">
        <v>13237960102</v>
      </c>
      <c r="M1988" s="1855">
        <v>1</v>
      </c>
      <c r="N1988" s="1855">
        <v>1</v>
      </c>
      <c r="O1988" s="1856">
        <v>2</v>
      </c>
    </row>
    <row r="1989" spans="3:15">
      <c r="C1989" s="1861" t="s">
        <v>5778</v>
      </c>
      <c r="D1989" s="1858">
        <v>0</v>
      </c>
      <c r="E1989" s="1858">
        <v>0</v>
      </c>
      <c r="F1989" s="1859">
        <v>0</v>
      </c>
      <c r="G1989" s="1872" t="s">
        <v>5778</v>
      </c>
      <c r="H1989" s="1856">
        <v>0</v>
      </c>
      <c r="I1989" s="1856" t="s">
        <v>3908</v>
      </c>
      <c r="J1989" s="1873">
        <v>0</v>
      </c>
      <c r="K1989" s="1860"/>
      <c r="L1989" s="1854">
        <v>13237960201</v>
      </c>
      <c r="M1989" s="1855">
        <v>0</v>
      </c>
      <c r="N1989" s="1855">
        <v>0</v>
      </c>
      <c r="O1989" s="1856">
        <v>0</v>
      </c>
    </row>
    <row r="1990" spans="3:15">
      <c r="C1990" s="1861" t="s">
        <v>5779</v>
      </c>
      <c r="D1990" s="1858">
        <v>0</v>
      </c>
      <c r="E1990" s="1858">
        <v>0</v>
      </c>
      <c r="F1990" s="1859">
        <v>0</v>
      </c>
      <c r="G1990" s="1872" t="s">
        <v>5779</v>
      </c>
      <c r="H1990" s="1856">
        <v>0</v>
      </c>
      <c r="I1990" s="1856">
        <v>0</v>
      </c>
      <c r="J1990" s="1873">
        <v>0</v>
      </c>
      <c r="K1990" s="1860"/>
      <c r="L1990" s="1854">
        <v>13237960202</v>
      </c>
      <c r="M1990" s="1855">
        <v>0</v>
      </c>
      <c r="N1990" s="1855">
        <v>0</v>
      </c>
      <c r="O1990" s="1856">
        <v>0</v>
      </c>
    </row>
    <row r="1991" spans="3:15">
      <c r="C1991" s="1861" t="s">
        <v>5780</v>
      </c>
      <c r="D1991" s="1858">
        <v>0</v>
      </c>
      <c r="E1991" s="1858">
        <v>1</v>
      </c>
      <c r="F1991" s="1859">
        <v>1</v>
      </c>
      <c r="G1991" s="1872" t="s">
        <v>5780</v>
      </c>
      <c r="H1991" s="1856">
        <v>0</v>
      </c>
      <c r="I1991" s="1856">
        <v>0</v>
      </c>
      <c r="J1991" s="1873">
        <v>0</v>
      </c>
      <c r="K1991" s="1860"/>
      <c r="L1991" s="1854">
        <v>13237960300</v>
      </c>
      <c r="M1991" s="1855">
        <v>0</v>
      </c>
      <c r="N1991" s="1855">
        <v>1</v>
      </c>
      <c r="O1991" s="1856">
        <v>1</v>
      </c>
    </row>
    <row r="1992" spans="3:15">
      <c r="C1992" s="1861" t="s">
        <v>5781</v>
      </c>
      <c r="D1992" s="1858">
        <v>0</v>
      </c>
      <c r="E1992" s="1858">
        <v>0</v>
      </c>
      <c r="F1992" s="1859">
        <v>0</v>
      </c>
      <c r="G1992" s="1872" t="s">
        <v>5781</v>
      </c>
      <c r="H1992" s="1856">
        <v>0</v>
      </c>
      <c r="I1992" s="1856">
        <v>0</v>
      </c>
      <c r="J1992" s="1873">
        <v>0</v>
      </c>
      <c r="K1992" s="1860"/>
      <c r="L1992" s="1854">
        <v>13239960300</v>
      </c>
      <c r="M1992" s="1855">
        <v>0</v>
      </c>
      <c r="N1992" s="1855">
        <v>0</v>
      </c>
      <c r="O1992" s="1856">
        <v>0</v>
      </c>
    </row>
    <row r="1993" spans="3:15">
      <c r="C1993" s="1861" t="s">
        <v>5782</v>
      </c>
      <c r="D1993" s="1858">
        <v>0</v>
      </c>
      <c r="E1993" s="1858">
        <v>0</v>
      </c>
      <c r="F1993" s="1859">
        <v>0</v>
      </c>
      <c r="G1993" s="1872" t="s">
        <v>5782</v>
      </c>
      <c r="H1993" s="1856">
        <v>0</v>
      </c>
      <c r="I1993" s="1856">
        <v>1</v>
      </c>
      <c r="J1993" s="1873">
        <v>1</v>
      </c>
      <c r="K1993" s="1860"/>
      <c r="L1993" s="1854">
        <v>13241970100</v>
      </c>
      <c r="M1993" s="1855">
        <v>0</v>
      </c>
      <c r="N1993" s="1855">
        <v>1</v>
      </c>
      <c r="O1993" s="1856">
        <v>1</v>
      </c>
    </row>
    <row r="1994" spans="3:15">
      <c r="C1994" s="1861" t="s">
        <v>5783</v>
      </c>
      <c r="D1994" s="1858">
        <v>0</v>
      </c>
      <c r="E1994" s="1858">
        <v>0</v>
      </c>
      <c r="F1994" s="1859">
        <v>0</v>
      </c>
      <c r="G1994" s="1872" t="s">
        <v>5783</v>
      </c>
      <c r="H1994" s="1856">
        <v>0</v>
      </c>
      <c r="I1994" s="1856">
        <v>0</v>
      </c>
      <c r="J1994" s="1873">
        <v>0</v>
      </c>
      <c r="K1994" s="1860"/>
      <c r="L1994" s="1854">
        <v>13241970201</v>
      </c>
      <c r="M1994" s="1855">
        <v>0</v>
      </c>
      <c r="N1994" s="1855">
        <v>0</v>
      </c>
      <c r="O1994" s="1856">
        <v>0</v>
      </c>
    </row>
    <row r="1995" spans="3:15">
      <c r="C1995" s="1861" t="s">
        <v>5784</v>
      </c>
      <c r="D1995" s="1858">
        <v>0</v>
      </c>
      <c r="E1995" s="1858">
        <v>0</v>
      </c>
      <c r="F1995" s="1859">
        <v>0</v>
      </c>
      <c r="G1995" s="1872" t="s">
        <v>5784</v>
      </c>
      <c r="H1995" s="1856">
        <v>0</v>
      </c>
      <c r="I1995" s="1856">
        <v>0</v>
      </c>
      <c r="J1995" s="1873">
        <v>0</v>
      </c>
      <c r="K1995" s="1860"/>
      <c r="L1995" s="1854">
        <v>13241970202</v>
      </c>
      <c r="M1995" s="1855">
        <v>0</v>
      </c>
      <c r="N1995" s="1855">
        <v>0</v>
      </c>
      <c r="O1995" s="1856">
        <v>0</v>
      </c>
    </row>
    <row r="1996" spans="3:15">
      <c r="C1996" s="1861" t="s">
        <v>5785</v>
      </c>
      <c r="D1996" s="1858">
        <v>0</v>
      </c>
      <c r="E1996" s="1858">
        <v>0</v>
      </c>
      <c r="F1996" s="1859">
        <v>0</v>
      </c>
      <c r="G1996" s="1872" t="s">
        <v>5785</v>
      </c>
      <c r="H1996" s="1856">
        <v>0</v>
      </c>
      <c r="I1996" s="1856">
        <v>1</v>
      </c>
      <c r="J1996" s="1873">
        <v>1</v>
      </c>
      <c r="K1996" s="1860"/>
      <c r="L1996" s="1854">
        <v>13241970301</v>
      </c>
      <c r="M1996" s="1855">
        <v>0</v>
      </c>
      <c r="N1996" s="1855">
        <v>1</v>
      </c>
      <c r="O1996" s="1856">
        <v>1</v>
      </c>
    </row>
    <row r="1997" spans="3:15">
      <c r="C1997" s="1861" t="s">
        <v>5786</v>
      </c>
      <c r="D1997" s="1858">
        <v>0</v>
      </c>
      <c r="E1997" s="1858">
        <v>0</v>
      </c>
      <c r="F1997" s="1859">
        <v>0</v>
      </c>
      <c r="G1997" s="1872" t="s">
        <v>5786</v>
      </c>
      <c r="H1997" s="1856">
        <v>0</v>
      </c>
      <c r="I1997" s="1856">
        <v>0</v>
      </c>
      <c r="J1997" s="1873">
        <v>0</v>
      </c>
      <c r="K1997" s="1860"/>
      <c r="L1997" s="1854">
        <v>13241970302</v>
      </c>
      <c r="M1997" s="1855">
        <v>0</v>
      </c>
      <c r="N1997" s="1855">
        <v>0</v>
      </c>
      <c r="O1997" s="1856">
        <v>0</v>
      </c>
    </row>
    <row r="1998" spans="3:15">
      <c r="C1998" s="1861" t="s">
        <v>5787</v>
      </c>
      <c r="D1998" s="1858">
        <v>0</v>
      </c>
      <c r="E1998" s="1858">
        <v>0</v>
      </c>
      <c r="F1998" s="1859">
        <v>0</v>
      </c>
      <c r="G1998" s="1872" t="s">
        <v>5787</v>
      </c>
      <c r="H1998" s="1856">
        <v>0</v>
      </c>
      <c r="I1998" s="1856">
        <v>0</v>
      </c>
      <c r="J1998" s="1873">
        <v>0</v>
      </c>
      <c r="K1998" s="1860"/>
      <c r="L1998" s="1854">
        <v>13243790100</v>
      </c>
      <c r="M1998" s="1855">
        <v>0</v>
      </c>
      <c r="N1998" s="1855">
        <v>0</v>
      </c>
      <c r="O1998" s="1856">
        <v>0</v>
      </c>
    </row>
    <row r="1999" spans="3:15">
      <c r="C1999" s="1861" t="s">
        <v>5788</v>
      </c>
      <c r="D1999" s="1858">
        <v>0</v>
      </c>
      <c r="E1999" s="1858">
        <v>0</v>
      </c>
      <c r="F1999" s="1859">
        <v>0</v>
      </c>
      <c r="G1999" s="1872" t="s">
        <v>5788</v>
      </c>
      <c r="H1999" s="1856">
        <v>0</v>
      </c>
      <c r="I1999" s="1856">
        <v>0</v>
      </c>
      <c r="J1999" s="1873">
        <v>0</v>
      </c>
      <c r="K1999" s="1860"/>
      <c r="L1999" s="1854">
        <v>13243790200</v>
      </c>
      <c r="M1999" s="1855">
        <v>0</v>
      </c>
      <c r="N1999" s="1855">
        <v>0</v>
      </c>
      <c r="O1999" s="1856">
        <v>0</v>
      </c>
    </row>
    <row r="2000" spans="3:15">
      <c r="C2000" s="1861" t="s">
        <v>5789</v>
      </c>
      <c r="D2000" s="1858">
        <v>0</v>
      </c>
      <c r="E2000" s="1858">
        <v>0</v>
      </c>
      <c r="F2000" s="1859">
        <v>0</v>
      </c>
      <c r="G2000" s="1872" t="s">
        <v>5789</v>
      </c>
      <c r="H2000" s="1856">
        <v>0</v>
      </c>
      <c r="I2000" s="1856">
        <v>0</v>
      </c>
      <c r="J2000" s="1873">
        <v>0</v>
      </c>
      <c r="K2000" s="1860"/>
      <c r="L2000" s="1854">
        <v>13245000100</v>
      </c>
      <c r="M2000" s="1855">
        <v>0</v>
      </c>
      <c r="N2000" s="1855">
        <v>0</v>
      </c>
      <c r="O2000" s="1856">
        <v>0</v>
      </c>
    </row>
    <row r="2001" spans="3:15">
      <c r="C2001" s="1861" t="s">
        <v>5790</v>
      </c>
      <c r="D2001" s="1858">
        <v>0</v>
      </c>
      <c r="E2001" s="1858">
        <v>0</v>
      </c>
      <c r="F2001" s="1859">
        <v>0</v>
      </c>
      <c r="G2001" s="1872" t="s">
        <v>5790</v>
      </c>
      <c r="H2001" s="1856">
        <v>0</v>
      </c>
      <c r="I2001" s="1856">
        <v>0</v>
      </c>
      <c r="J2001" s="1873">
        <v>0</v>
      </c>
      <c r="K2001" s="1860"/>
      <c r="L2001" s="1854">
        <v>13245000200</v>
      </c>
      <c r="M2001" s="1855">
        <v>0</v>
      </c>
      <c r="N2001" s="1855">
        <v>0</v>
      </c>
      <c r="O2001" s="1856">
        <v>0</v>
      </c>
    </row>
    <row r="2002" spans="3:15">
      <c r="C2002" s="1861" t="s">
        <v>5791</v>
      </c>
      <c r="D2002" s="1858">
        <v>0</v>
      </c>
      <c r="E2002" s="1858">
        <v>0</v>
      </c>
      <c r="F2002" s="1859">
        <v>0</v>
      </c>
      <c r="G2002" s="1872" t="s">
        <v>5791</v>
      </c>
      <c r="H2002" s="1856">
        <v>0</v>
      </c>
      <c r="I2002" s="1856">
        <v>0</v>
      </c>
      <c r="J2002" s="1873">
        <v>0</v>
      </c>
      <c r="K2002" s="1860"/>
      <c r="L2002" s="1854">
        <v>13245000300</v>
      </c>
      <c r="M2002" s="1855">
        <v>0</v>
      </c>
      <c r="N2002" s="1855">
        <v>0</v>
      </c>
      <c r="O2002" s="1856">
        <v>0</v>
      </c>
    </row>
    <row r="2003" spans="3:15">
      <c r="C2003" s="1861" t="s">
        <v>5792</v>
      </c>
      <c r="D2003" s="1858">
        <v>0</v>
      </c>
      <c r="E2003" s="1858">
        <v>0</v>
      </c>
      <c r="F2003" s="1859">
        <v>0</v>
      </c>
      <c r="G2003" s="1872" t="s">
        <v>5792</v>
      </c>
      <c r="H2003" s="1856">
        <v>0</v>
      </c>
      <c r="I2003" s="1856" t="s">
        <v>3908</v>
      </c>
      <c r="J2003" s="1873">
        <v>0</v>
      </c>
      <c r="K2003" s="1860"/>
      <c r="L2003" s="1854">
        <v>13245000600</v>
      </c>
      <c r="M2003" s="1855">
        <v>0</v>
      </c>
      <c r="N2003" s="1855">
        <v>0</v>
      </c>
      <c r="O2003" s="1856">
        <v>0</v>
      </c>
    </row>
    <row r="2004" spans="3:15">
      <c r="C2004" s="1861" t="s">
        <v>5793</v>
      </c>
      <c r="D2004" s="1858">
        <v>0</v>
      </c>
      <c r="E2004" s="1858">
        <v>0</v>
      </c>
      <c r="F2004" s="1859">
        <v>0</v>
      </c>
      <c r="G2004" s="1872" t="s">
        <v>5793</v>
      </c>
      <c r="H2004" s="1856">
        <v>0</v>
      </c>
      <c r="I2004" s="1856">
        <v>0</v>
      </c>
      <c r="J2004" s="1873">
        <v>0</v>
      </c>
      <c r="K2004" s="1860"/>
      <c r="L2004" s="1854">
        <v>13245000700</v>
      </c>
      <c r="M2004" s="1855">
        <v>0</v>
      </c>
      <c r="N2004" s="1855">
        <v>0</v>
      </c>
      <c r="O2004" s="1856">
        <v>0</v>
      </c>
    </row>
    <row r="2005" spans="3:15">
      <c r="C2005" s="1861" t="s">
        <v>5794</v>
      </c>
      <c r="D2005" s="1858">
        <v>0</v>
      </c>
      <c r="E2005" s="1858">
        <v>0</v>
      </c>
      <c r="F2005" s="1859">
        <v>0</v>
      </c>
      <c r="G2005" s="1872" t="s">
        <v>5794</v>
      </c>
      <c r="H2005" s="1856">
        <v>0</v>
      </c>
      <c r="I2005" s="1856">
        <v>0</v>
      </c>
      <c r="J2005" s="1873">
        <v>0</v>
      </c>
      <c r="K2005" s="1860"/>
      <c r="L2005" s="1854">
        <v>13245000900</v>
      </c>
      <c r="M2005" s="1855">
        <v>0</v>
      </c>
      <c r="N2005" s="1855">
        <v>0</v>
      </c>
      <c r="O2005" s="1856">
        <v>0</v>
      </c>
    </row>
    <row r="2006" spans="3:15">
      <c r="C2006" s="1861" t="s">
        <v>5795</v>
      </c>
      <c r="D2006" s="1858">
        <v>0</v>
      </c>
      <c r="E2006" s="1858">
        <v>0</v>
      </c>
      <c r="F2006" s="1859">
        <v>0</v>
      </c>
      <c r="G2006" s="1872" t="s">
        <v>5795</v>
      </c>
      <c r="H2006" s="1856">
        <v>0</v>
      </c>
      <c r="I2006" s="1856">
        <v>0</v>
      </c>
      <c r="J2006" s="1873">
        <v>0</v>
      </c>
      <c r="K2006" s="1860"/>
      <c r="L2006" s="1854">
        <v>13245001000</v>
      </c>
      <c r="M2006" s="1855">
        <v>0</v>
      </c>
      <c r="N2006" s="1855">
        <v>0</v>
      </c>
      <c r="O2006" s="1856">
        <v>0</v>
      </c>
    </row>
    <row r="2007" spans="3:15">
      <c r="C2007" s="1861" t="s">
        <v>5796</v>
      </c>
      <c r="D2007" s="1858">
        <v>1</v>
      </c>
      <c r="E2007" s="1858">
        <v>1</v>
      </c>
      <c r="F2007" s="1859">
        <v>2</v>
      </c>
      <c r="G2007" s="1872" t="s">
        <v>5796</v>
      </c>
      <c r="H2007" s="1856">
        <v>1</v>
      </c>
      <c r="I2007" s="1856" t="s">
        <v>3908</v>
      </c>
      <c r="J2007" s="1873">
        <v>1</v>
      </c>
      <c r="K2007" s="1860"/>
      <c r="L2007" s="1854">
        <v>13245001100</v>
      </c>
      <c r="M2007" s="1855">
        <v>1</v>
      </c>
      <c r="N2007" s="1855">
        <v>1</v>
      </c>
      <c r="O2007" s="1856">
        <v>2</v>
      </c>
    </row>
    <row r="2008" spans="3:15">
      <c r="C2008" s="1861" t="s">
        <v>5797</v>
      </c>
      <c r="D2008" s="1858">
        <v>0</v>
      </c>
      <c r="E2008" s="1858">
        <v>0</v>
      </c>
      <c r="F2008" s="1859">
        <v>0</v>
      </c>
      <c r="G2008" s="1872" t="s">
        <v>5797</v>
      </c>
      <c r="H2008" s="1856">
        <v>0</v>
      </c>
      <c r="I2008" s="1856">
        <v>0</v>
      </c>
      <c r="J2008" s="1873">
        <v>0</v>
      </c>
      <c r="K2008" s="1860"/>
      <c r="L2008" s="1854">
        <v>13245001200</v>
      </c>
      <c r="M2008" s="1855">
        <v>0</v>
      </c>
      <c r="N2008" s="1855">
        <v>0</v>
      </c>
      <c r="O2008" s="1856">
        <v>0</v>
      </c>
    </row>
    <row r="2009" spans="3:15">
      <c r="C2009" s="1861" t="s">
        <v>5798</v>
      </c>
      <c r="D2009" s="1858">
        <v>0</v>
      </c>
      <c r="E2009" s="1858">
        <v>0</v>
      </c>
      <c r="F2009" s="1859">
        <v>0</v>
      </c>
      <c r="G2009" s="1872" t="s">
        <v>5798</v>
      </c>
      <c r="H2009" s="1856">
        <v>0</v>
      </c>
      <c r="I2009" s="1856">
        <v>0</v>
      </c>
      <c r="J2009" s="1873">
        <v>0</v>
      </c>
      <c r="K2009" s="1860"/>
      <c r="L2009" s="1854">
        <v>13245001300</v>
      </c>
      <c r="M2009" s="1855">
        <v>0</v>
      </c>
      <c r="N2009" s="1855">
        <v>0</v>
      </c>
      <c r="O2009" s="1856">
        <v>0</v>
      </c>
    </row>
    <row r="2010" spans="3:15">
      <c r="C2010" s="1861" t="s">
        <v>5799</v>
      </c>
      <c r="D2010" s="1858">
        <v>0</v>
      </c>
      <c r="E2010" s="1858">
        <v>0</v>
      </c>
      <c r="F2010" s="1859">
        <v>0</v>
      </c>
      <c r="G2010" s="1872" t="s">
        <v>5799</v>
      </c>
      <c r="H2010" s="1856">
        <v>0</v>
      </c>
      <c r="I2010" s="1856">
        <v>0</v>
      </c>
      <c r="J2010" s="1873">
        <v>0</v>
      </c>
      <c r="K2010" s="1860"/>
      <c r="L2010" s="1854">
        <v>13245001400</v>
      </c>
      <c r="M2010" s="1855">
        <v>0</v>
      </c>
      <c r="N2010" s="1855">
        <v>0</v>
      </c>
      <c r="O2010" s="1856">
        <v>0</v>
      </c>
    </row>
    <row r="2011" spans="3:15">
      <c r="C2011" s="1861" t="s">
        <v>5800</v>
      </c>
      <c r="D2011" s="1858">
        <v>0</v>
      </c>
      <c r="E2011" s="1858">
        <v>0</v>
      </c>
      <c r="F2011" s="1859">
        <v>0</v>
      </c>
      <c r="G2011" s="1872" t="s">
        <v>5800</v>
      </c>
      <c r="H2011" s="1856">
        <v>0</v>
      </c>
      <c r="I2011" s="1856" t="s">
        <v>3908</v>
      </c>
      <c r="J2011" s="1873">
        <v>0</v>
      </c>
      <c r="K2011" s="1860"/>
      <c r="L2011" s="1854">
        <v>13245001500</v>
      </c>
      <c r="M2011" s="1855">
        <v>0</v>
      </c>
      <c r="N2011" s="1855">
        <v>0</v>
      </c>
      <c r="O2011" s="1856">
        <v>0</v>
      </c>
    </row>
    <row r="2012" spans="3:15">
      <c r="C2012" s="1861" t="s">
        <v>5801</v>
      </c>
      <c r="D2012" s="1858">
        <v>0</v>
      </c>
      <c r="E2012" s="1858">
        <v>0</v>
      </c>
      <c r="F2012" s="1859">
        <v>0</v>
      </c>
      <c r="G2012" s="1872" t="s">
        <v>5801</v>
      </c>
      <c r="H2012" s="1856">
        <v>0</v>
      </c>
      <c r="I2012" s="1856">
        <v>0</v>
      </c>
      <c r="J2012" s="1873">
        <v>0</v>
      </c>
      <c r="K2012" s="1860"/>
      <c r="L2012" s="1854">
        <v>13245001601</v>
      </c>
      <c r="M2012" s="1855">
        <v>0</v>
      </c>
      <c r="N2012" s="1855">
        <v>0</v>
      </c>
      <c r="O2012" s="1856">
        <v>0</v>
      </c>
    </row>
    <row r="2013" spans="3:15">
      <c r="C2013" s="1861" t="s">
        <v>5802</v>
      </c>
      <c r="D2013" s="1858">
        <v>1</v>
      </c>
      <c r="E2013" s="1858">
        <v>1</v>
      </c>
      <c r="F2013" s="1859">
        <v>2</v>
      </c>
      <c r="G2013" s="1872" t="s">
        <v>5802</v>
      </c>
      <c r="H2013" s="1856">
        <v>1</v>
      </c>
      <c r="I2013" s="1856">
        <v>1</v>
      </c>
      <c r="J2013" s="1873">
        <v>2</v>
      </c>
      <c r="K2013" s="1860"/>
      <c r="L2013" s="1854">
        <v>13245001602</v>
      </c>
      <c r="M2013" s="1855">
        <v>1</v>
      </c>
      <c r="N2013" s="1855">
        <v>1</v>
      </c>
      <c r="O2013" s="1856">
        <v>2</v>
      </c>
    </row>
    <row r="2014" spans="3:15">
      <c r="C2014" s="1861" t="s">
        <v>5803</v>
      </c>
      <c r="D2014" s="1858">
        <v>0</v>
      </c>
      <c r="E2014" s="1858">
        <v>0</v>
      </c>
      <c r="F2014" s="1859">
        <v>0</v>
      </c>
      <c r="G2014" s="1872" t="s">
        <v>5803</v>
      </c>
      <c r="H2014" s="1856">
        <v>1</v>
      </c>
      <c r="I2014" s="1856">
        <v>0</v>
      </c>
      <c r="J2014" s="1873">
        <v>1</v>
      </c>
      <c r="K2014" s="1860"/>
      <c r="L2014" s="1854">
        <v>13245010101</v>
      </c>
      <c r="M2014" s="1855">
        <v>1</v>
      </c>
      <c r="N2014" s="1855">
        <v>0</v>
      </c>
      <c r="O2014" s="1856">
        <v>1</v>
      </c>
    </row>
    <row r="2015" spans="3:15">
      <c r="C2015" s="1861" t="s">
        <v>5804</v>
      </c>
      <c r="D2015" s="1858">
        <v>1</v>
      </c>
      <c r="E2015" s="1858">
        <v>1</v>
      </c>
      <c r="F2015" s="1859">
        <v>2</v>
      </c>
      <c r="G2015" s="1872" t="s">
        <v>5804</v>
      </c>
      <c r="H2015" s="1856">
        <v>1</v>
      </c>
      <c r="I2015" s="1856">
        <v>0</v>
      </c>
      <c r="J2015" s="1873">
        <v>1</v>
      </c>
      <c r="K2015" s="1860"/>
      <c r="L2015" s="1854">
        <v>13245010104</v>
      </c>
      <c r="M2015" s="1855">
        <v>1</v>
      </c>
      <c r="N2015" s="1855">
        <v>1</v>
      </c>
      <c r="O2015" s="1856">
        <v>2</v>
      </c>
    </row>
    <row r="2016" spans="3:15">
      <c r="C2016" s="1861" t="s">
        <v>5805</v>
      </c>
      <c r="D2016" s="1858">
        <v>0</v>
      </c>
      <c r="E2016" s="1858">
        <v>0</v>
      </c>
      <c r="F2016" s="1859">
        <v>0</v>
      </c>
      <c r="G2016" s="1872" t="s">
        <v>5805</v>
      </c>
      <c r="H2016" s="1856">
        <v>0</v>
      </c>
      <c r="I2016" s="1856">
        <v>0</v>
      </c>
      <c r="J2016" s="1873">
        <v>0</v>
      </c>
      <c r="K2016" s="1860"/>
      <c r="L2016" s="1854">
        <v>13245010105</v>
      </c>
      <c r="M2016" s="1855">
        <v>0</v>
      </c>
      <c r="N2016" s="1855">
        <v>0</v>
      </c>
      <c r="O2016" s="1856">
        <v>0</v>
      </c>
    </row>
    <row r="2017" spans="3:15">
      <c r="C2017" s="1861" t="s">
        <v>5806</v>
      </c>
      <c r="D2017" s="1858">
        <v>1</v>
      </c>
      <c r="E2017" s="1858">
        <v>0</v>
      </c>
      <c r="F2017" s="1859">
        <v>1</v>
      </c>
      <c r="G2017" s="1872" t="s">
        <v>5806</v>
      </c>
      <c r="H2017" s="1856">
        <v>1</v>
      </c>
      <c r="I2017" s="1856">
        <v>1</v>
      </c>
      <c r="J2017" s="1873">
        <v>2</v>
      </c>
      <c r="K2017" s="1860"/>
      <c r="L2017" s="1854">
        <v>13245010106</v>
      </c>
      <c r="M2017" s="1855">
        <v>1</v>
      </c>
      <c r="N2017" s="1855">
        <v>1</v>
      </c>
      <c r="O2017" s="1856">
        <v>2</v>
      </c>
    </row>
    <row r="2018" spans="3:15">
      <c r="C2018" s="1861" t="s">
        <v>5807</v>
      </c>
      <c r="D2018" s="1858">
        <v>1</v>
      </c>
      <c r="E2018" s="1858">
        <v>0</v>
      </c>
      <c r="F2018" s="1859">
        <v>1</v>
      </c>
      <c r="G2018" s="1872" t="s">
        <v>5807</v>
      </c>
      <c r="H2018" s="1856">
        <v>1</v>
      </c>
      <c r="I2018" s="1856">
        <v>1</v>
      </c>
      <c r="J2018" s="1873">
        <v>2</v>
      </c>
      <c r="K2018" s="1860"/>
      <c r="L2018" s="1854">
        <v>13245010107</v>
      </c>
      <c r="M2018" s="1855">
        <v>1</v>
      </c>
      <c r="N2018" s="1855">
        <v>1</v>
      </c>
      <c r="O2018" s="1856">
        <v>2</v>
      </c>
    </row>
    <row r="2019" spans="3:15">
      <c r="C2019" s="1861" t="s">
        <v>5808</v>
      </c>
      <c r="D2019" s="1858">
        <v>1</v>
      </c>
      <c r="E2019" s="1858">
        <v>1</v>
      </c>
      <c r="F2019" s="1859">
        <v>2</v>
      </c>
      <c r="G2019" s="1872" t="s">
        <v>5808</v>
      </c>
      <c r="H2019" s="1856">
        <v>1</v>
      </c>
      <c r="I2019" s="1856">
        <v>1</v>
      </c>
      <c r="J2019" s="1873">
        <v>2</v>
      </c>
      <c r="K2019" s="1860"/>
      <c r="L2019" s="1854">
        <v>13245010201</v>
      </c>
      <c r="M2019" s="1855">
        <v>1</v>
      </c>
      <c r="N2019" s="1855">
        <v>1</v>
      </c>
      <c r="O2019" s="1856">
        <v>2</v>
      </c>
    </row>
    <row r="2020" spans="3:15">
      <c r="C2020" s="1861" t="s">
        <v>5809</v>
      </c>
      <c r="D2020" s="1858">
        <v>0</v>
      </c>
      <c r="E2020" s="1858">
        <v>0</v>
      </c>
      <c r="F2020" s="1859">
        <v>0</v>
      </c>
      <c r="G2020" s="1872" t="s">
        <v>5809</v>
      </c>
      <c r="H2020" s="1856">
        <v>0</v>
      </c>
      <c r="I2020" s="1856">
        <v>0</v>
      </c>
      <c r="J2020" s="1873">
        <v>0</v>
      </c>
      <c r="K2020" s="1860"/>
      <c r="L2020" s="1854">
        <v>13245010203</v>
      </c>
      <c r="M2020" s="1855">
        <v>0</v>
      </c>
      <c r="N2020" s="1855">
        <v>0</v>
      </c>
      <c r="O2020" s="1856">
        <v>0</v>
      </c>
    </row>
    <row r="2021" spans="3:15">
      <c r="C2021" s="1861" t="s">
        <v>5810</v>
      </c>
      <c r="D2021" s="1858">
        <v>0</v>
      </c>
      <c r="E2021" s="1858">
        <v>0</v>
      </c>
      <c r="F2021" s="1859">
        <v>0</v>
      </c>
      <c r="G2021" s="1872" t="s">
        <v>5810</v>
      </c>
      <c r="H2021" s="1856">
        <v>0</v>
      </c>
      <c r="I2021" s="1856">
        <v>0</v>
      </c>
      <c r="J2021" s="1873">
        <v>0</v>
      </c>
      <c r="K2021" s="1860"/>
      <c r="L2021" s="1854">
        <v>13245010204</v>
      </c>
      <c r="M2021" s="1855">
        <v>0</v>
      </c>
      <c r="N2021" s="1855">
        <v>0</v>
      </c>
      <c r="O2021" s="1856">
        <v>0</v>
      </c>
    </row>
    <row r="2022" spans="3:15">
      <c r="C2022" s="1861" t="s">
        <v>5811</v>
      </c>
      <c r="D2022" s="1858">
        <v>0</v>
      </c>
      <c r="E2022" s="1858">
        <v>0</v>
      </c>
      <c r="F2022" s="1859">
        <v>0</v>
      </c>
      <c r="G2022" s="1872" t="s">
        <v>5811</v>
      </c>
      <c r="H2022" s="1856">
        <v>0</v>
      </c>
      <c r="I2022" s="1856">
        <v>0</v>
      </c>
      <c r="J2022" s="1873">
        <v>0</v>
      </c>
      <c r="K2022" s="1860"/>
      <c r="L2022" s="1854">
        <v>13245010300</v>
      </c>
      <c r="M2022" s="1855">
        <v>0</v>
      </c>
      <c r="N2022" s="1855">
        <v>0</v>
      </c>
      <c r="O2022" s="1856">
        <v>0</v>
      </c>
    </row>
    <row r="2023" spans="3:15">
      <c r="C2023" s="1861" t="s">
        <v>5812</v>
      </c>
      <c r="D2023" s="1858">
        <v>0</v>
      </c>
      <c r="E2023" s="1858">
        <v>0</v>
      </c>
      <c r="F2023" s="1859">
        <v>0</v>
      </c>
      <c r="G2023" s="1872" t="s">
        <v>5812</v>
      </c>
      <c r="H2023" s="1856">
        <v>0</v>
      </c>
      <c r="I2023" s="1856">
        <v>0</v>
      </c>
      <c r="J2023" s="1873">
        <v>0</v>
      </c>
      <c r="K2023" s="1860"/>
      <c r="L2023" s="1854">
        <v>13245010400</v>
      </c>
      <c r="M2023" s="1855">
        <v>0</v>
      </c>
      <c r="N2023" s="1855">
        <v>0</v>
      </c>
      <c r="O2023" s="1856">
        <v>0</v>
      </c>
    </row>
    <row r="2024" spans="3:15">
      <c r="C2024" s="1861" t="s">
        <v>5813</v>
      </c>
      <c r="D2024" s="1858">
        <v>0</v>
      </c>
      <c r="E2024" s="1858">
        <v>0</v>
      </c>
      <c r="F2024" s="1859">
        <v>0</v>
      </c>
      <c r="G2024" s="1872" t="s">
        <v>5813</v>
      </c>
      <c r="H2024" s="1856">
        <v>0</v>
      </c>
      <c r="I2024" s="1856">
        <v>0</v>
      </c>
      <c r="J2024" s="1873">
        <v>0</v>
      </c>
      <c r="K2024" s="1860"/>
      <c r="L2024" s="1854">
        <v>13245010504</v>
      </c>
      <c r="M2024" s="1855">
        <v>0</v>
      </c>
      <c r="N2024" s="1855">
        <v>0</v>
      </c>
      <c r="O2024" s="1856">
        <v>0</v>
      </c>
    </row>
    <row r="2025" spans="3:15">
      <c r="C2025" s="1861" t="s">
        <v>5814</v>
      </c>
      <c r="D2025" s="1858">
        <v>0</v>
      </c>
      <c r="E2025" s="1858">
        <v>0</v>
      </c>
      <c r="F2025" s="1859">
        <v>0</v>
      </c>
      <c r="G2025" s="1872" t="s">
        <v>5814</v>
      </c>
      <c r="H2025" s="1856">
        <v>0</v>
      </c>
      <c r="I2025" s="1856">
        <v>1</v>
      </c>
      <c r="J2025" s="1873">
        <v>1</v>
      </c>
      <c r="K2025" s="1860"/>
      <c r="L2025" s="1854">
        <v>13245010506</v>
      </c>
      <c r="M2025" s="1855">
        <v>0</v>
      </c>
      <c r="N2025" s="1855">
        <v>1</v>
      </c>
      <c r="O2025" s="1856">
        <v>1</v>
      </c>
    </row>
    <row r="2026" spans="3:15">
      <c r="C2026" s="1861" t="s">
        <v>5815</v>
      </c>
      <c r="D2026" s="1858">
        <v>0</v>
      </c>
      <c r="E2026" s="1858">
        <v>0</v>
      </c>
      <c r="F2026" s="1859">
        <v>0</v>
      </c>
      <c r="G2026" s="1872" t="s">
        <v>5815</v>
      </c>
      <c r="H2026" s="1856">
        <v>0</v>
      </c>
      <c r="I2026" s="1856">
        <v>0</v>
      </c>
      <c r="J2026" s="1873">
        <v>0</v>
      </c>
      <c r="K2026" s="1860"/>
      <c r="L2026" s="1854">
        <v>13245010507</v>
      </c>
      <c r="M2026" s="1855">
        <v>0</v>
      </c>
      <c r="N2026" s="1855">
        <v>0</v>
      </c>
      <c r="O2026" s="1856">
        <v>0</v>
      </c>
    </row>
    <row r="2027" spans="3:15">
      <c r="C2027" s="1861" t="s">
        <v>5816</v>
      </c>
      <c r="D2027" s="1858">
        <v>0</v>
      </c>
      <c r="E2027" s="1858">
        <v>0</v>
      </c>
      <c r="F2027" s="1859">
        <v>0</v>
      </c>
      <c r="G2027" s="1872" t="s">
        <v>5816</v>
      </c>
      <c r="H2027" s="1856">
        <v>0</v>
      </c>
      <c r="I2027" s="1856">
        <v>0</v>
      </c>
      <c r="J2027" s="1873">
        <v>0</v>
      </c>
      <c r="K2027" s="1860"/>
      <c r="L2027" s="1854">
        <v>13245010508</v>
      </c>
      <c r="M2027" s="1855">
        <v>0</v>
      </c>
      <c r="N2027" s="1855">
        <v>0</v>
      </c>
      <c r="O2027" s="1856">
        <v>0</v>
      </c>
    </row>
    <row r="2028" spans="3:15">
      <c r="C2028" s="1861" t="s">
        <v>5817</v>
      </c>
      <c r="D2028" s="1858">
        <v>0</v>
      </c>
      <c r="E2028" s="1858">
        <v>0</v>
      </c>
      <c r="F2028" s="1859">
        <v>0</v>
      </c>
      <c r="G2028" s="1872" t="s">
        <v>5817</v>
      </c>
      <c r="H2028" s="1856">
        <v>0</v>
      </c>
      <c r="I2028" s="1856">
        <v>0</v>
      </c>
      <c r="J2028" s="1873">
        <v>0</v>
      </c>
      <c r="K2028" s="1860"/>
      <c r="L2028" s="1854">
        <v>13245010509</v>
      </c>
      <c r="M2028" s="1855">
        <v>0</v>
      </c>
      <c r="N2028" s="1855">
        <v>0</v>
      </c>
      <c r="O2028" s="1856">
        <v>0</v>
      </c>
    </row>
    <row r="2029" spans="3:15">
      <c r="C2029" s="1861" t="s">
        <v>5818</v>
      </c>
      <c r="D2029" s="1858">
        <v>0</v>
      </c>
      <c r="E2029" s="1858">
        <v>0</v>
      </c>
      <c r="F2029" s="1859">
        <v>0</v>
      </c>
      <c r="G2029" s="1872" t="s">
        <v>5818</v>
      </c>
      <c r="H2029" s="1856">
        <v>0</v>
      </c>
      <c r="I2029" s="1856">
        <v>0</v>
      </c>
      <c r="J2029" s="1873">
        <v>0</v>
      </c>
      <c r="K2029" s="1860"/>
      <c r="L2029" s="1854">
        <v>13245010510</v>
      </c>
      <c r="M2029" s="1855">
        <v>0</v>
      </c>
      <c r="N2029" s="1855">
        <v>0</v>
      </c>
      <c r="O2029" s="1856">
        <v>0</v>
      </c>
    </row>
    <row r="2030" spans="3:15">
      <c r="C2030" s="1861" t="s">
        <v>5819</v>
      </c>
      <c r="D2030" s="1858">
        <v>0</v>
      </c>
      <c r="E2030" s="1858">
        <v>0</v>
      </c>
      <c r="F2030" s="1859">
        <v>0</v>
      </c>
      <c r="G2030" s="1872" t="s">
        <v>5819</v>
      </c>
      <c r="H2030" s="1856">
        <v>0</v>
      </c>
      <c r="I2030" s="1856">
        <v>0</v>
      </c>
      <c r="J2030" s="1873">
        <v>0</v>
      </c>
      <c r="K2030" s="1860"/>
      <c r="L2030" s="1854">
        <v>13245010511</v>
      </c>
      <c r="M2030" s="1855">
        <v>0</v>
      </c>
      <c r="N2030" s="1855">
        <v>0</v>
      </c>
      <c r="O2030" s="1856">
        <v>0</v>
      </c>
    </row>
    <row r="2031" spans="3:15">
      <c r="C2031" s="1861" t="s">
        <v>5820</v>
      </c>
      <c r="D2031" s="1858">
        <v>0</v>
      </c>
      <c r="E2031" s="1858">
        <v>0</v>
      </c>
      <c r="F2031" s="1859">
        <v>0</v>
      </c>
      <c r="G2031" s="1872" t="s">
        <v>5820</v>
      </c>
      <c r="H2031" s="1856">
        <v>0</v>
      </c>
      <c r="I2031" s="1856">
        <v>0</v>
      </c>
      <c r="J2031" s="1873">
        <v>0</v>
      </c>
      <c r="K2031" s="1860"/>
      <c r="L2031" s="1854">
        <v>13245010512</v>
      </c>
      <c r="M2031" s="1855">
        <v>0</v>
      </c>
      <c r="N2031" s="1855">
        <v>0</v>
      </c>
      <c r="O2031" s="1856">
        <v>0</v>
      </c>
    </row>
    <row r="2032" spans="3:15">
      <c r="C2032" s="1861" t="s">
        <v>5821</v>
      </c>
      <c r="D2032" s="1858">
        <v>0</v>
      </c>
      <c r="E2032" s="1858">
        <v>0</v>
      </c>
      <c r="F2032" s="1859">
        <v>0</v>
      </c>
      <c r="G2032" s="1872" t="s">
        <v>5821</v>
      </c>
      <c r="H2032" s="1856">
        <v>0</v>
      </c>
      <c r="I2032" s="1856" t="s">
        <v>3908</v>
      </c>
      <c r="J2032" s="1873">
        <v>0</v>
      </c>
      <c r="K2032" s="1860"/>
      <c r="L2032" s="1854">
        <v>13245010513</v>
      </c>
      <c r="M2032" s="1855">
        <v>0</v>
      </c>
      <c r="N2032" s="1855">
        <v>0</v>
      </c>
      <c r="O2032" s="1856">
        <v>0</v>
      </c>
    </row>
    <row r="2033" spans="3:15">
      <c r="C2033" s="1861" t="s">
        <v>5822</v>
      </c>
      <c r="D2033" s="1858">
        <v>0</v>
      </c>
      <c r="E2033" s="1858">
        <v>0</v>
      </c>
      <c r="F2033" s="1859">
        <v>0</v>
      </c>
      <c r="G2033" s="1872" t="s">
        <v>5822</v>
      </c>
      <c r="H2033" s="1856">
        <v>0</v>
      </c>
      <c r="I2033" s="1856">
        <v>0</v>
      </c>
      <c r="J2033" s="1873">
        <v>0</v>
      </c>
      <c r="K2033" s="1860"/>
      <c r="L2033" s="1854">
        <v>13245010600</v>
      </c>
      <c r="M2033" s="1855">
        <v>0</v>
      </c>
      <c r="N2033" s="1855">
        <v>0</v>
      </c>
      <c r="O2033" s="1856">
        <v>0</v>
      </c>
    </row>
    <row r="2034" spans="3:15">
      <c r="C2034" s="1861" t="s">
        <v>5823</v>
      </c>
      <c r="D2034" s="1858">
        <v>0</v>
      </c>
      <c r="E2034" s="1858">
        <v>0</v>
      </c>
      <c r="F2034" s="1859">
        <v>0</v>
      </c>
      <c r="G2034" s="1872" t="s">
        <v>5823</v>
      </c>
      <c r="H2034" s="1856">
        <v>0</v>
      </c>
      <c r="I2034" s="1856">
        <v>0</v>
      </c>
      <c r="J2034" s="1873">
        <v>0</v>
      </c>
      <c r="K2034" s="1860"/>
      <c r="L2034" s="1854">
        <v>13245010706</v>
      </c>
      <c r="M2034" s="1855">
        <v>0</v>
      </c>
      <c r="N2034" s="1855">
        <v>0</v>
      </c>
      <c r="O2034" s="1856">
        <v>0</v>
      </c>
    </row>
    <row r="2035" spans="3:15">
      <c r="C2035" s="1861" t="s">
        <v>5824</v>
      </c>
      <c r="D2035" s="1858">
        <v>0</v>
      </c>
      <c r="E2035" s="1858">
        <v>0</v>
      </c>
      <c r="F2035" s="1859">
        <v>0</v>
      </c>
      <c r="G2035" s="1872" t="s">
        <v>5824</v>
      </c>
      <c r="H2035" s="1856">
        <v>0</v>
      </c>
      <c r="I2035" s="1856">
        <v>0</v>
      </c>
      <c r="J2035" s="1873">
        <v>0</v>
      </c>
      <c r="K2035" s="1860"/>
      <c r="L2035" s="1854">
        <v>13245010707</v>
      </c>
      <c r="M2035" s="1855">
        <v>0</v>
      </c>
      <c r="N2035" s="1855">
        <v>0</v>
      </c>
      <c r="O2035" s="1856">
        <v>0</v>
      </c>
    </row>
    <row r="2036" spans="3:15">
      <c r="C2036" s="1861" t="s">
        <v>5825</v>
      </c>
      <c r="D2036" s="1858">
        <v>0</v>
      </c>
      <c r="E2036" s="1858">
        <v>0</v>
      </c>
      <c r="F2036" s="1859">
        <v>0</v>
      </c>
      <c r="G2036" s="1872" t="s">
        <v>5825</v>
      </c>
      <c r="H2036" s="1856">
        <v>0</v>
      </c>
      <c r="I2036" s="1856">
        <v>1</v>
      </c>
      <c r="J2036" s="1873">
        <v>1</v>
      </c>
      <c r="K2036" s="1860"/>
      <c r="L2036" s="1854">
        <v>13245010708</v>
      </c>
      <c r="M2036" s="1855">
        <v>0</v>
      </c>
      <c r="N2036" s="1855">
        <v>1</v>
      </c>
      <c r="O2036" s="1856">
        <v>1</v>
      </c>
    </row>
    <row r="2037" spans="3:15">
      <c r="C2037" s="1861" t="s">
        <v>5826</v>
      </c>
      <c r="D2037" s="1858">
        <v>1</v>
      </c>
      <c r="E2037" s="1858">
        <v>0</v>
      </c>
      <c r="F2037" s="1859">
        <v>1</v>
      </c>
      <c r="G2037" s="1872" t="s">
        <v>5826</v>
      </c>
      <c r="H2037" s="1856">
        <v>1</v>
      </c>
      <c r="I2037" s="1856">
        <v>1</v>
      </c>
      <c r="J2037" s="1873">
        <v>2</v>
      </c>
      <c r="K2037" s="1860"/>
      <c r="L2037" s="1854">
        <v>13245010709</v>
      </c>
      <c r="M2037" s="1855">
        <v>1</v>
      </c>
      <c r="N2037" s="1855">
        <v>1</v>
      </c>
      <c r="O2037" s="1856">
        <v>2</v>
      </c>
    </row>
    <row r="2038" spans="3:15">
      <c r="C2038" s="1861" t="s">
        <v>5827</v>
      </c>
      <c r="D2038" s="1858">
        <v>0</v>
      </c>
      <c r="E2038" s="1858">
        <v>0</v>
      </c>
      <c r="F2038" s="1859">
        <v>0</v>
      </c>
      <c r="G2038" s="1872" t="s">
        <v>5827</v>
      </c>
      <c r="H2038" s="1856">
        <v>0</v>
      </c>
      <c r="I2038" s="1856" t="s">
        <v>3908</v>
      </c>
      <c r="J2038" s="1873">
        <v>0</v>
      </c>
      <c r="K2038" s="1860"/>
      <c r="L2038" s="1854">
        <v>13245010710</v>
      </c>
      <c r="M2038" s="1855">
        <v>0</v>
      </c>
      <c r="N2038" s="1855">
        <v>0</v>
      </c>
      <c r="O2038" s="1856">
        <v>0</v>
      </c>
    </row>
    <row r="2039" spans="3:15">
      <c r="C2039" s="1861" t="s">
        <v>5828</v>
      </c>
      <c r="D2039" s="1858">
        <v>0</v>
      </c>
      <c r="E2039" s="1858">
        <v>0</v>
      </c>
      <c r="F2039" s="1859">
        <v>0</v>
      </c>
      <c r="G2039" s="1872" t="s">
        <v>5828</v>
      </c>
      <c r="H2039" s="1856">
        <v>0</v>
      </c>
      <c r="I2039" s="1856">
        <v>0</v>
      </c>
      <c r="J2039" s="1873">
        <v>0</v>
      </c>
      <c r="K2039" s="1860"/>
      <c r="L2039" s="1854">
        <v>13245010711</v>
      </c>
      <c r="M2039" s="1855">
        <v>0</v>
      </c>
      <c r="N2039" s="1855">
        <v>0</v>
      </c>
      <c r="O2039" s="1856">
        <v>0</v>
      </c>
    </row>
    <row r="2040" spans="3:15">
      <c r="C2040" s="1861" t="s">
        <v>5829</v>
      </c>
      <c r="D2040" s="1858">
        <v>0</v>
      </c>
      <c r="E2040" s="1858">
        <v>0</v>
      </c>
      <c r="F2040" s="1859">
        <v>0</v>
      </c>
      <c r="G2040" s="1872" t="s">
        <v>5829</v>
      </c>
      <c r="H2040" s="1856">
        <v>0</v>
      </c>
      <c r="I2040" s="1856">
        <v>0</v>
      </c>
      <c r="J2040" s="1873">
        <v>0</v>
      </c>
      <c r="K2040" s="1860"/>
      <c r="L2040" s="1854">
        <v>13245010712</v>
      </c>
      <c r="M2040" s="1855">
        <v>0</v>
      </c>
      <c r="N2040" s="1855">
        <v>0</v>
      </c>
      <c r="O2040" s="1856">
        <v>0</v>
      </c>
    </row>
    <row r="2041" spans="3:15">
      <c r="C2041" s="1861" t="s">
        <v>5830</v>
      </c>
      <c r="D2041" s="1858">
        <v>0</v>
      </c>
      <c r="E2041" s="1858">
        <v>1</v>
      </c>
      <c r="F2041" s="1859">
        <v>1</v>
      </c>
      <c r="G2041" s="1872" t="s">
        <v>5830</v>
      </c>
      <c r="H2041" s="1856">
        <v>0</v>
      </c>
      <c r="I2041" s="1856" t="s">
        <v>3908</v>
      </c>
      <c r="J2041" s="1873">
        <v>0</v>
      </c>
      <c r="K2041" s="1860"/>
      <c r="L2041" s="1854">
        <v>13245010800</v>
      </c>
      <c r="M2041" s="1855">
        <v>0</v>
      </c>
      <c r="N2041" s="1855">
        <v>1</v>
      </c>
      <c r="O2041" s="1856">
        <v>1</v>
      </c>
    </row>
    <row r="2042" spans="3:15">
      <c r="C2042" s="1861" t="s">
        <v>5831</v>
      </c>
      <c r="D2042" s="1858">
        <v>0</v>
      </c>
      <c r="E2042" s="1858">
        <v>0</v>
      </c>
      <c r="F2042" s="1859">
        <v>0</v>
      </c>
      <c r="G2042" s="1872" t="s">
        <v>5831</v>
      </c>
      <c r="H2042" s="1856">
        <v>0</v>
      </c>
      <c r="I2042" s="1856">
        <v>0</v>
      </c>
      <c r="J2042" s="1873">
        <v>0</v>
      </c>
      <c r="K2042" s="1860"/>
      <c r="L2042" s="1854">
        <v>13245010903</v>
      </c>
      <c r="M2042" s="1855">
        <v>0</v>
      </c>
      <c r="N2042" s="1855">
        <v>0</v>
      </c>
      <c r="O2042" s="1856">
        <v>0</v>
      </c>
    </row>
    <row r="2043" spans="3:15">
      <c r="C2043" s="1861" t="s">
        <v>5832</v>
      </c>
      <c r="D2043" s="1858">
        <v>0</v>
      </c>
      <c r="E2043" s="1858">
        <v>0</v>
      </c>
      <c r="F2043" s="1859">
        <v>0</v>
      </c>
      <c r="G2043" s="1872" t="s">
        <v>5832</v>
      </c>
      <c r="H2043" s="1856">
        <v>0</v>
      </c>
      <c r="I2043" s="1856">
        <v>0</v>
      </c>
      <c r="J2043" s="1873">
        <v>0</v>
      </c>
      <c r="K2043" s="1860"/>
      <c r="L2043" s="1854">
        <v>13245010904</v>
      </c>
      <c r="M2043" s="1855">
        <v>0</v>
      </c>
      <c r="N2043" s="1855">
        <v>0</v>
      </c>
      <c r="O2043" s="1856">
        <v>0</v>
      </c>
    </row>
    <row r="2044" spans="3:15">
      <c r="C2044" s="1861" t="s">
        <v>5833</v>
      </c>
      <c r="D2044" s="1858">
        <v>0</v>
      </c>
      <c r="E2044" s="1858">
        <v>0</v>
      </c>
      <c r="F2044" s="1859">
        <v>0</v>
      </c>
      <c r="G2044" s="1872" t="s">
        <v>5833</v>
      </c>
      <c r="H2044" s="1856">
        <v>0</v>
      </c>
      <c r="I2044" s="1856">
        <v>0</v>
      </c>
      <c r="J2044" s="1873">
        <v>0</v>
      </c>
      <c r="K2044" s="1860"/>
      <c r="L2044" s="1854">
        <v>13245010905</v>
      </c>
      <c r="M2044" s="1855">
        <v>0</v>
      </c>
      <c r="N2044" s="1855">
        <v>0</v>
      </c>
      <c r="O2044" s="1856">
        <v>0</v>
      </c>
    </row>
    <row r="2045" spans="3:15">
      <c r="C2045" s="1861" t="s">
        <v>5834</v>
      </c>
      <c r="D2045" s="1858">
        <v>0</v>
      </c>
      <c r="E2045" s="1858">
        <v>1</v>
      </c>
      <c r="F2045" s="1859">
        <v>1</v>
      </c>
      <c r="G2045" s="1872" t="s">
        <v>5834</v>
      </c>
      <c r="H2045" s="1856">
        <v>0</v>
      </c>
      <c r="I2045" s="1856">
        <v>1</v>
      </c>
      <c r="J2045" s="1873">
        <v>1</v>
      </c>
      <c r="K2045" s="1860"/>
      <c r="L2045" s="1854">
        <v>13245010906</v>
      </c>
      <c r="M2045" s="1855">
        <v>0</v>
      </c>
      <c r="N2045" s="1855">
        <v>1</v>
      </c>
      <c r="O2045" s="1856">
        <v>1</v>
      </c>
    </row>
    <row r="2046" spans="3:15">
      <c r="C2046" s="1861" t="s">
        <v>5835</v>
      </c>
      <c r="D2046" s="1858">
        <v>0</v>
      </c>
      <c r="E2046" s="1858">
        <v>0</v>
      </c>
      <c r="F2046" s="1859">
        <v>0</v>
      </c>
      <c r="G2046" s="1872" t="s">
        <v>5835</v>
      </c>
      <c r="H2046" s="1856">
        <v>0</v>
      </c>
      <c r="I2046" s="1856">
        <v>0</v>
      </c>
      <c r="J2046" s="1873">
        <v>0</v>
      </c>
      <c r="K2046" s="1860"/>
      <c r="L2046" s="1854">
        <v>13245011000</v>
      </c>
      <c r="M2046" s="1855">
        <v>0</v>
      </c>
      <c r="N2046" s="1855">
        <v>0</v>
      </c>
      <c r="O2046" s="1856">
        <v>0</v>
      </c>
    </row>
    <row r="2047" spans="3:15">
      <c r="C2047" s="1861" t="s">
        <v>5836</v>
      </c>
      <c r="D2047" s="1858">
        <v>0</v>
      </c>
      <c r="E2047" s="1858">
        <v>1</v>
      </c>
      <c r="F2047" s="1859">
        <v>1</v>
      </c>
      <c r="G2047" s="1872" t="s">
        <v>5836</v>
      </c>
      <c r="H2047" s="1856">
        <v>1</v>
      </c>
      <c r="I2047" s="1856">
        <v>1</v>
      </c>
      <c r="J2047" s="1873">
        <v>2</v>
      </c>
      <c r="K2047" s="1860"/>
      <c r="L2047" s="1854">
        <v>13247060101</v>
      </c>
      <c r="M2047" s="1855">
        <v>1</v>
      </c>
      <c r="N2047" s="1855">
        <v>1</v>
      </c>
      <c r="O2047" s="1856">
        <v>2</v>
      </c>
    </row>
    <row r="2048" spans="3:15">
      <c r="C2048" s="1861" t="s">
        <v>5837</v>
      </c>
      <c r="D2048" s="1858">
        <v>0</v>
      </c>
      <c r="E2048" s="1858">
        <v>1</v>
      </c>
      <c r="F2048" s="1859">
        <v>1</v>
      </c>
      <c r="G2048" s="1872" t="s">
        <v>5837</v>
      </c>
      <c r="H2048" s="1856">
        <v>1</v>
      </c>
      <c r="I2048" s="1856">
        <v>1</v>
      </c>
      <c r="J2048" s="1873">
        <v>2</v>
      </c>
      <c r="K2048" s="1860"/>
      <c r="L2048" s="1854">
        <v>13247060102</v>
      </c>
      <c r="M2048" s="1855">
        <v>1</v>
      </c>
      <c r="N2048" s="1855">
        <v>1</v>
      </c>
      <c r="O2048" s="1856">
        <v>2</v>
      </c>
    </row>
    <row r="2049" spans="3:15">
      <c r="C2049" s="1861" t="s">
        <v>5838</v>
      </c>
      <c r="D2049" s="1858">
        <v>0</v>
      </c>
      <c r="E2049" s="1858">
        <v>0</v>
      </c>
      <c r="F2049" s="1859">
        <v>0</v>
      </c>
      <c r="G2049" s="1872" t="s">
        <v>5838</v>
      </c>
      <c r="H2049" s="1856">
        <v>0</v>
      </c>
      <c r="I2049" s="1856">
        <v>0</v>
      </c>
      <c r="J2049" s="1873">
        <v>0</v>
      </c>
      <c r="K2049" s="1860"/>
      <c r="L2049" s="1854">
        <v>13247060201</v>
      </c>
      <c r="M2049" s="1855">
        <v>0</v>
      </c>
      <c r="N2049" s="1855">
        <v>0</v>
      </c>
      <c r="O2049" s="1856">
        <v>0</v>
      </c>
    </row>
    <row r="2050" spans="3:15">
      <c r="C2050" s="1861" t="s">
        <v>5839</v>
      </c>
      <c r="D2050" s="1858">
        <v>1</v>
      </c>
      <c r="E2050" s="1858">
        <v>1</v>
      </c>
      <c r="F2050" s="1859">
        <v>2</v>
      </c>
      <c r="G2050" s="1872" t="s">
        <v>5839</v>
      </c>
      <c r="H2050" s="1856">
        <v>1</v>
      </c>
      <c r="I2050" s="1856">
        <v>1</v>
      </c>
      <c r="J2050" s="1873">
        <v>2</v>
      </c>
      <c r="K2050" s="1860"/>
      <c r="L2050" s="1854">
        <v>13247060202</v>
      </c>
      <c r="M2050" s="1855">
        <v>1</v>
      </c>
      <c r="N2050" s="1855">
        <v>1</v>
      </c>
      <c r="O2050" s="1856">
        <v>2</v>
      </c>
    </row>
    <row r="2051" spans="3:15">
      <c r="C2051" s="1861" t="s">
        <v>5840</v>
      </c>
      <c r="D2051" s="1858">
        <v>0</v>
      </c>
      <c r="E2051" s="1858">
        <v>0</v>
      </c>
      <c r="F2051" s="1859">
        <v>0</v>
      </c>
      <c r="G2051" s="1872" t="s">
        <v>5840</v>
      </c>
      <c r="H2051" s="1856">
        <v>0</v>
      </c>
      <c r="I2051" s="1856">
        <v>0</v>
      </c>
      <c r="J2051" s="1873">
        <v>0</v>
      </c>
      <c r="K2051" s="1860"/>
      <c r="L2051" s="1854">
        <v>13247060304</v>
      </c>
      <c r="M2051" s="1855">
        <v>0</v>
      </c>
      <c r="N2051" s="1855">
        <v>0</v>
      </c>
      <c r="O2051" s="1856">
        <v>0</v>
      </c>
    </row>
    <row r="2052" spans="3:15">
      <c r="C2052" s="1861" t="s">
        <v>5841</v>
      </c>
      <c r="D2052" s="1858">
        <v>0</v>
      </c>
      <c r="E2052" s="1858">
        <v>0</v>
      </c>
      <c r="F2052" s="1859">
        <v>0</v>
      </c>
      <c r="G2052" s="1872" t="s">
        <v>5841</v>
      </c>
      <c r="H2052" s="1856">
        <v>0</v>
      </c>
      <c r="I2052" s="1856">
        <v>0</v>
      </c>
      <c r="J2052" s="1873">
        <v>0</v>
      </c>
      <c r="K2052" s="1860"/>
      <c r="L2052" s="1854">
        <v>13247060305</v>
      </c>
      <c r="M2052" s="1855">
        <v>0</v>
      </c>
      <c r="N2052" s="1855">
        <v>0</v>
      </c>
      <c r="O2052" s="1856">
        <v>0</v>
      </c>
    </row>
    <row r="2053" spans="3:15">
      <c r="C2053" s="1861" t="s">
        <v>5842</v>
      </c>
      <c r="D2053" s="1858">
        <v>1</v>
      </c>
      <c r="E2053" s="1858">
        <v>1</v>
      </c>
      <c r="F2053" s="1859">
        <v>2</v>
      </c>
      <c r="G2053" s="1872" t="s">
        <v>5842</v>
      </c>
      <c r="H2053" s="1856">
        <v>1</v>
      </c>
      <c r="I2053" s="1856">
        <v>1</v>
      </c>
      <c r="J2053" s="1873">
        <v>2</v>
      </c>
      <c r="K2053" s="1860"/>
      <c r="L2053" s="1854">
        <v>13247060306</v>
      </c>
      <c r="M2053" s="1855">
        <v>1</v>
      </c>
      <c r="N2053" s="1855">
        <v>1</v>
      </c>
      <c r="O2053" s="1856">
        <v>2</v>
      </c>
    </row>
    <row r="2054" spans="3:15">
      <c r="C2054" s="1861" t="s">
        <v>5843</v>
      </c>
      <c r="D2054" s="1858">
        <v>0</v>
      </c>
      <c r="E2054" s="1858">
        <v>1</v>
      </c>
      <c r="F2054" s="1859">
        <v>1</v>
      </c>
      <c r="G2054" s="1872" t="s">
        <v>5843</v>
      </c>
      <c r="H2054" s="1856">
        <v>0</v>
      </c>
      <c r="I2054" s="1856">
        <v>1</v>
      </c>
      <c r="J2054" s="1873">
        <v>1</v>
      </c>
      <c r="K2054" s="1860"/>
      <c r="L2054" s="1854">
        <v>13247060307</v>
      </c>
      <c r="M2054" s="1855">
        <v>0</v>
      </c>
      <c r="N2054" s="1855">
        <v>1</v>
      </c>
      <c r="O2054" s="1856">
        <v>1</v>
      </c>
    </row>
    <row r="2055" spans="3:15">
      <c r="C2055" s="1861" t="s">
        <v>5844</v>
      </c>
      <c r="D2055" s="1858">
        <v>0</v>
      </c>
      <c r="E2055" s="1858">
        <v>0</v>
      </c>
      <c r="F2055" s="1859">
        <v>0</v>
      </c>
      <c r="G2055" s="1872" t="s">
        <v>5844</v>
      </c>
      <c r="H2055" s="1856">
        <v>0</v>
      </c>
      <c r="I2055" s="1856">
        <v>0</v>
      </c>
      <c r="J2055" s="1873">
        <v>0</v>
      </c>
      <c r="K2055" s="1860"/>
      <c r="L2055" s="1854">
        <v>13247060308</v>
      </c>
      <c r="M2055" s="1855">
        <v>0</v>
      </c>
      <c r="N2055" s="1855">
        <v>0</v>
      </c>
      <c r="O2055" s="1856">
        <v>0</v>
      </c>
    </row>
    <row r="2056" spans="3:15">
      <c r="C2056" s="1861" t="s">
        <v>5845</v>
      </c>
      <c r="D2056" s="1858">
        <v>0</v>
      </c>
      <c r="E2056" s="1858">
        <v>0</v>
      </c>
      <c r="F2056" s="1859">
        <v>0</v>
      </c>
      <c r="G2056" s="1872" t="s">
        <v>5845</v>
      </c>
      <c r="H2056" s="1856">
        <v>0</v>
      </c>
      <c r="I2056" s="1856">
        <v>0</v>
      </c>
      <c r="J2056" s="1873">
        <v>0</v>
      </c>
      <c r="K2056" s="1860"/>
      <c r="L2056" s="1854">
        <v>13247060309</v>
      </c>
      <c r="M2056" s="1855">
        <v>0</v>
      </c>
      <c r="N2056" s="1855">
        <v>0</v>
      </c>
      <c r="O2056" s="1856">
        <v>0</v>
      </c>
    </row>
    <row r="2057" spans="3:15">
      <c r="C2057" s="1861" t="s">
        <v>5846</v>
      </c>
      <c r="D2057" s="1858">
        <v>1</v>
      </c>
      <c r="E2057" s="1858">
        <v>1</v>
      </c>
      <c r="F2057" s="1859">
        <v>2</v>
      </c>
      <c r="G2057" s="1872" t="s">
        <v>5846</v>
      </c>
      <c r="H2057" s="1856">
        <v>1</v>
      </c>
      <c r="I2057" s="1856">
        <v>0</v>
      </c>
      <c r="J2057" s="1873">
        <v>1</v>
      </c>
      <c r="K2057" s="1860"/>
      <c r="L2057" s="1854">
        <v>13247060403</v>
      </c>
      <c r="M2057" s="1855">
        <v>1</v>
      </c>
      <c r="N2057" s="1855">
        <v>1</v>
      </c>
      <c r="O2057" s="1856">
        <v>2</v>
      </c>
    </row>
    <row r="2058" spans="3:15">
      <c r="C2058" s="1861" t="s">
        <v>5847</v>
      </c>
      <c r="D2058" s="1858">
        <v>1</v>
      </c>
      <c r="E2058" s="1858">
        <v>1</v>
      </c>
      <c r="F2058" s="1859">
        <v>2</v>
      </c>
      <c r="G2058" s="1872" t="s">
        <v>5847</v>
      </c>
      <c r="H2058" s="1856">
        <v>1</v>
      </c>
      <c r="I2058" s="1856">
        <v>1</v>
      </c>
      <c r="J2058" s="1873">
        <v>2</v>
      </c>
      <c r="K2058" s="1860"/>
      <c r="L2058" s="1854">
        <v>13247060404</v>
      </c>
      <c r="M2058" s="1855">
        <v>1</v>
      </c>
      <c r="N2058" s="1855">
        <v>1</v>
      </c>
      <c r="O2058" s="1856">
        <v>2</v>
      </c>
    </row>
    <row r="2059" spans="3:15">
      <c r="C2059" s="1861" t="s">
        <v>5848</v>
      </c>
      <c r="D2059" s="1858">
        <v>1</v>
      </c>
      <c r="E2059" s="1858">
        <v>1</v>
      </c>
      <c r="F2059" s="1859">
        <v>2</v>
      </c>
      <c r="G2059" s="1872" t="s">
        <v>5848</v>
      </c>
      <c r="H2059" s="1856">
        <v>0</v>
      </c>
      <c r="I2059" s="1856">
        <v>1</v>
      </c>
      <c r="J2059" s="1873">
        <v>1</v>
      </c>
      <c r="K2059" s="1860"/>
      <c r="L2059" s="1854">
        <v>13247060405</v>
      </c>
      <c r="M2059" s="1855">
        <v>1</v>
      </c>
      <c r="N2059" s="1855">
        <v>1</v>
      </c>
      <c r="O2059" s="1856">
        <v>2</v>
      </c>
    </row>
    <row r="2060" spans="3:15">
      <c r="C2060" s="1861" t="s">
        <v>5849</v>
      </c>
      <c r="D2060" s="1858">
        <v>1</v>
      </c>
      <c r="E2060" s="1858">
        <v>1</v>
      </c>
      <c r="F2060" s="1859">
        <v>2</v>
      </c>
      <c r="G2060" s="1872" t="s">
        <v>5849</v>
      </c>
      <c r="H2060" s="1856">
        <v>1</v>
      </c>
      <c r="I2060" s="1856">
        <v>1</v>
      </c>
      <c r="J2060" s="1873">
        <v>2</v>
      </c>
      <c r="K2060" s="1860"/>
      <c r="L2060" s="1854">
        <v>13247060406</v>
      </c>
      <c r="M2060" s="1855">
        <v>1</v>
      </c>
      <c r="N2060" s="1855">
        <v>1</v>
      </c>
      <c r="O2060" s="1856">
        <v>2</v>
      </c>
    </row>
    <row r="2061" spans="3:15">
      <c r="C2061" s="1861" t="s">
        <v>5850</v>
      </c>
      <c r="D2061" s="1858">
        <v>0</v>
      </c>
      <c r="E2061" s="1858">
        <v>1</v>
      </c>
      <c r="F2061" s="1859">
        <v>1</v>
      </c>
      <c r="G2061" s="1872" t="s">
        <v>5850</v>
      </c>
      <c r="H2061" s="1856">
        <v>0</v>
      </c>
      <c r="I2061" s="1856">
        <v>1</v>
      </c>
      <c r="J2061" s="1873">
        <v>1</v>
      </c>
      <c r="K2061" s="1860"/>
      <c r="L2061" s="1854">
        <v>13247060407</v>
      </c>
      <c r="M2061" s="1855">
        <v>0</v>
      </c>
      <c r="N2061" s="1855">
        <v>1</v>
      </c>
      <c r="O2061" s="1856">
        <v>1</v>
      </c>
    </row>
    <row r="2062" spans="3:15">
      <c r="C2062" s="1861" t="s">
        <v>5851</v>
      </c>
      <c r="D2062" s="1858">
        <v>0</v>
      </c>
      <c r="E2062" s="1858">
        <v>0</v>
      </c>
      <c r="F2062" s="1859">
        <v>0</v>
      </c>
      <c r="G2062" s="1872" t="s">
        <v>5851</v>
      </c>
      <c r="H2062" s="1856">
        <v>0</v>
      </c>
      <c r="I2062" s="1856">
        <v>1</v>
      </c>
      <c r="J2062" s="1873">
        <v>1</v>
      </c>
      <c r="K2062" s="1860"/>
      <c r="L2062" s="1854">
        <v>13249960100</v>
      </c>
      <c r="M2062" s="1855">
        <v>0</v>
      </c>
      <c r="N2062" s="1855">
        <v>1</v>
      </c>
      <c r="O2062" s="1856">
        <v>1</v>
      </c>
    </row>
    <row r="2063" spans="3:15">
      <c r="C2063" s="1861" t="s">
        <v>5852</v>
      </c>
      <c r="D2063" s="1858">
        <v>0</v>
      </c>
      <c r="E2063" s="1858">
        <v>0</v>
      </c>
      <c r="F2063" s="1859">
        <v>0</v>
      </c>
      <c r="G2063" s="1872" t="s">
        <v>5852</v>
      </c>
      <c r="H2063" s="1856">
        <v>0</v>
      </c>
      <c r="I2063" s="1856">
        <v>0</v>
      </c>
      <c r="J2063" s="1873">
        <v>0</v>
      </c>
      <c r="K2063" s="1860"/>
      <c r="L2063" s="1854">
        <v>13249960200</v>
      </c>
      <c r="M2063" s="1855">
        <v>0</v>
      </c>
      <c r="N2063" s="1855">
        <v>0</v>
      </c>
      <c r="O2063" s="1856">
        <v>0</v>
      </c>
    </row>
    <row r="2064" spans="3:15">
      <c r="C2064" s="1861" t="s">
        <v>5853</v>
      </c>
      <c r="D2064" s="1858">
        <v>0</v>
      </c>
      <c r="E2064" s="1858">
        <v>0</v>
      </c>
      <c r="F2064" s="1859">
        <v>0</v>
      </c>
      <c r="G2064" s="1872" t="s">
        <v>5853</v>
      </c>
      <c r="H2064" s="1856">
        <v>0</v>
      </c>
      <c r="I2064" s="1856">
        <v>0</v>
      </c>
      <c r="J2064" s="1873">
        <v>0</v>
      </c>
      <c r="K2064" s="1860"/>
      <c r="L2064" s="1854">
        <v>13251970200</v>
      </c>
      <c r="M2064" s="1855">
        <v>0</v>
      </c>
      <c r="N2064" s="1855">
        <v>0</v>
      </c>
      <c r="O2064" s="1856">
        <v>0</v>
      </c>
    </row>
    <row r="2065" spans="3:15">
      <c r="C2065" s="1861" t="s">
        <v>5854</v>
      </c>
      <c r="D2065" s="1858">
        <v>0</v>
      </c>
      <c r="E2065" s="1858">
        <v>0</v>
      </c>
      <c r="F2065" s="1859">
        <v>0</v>
      </c>
      <c r="G2065" s="1872" t="s">
        <v>5854</v>
      </c>
      <c r="H2065" s="1856">
        <v>0</v>
      </c>
      <c r="I2065" s="1856">
        <v>0</v>
      </c>
      <c r="J2065" s="1873">
        <v>0</v>
      </c>
      <c r="K2065" s="1860"/>
      <c r="L2065" s="1854">
        <v>13251970300</v>
      </c>
      <c r="M2065" s="1855">
        <v>0</v>
      </c>
      <c r="N2065" s="1855">
        <v>0</v>
      </c>
      <c r="O2065" s="1856">
        <v>0</v>
      </c>
    </row>
    <row r="2066" spans="3:15">
      <c r="C2066" s="1861" t="s">
        <v>5855</v>
      </c>
      <c r="D2066" s="1858">
        <v>0</v>
      </c>
      <c r="E2066" s="1858">
        <v>0</v>
      </c>
      <c r="F2066" s="1859">
        <v>0</v>
      </c>
      <c r="G2066" s="1872" t="s">
        <v>5855</v>
      </c>
      <c r="H2066" s="1856">
        <v>0</v>
      </c>
      <c r="I2066" s="1856">
        <v>0</v>
      </c>
      <c r="J2066" s="1873">
        <v>0</v>
      </c>
      <c r="K2066" s="1860"/>
      <c r="L2066" s="1854">
        <v>13251970400</v>
      </c>
      <c r="M2066" s="1855">
        <v>0</v>
      </c>
      <c r="N2066" s="1855">
        <v>0</v>
      </c>
      <c r="O2066" s="1856">
        <v>0</v>
      </c>
    </row>
    <row r="2067" spans="3:15">
      <c r="C2067" s="1861" t="s">
        <v>5856</v>
      </c>
      <c r="D2067" s="1858">
        <v>0</v>
      </c>
      <c r="E2067" s="1858">
        <v>0</v>
      </c>
      <c r="F2067" s="1859">
        <v>0</v>
      </c>
      <c r="G2067" s="1872" t="s">
        <v>5856</v>
      </c>
      <c r="H2067" s="1856">
        <v>0</v>
      </c>
      <c r="I2067" s="1856">
        <v>0</v>
      </c>
      <c r="J2067" s="1873">
        <v>0</v>
      </c>
      <c r="K2067" s="1860"/>
      <c r="L2067" s="1854">
        <v>13251970500</v>
      </c>
      <c r="M2067" s="1855">
        <v>0</v>
      </c>
      <c r="N2067" s="1855">
        <v>0</v>
      </c>
      <c r="O2067" s="1856">
        <v>0</v>
      </c>
    </row>
    <row r="2068" spans="3:15">
      <c r="C2068" s="1861" t="s">
        <v>5857</v>
      </c>
      <c r="D2068" s="1858">
        <v>0</v>
      </c>
      <c r="E2068" s="1858">
        <v>0</v>
      </c>
      <c r="F2068" s="1859">
        <v>0</v>
      </c>
      <c r="G2068" s="1872" t="s">
        <v>5857</v>
      </c>
      <c r="H2068" s="1856">
        <v>0</v>
      </c>
      <c r="I2068" s="1856">
        <v>0</v>
      </c>
      <c r="J2068" s="1873">
        <v>0</v>
      </c>
      <c r="K2068" s="1860"/>
      <c r="L2068" s="1854">
        <v>13251970600</v>
      </c>
      <c r="M2068" s="1855">
        <v>0</v>
      </c>
      <c r="N2068" s="1855">
        <v>0</v>
      </c>
      <c r="O2068" s="1856">
        <v>0</v>
      </c>
    </row>
    <row r="2069" spans="3:15">
      <c r="C2069" s="1861" t="s">
        <v>5858</v>
      </c>
      <c r="D2069" s="1858">
        <v>0</v>
      </c>
      <c r="E2069" s="1858">
        <v>0</v>
      </c>
      <c r="F2069" s="1859">
        <v>0</v>
      </c>
      <c r="G2069" s="1872" t="s">
        <v>5858</v>
      </c>
      <c r="H2069" s="1856">
        <v>0</v>
      </c>
      <c r="I2069" s="1856">
        <v>0</v>
      </c>
      <c r="J2069" s="1873">
        <v>0</v>
      </c>
      <c r="K2069" s="1860"/>
      <c r="L2069" s="1854">
        <v>13253200100</v>
      </c>
      <c r="M2069" s="1855">
        <v>0</v>
      </c>
      <c r="N2069" s="1855">
        <v>0</v>
      </c>
      <c r="O2069" s="1856">
        <v>0</v>
      </c>
    </row>
    <row r="2070" spans="3:15">
      <c r="C2070" s="1861" t="s">
        <v>5859</v>
      </c>
      <c r="D2070" s="1858">
        <v>0</v>
      </c>
      <c r="E2070" s="1858">
        <v>0</v>
      </c>
      <c r="F2070" s="1859">
        <v>0</v>
      </c>
      <c r="G2070" s="1872" t="s">
        <v>5859</v>
      </c>
      <c r="H2070" s="1856">
        <v>0</v>
      </c>
      <c r="I2070" s="1856">
        <v>0</v>
      </c>
      <c r="J2070" s="1873">
        <v>0</v>
      </c>
      <c r="K2070" s="1860"/>
      <c r="L2070" s="1854">
        <v>13253200200</v>
      </c>
      <c r="M2070" s="1855">
        <v>0</v>
      </c>
      <c r="N2070" s="1855">
        <v>0</v>
      </c>
      <c r="O2070" s="1856">
        <v>0</v>
      </c>
    </row>
    <row r="2071" spans="3:15">
      <c r="C2071" s="1861" t="s">
        <v>5860</v>
      </c>
      <c r="D2071" s="1858">
        <v>0</v>
      </c>
      <c r="E2071" s="1858">
        <v>0</v>
      </c>
      <c r="F2071" s="1859">
        <v>0</v>
      </c>
      <c r="G2071" s="1872" t="s">
        <v>5860</v>
      </c>
      <c r="H2071" s="1856">
        <v>0</v>
      </c>
      <c r="I2071" s="1856">
        <v>0</v>
      </c>
      <c r="J2071" s="1873">
        <v>0</v>
      </c>
      <c r="K2071" s="1860"/>
      <c r="L2071" s="1854">
        <v>13253200300</v>
      </c>
      <c r="M2071" s="1855">
        <v>0</v>
      </c>
      <c r="N2071" s="1855">
        <v>0</v>
      </c>
      <c r="O2071" s="1856">
        <v>0</v>
      </c>
    </row>
    <row r="2072" spans="3:15">
      <c r="C2072" s="1861" t="s">
        <v>5861</v>
      </c>
      <c r="D2072" s="1858">
        <v>0</v>
      </c>
      <c r="E2072" s="1858">
        <v>1</v>
      </c>
      <c r="F2072" s="1859">
        <v>1</v>
      </c>
      <c r="G2072" s="1872" t="s">
        <v>5861</v>
      </c>
      <c r="H2072" s="1856">
        <v>0</v>
      </c>
      <c r="I2072" s="1856">
        <v>0</v>
      </c>
      <c r="J2072" s="1873">
        <v>0</v>
      </c>
      <c r="K2072" s="1860"/>
      <c r="L2072" s="1854">
        <v>13255160100</v>
      </c>
      <c r="M2072" s="1855">
        <v>0</v>
      </c>
      <c r="N2072" s="1855">
        <v>1</v>
      </c>
      <c r="O2072" s="1856">
        <v>1</v>
      </c>
    </row>
    <row r="2073" spans="3:15">
      <c r="C2073" s="1861" t="s">
        <v>5862</v>
      </c>
      <c r="D2073" s="1858">
        <v>0</v>
      </c>
      <c r="E2073" s="1858">
        <v>0</v>
      </c>
      <c r="F2073" s="1859">
        <v>0</v>
      </c>
      <c r="G2073" s="1872" t="s">
        <v>5862</v>
      </c>
      <c r="H2073" s="1856">
        <v>0</v>
      </c>
      <c r="I2073" s="1856">
        <v>0</v>
      </c>
      <c r="J2073" s="1873">
        <v>0</v>
      </c>
      <c r="K2073" s="1860"/>
      <c r="L2073" s="1854">
        <v>13255160200</v>
      </c>
      <c r="M2073" s="1855">
        <v>0</v>
      </c>
      <c r="N2073" s="1855">
        <v>0</v>
      </c>
      <c r="O2073" s="1856">
        <v>0</v>
      </c>
    </row>
    <row r="2074" spans="3:15">
      <c r="C2074" s="1861" t="s">
        <v>5863</v>
      </c>
      <c r="D2074" s="1858">
        <v>0</v>
      </c>
      <c r="E2074" s="1858">
        <v>0</v>
      </c>
      <c r="F2074" s="1859">
        <v>0</v>
      </c>
      <c r="G2074" s="1872" t="s">
        <v>5863</v>
      </c>
      <c r="H2074" s="1856">
        <v>0</v>
      </c>
      <c r="I2074" s="1856">
        <v>0</v>
      </c>
      <c r="J2074" s="1873">
        <v>0</v>
      </c>
      <c r="K2074" s="1860"/>
      <c r="L2074" s="1854">
        <v>13255160300</v>
      </c>
      <c r="M2074" s="1855">
        <v>0</v>
      </c>
      <c r="N2074" s="1855">
        <v>0</v>
      </c>
      <c r="O2074" s="1856">
        <v>0</v>
      </c>
    </row>
    <row r="2075" spans="3:15">
      <c r="C2075" s="1861" t="s">
        <v>5864</v>
      </c>
      <c r="D2075" s="1858">
        <v>0</v>
      </c>
      <c r="E2075" s="1858">
        <v>0</v>
      </c>
      <c r="F2075" s="1859">
        <v>0</v>
      </c>
      <c r="G2075" s="1872" t="s">
        <v>5864</v>
      </c>
      <c r="H2075" s="1856">
        <v>0</v>
      </c>
      <c r="I2075" s="1856">
        <v>0</v>
      </c>
      <c r="J2075" s="1873">
        <v>0</v>
      </c>
      <c r="K2075" s="1860"/>
      <c r="L2075" s="1854">
        <v>13255160400</v>
      </c>
      <c r="M2075" s="1855">
        <v>0</v>
      </c>
      <c r="N2075" s="1855">
        <v>0</v>
      </c>
      <c r="O2075" s="1856">
        <v>0</v>
      </c>
    </row>
    <row r="2076" spans="3:15">
      <c r="C2076" s="1861" t="s">
        <v>5865</v>
      </c>
      <c r="D2076" s="1858">
        <v>0</v>
      </c>
      <c r="E2076" s="1858">
        <v>0</v>
      </c>
      <c r="F2076" s="1859">
        <v>0</v>
      </c>
      <c r="G2076" s="1872" t="s">
        <v>5865</v>
      </c>
      <c r="H2076" s="1856">
        <v>0</v>
      </c>
      <c r="I2076" s="1856">
        <v>0</v>
      </c>
      <c r="J2076" s="1873">
        <v>0</v>
      </c>
      <c r="K2076" s="1860"/>
      <c r="L2076" s="1854">
        <v>13255160500</v>
      </c>
      <c r="M2076" s="1855">
        <v>0</v>
      </c>
      <c r="N2076" s="1855">
        <v>0</v>
      </c>
      <c r="O2076" s="1856">
        <v>0</v>
      </c>
    </row>
    <row r="2077" spans="3:15">
      <c r="C2077" s="1861" t="s">
        <v>5866</v>
      </c>
      <c r="D2077" s="1858">
        <v>1</v>
      </c>
      <c r="E2077" s="1858">
        <v>1</v>
      </c>
      <c r="F2077" s="1859">
        <v>2</v>
      </c>
      <c r="G2077" s="1872" t="s">
        <v>5866</v>
      </c>
      <c r="H2077" s="1856">
        <v>0</v>
      </c>
      <c r="I2077" s="1856">
        <v>0</v>
      </c>
      <c r="J2077" s="1873">
        <v>0</v>
      </c>
      <c r="K2077" s="1860"/>
      <c r="L2077" s="1854">
        <v>13255160600</v>
      </c>
      <c r="M2077" s="1855">
        <v>1</v>
      </c>
      <c r="N2077" s="1855">
        <v>1</v>
      </c>
      <c r="O2077" s="1856">
        <v>2</v>
      </c>
    </row>
    <row r="2078" spans="3:15">
      <c r="C2078" s="1861" t="s">
        <v>5867</v>
      </c>
      <c r="D2078" s="1858">
        <v>0</v>
      </c>
      <c r="E2078" s="1858">
        <v>0</v>
      </c>
      <c r="F2078" s="1859">
        <v>0</v>
      </c>
      <c r="G2078" s="1872" t="s">
        <v>5867</v>
      </c>
      <c r="H2078" s="1856">
        <v>0</v>
      </c>
      <c r="I2078" s="1856">
        <v>0</v>
      </c>
      <c r="J2078" s="1873">
        <v>0</v>
      </c>
      <c r="K2078" s="1860"/>
      <c r="L2078" s="1854">
        <v>13255160700</v>
      </c>
      <c r="M2078" s="1855">
        <v>0</v>
      </c>
      <c r="N2078" s="1855">
        <v>0</v>
      </c>
      <c r="O2078" s="1856">
        <v>0</v>
      </c>
    </row>
    <row r="2079" spans="3:15">
      <c r="C2079" s="1861" t="s">
        <v>5868</v>
      </c>
      <c r="D2079" s="1858">
        <v>0</v>
      </c>
      <c r="E2079" s="1858">
        <v>0</v>
      </c>
      <c r="F2079" s="1859">
        <v>0</v>
      </c>
      <c r="G2079" s="1872" t="s">
        <v>5868</v>
      </c>
      <c r="H2079" s="1856">
        <v>0</v>
      </c>
      <c r="I2079" s="1856">
        <v>0</v>
      </c>
      <c r="J2079" s="1873">
        <v>0</v>
      </c>
      <c r="K2079" s="1860"/>
      <c r="L2079" s="1854">
        <v>13255160800</v>
      </c>
      <c r="M2079" s="1855">
        <v>0</v>
      </c>
      <c r="N2079" s="1855">
        <v>0</v>
      </c>
      <c r="O2079" s="1856">
        <v>0</v>
      </c>
    </row>
    <row r="2080" spans="3:15">
      <c r="C2080" s="1861" t="s">
        <v>5869</v>
      </c>
      <c r="D2080" s="1858">
        <v>0</v>
      </c>
      <c r="E2080" s="1858">
        <v>0</v>
      </c>
      <c r="F2080" s="1859">
        <v>0</v>
      </c>
      <c r="G2080" s="1872" t="s">
        <v>5869</v>
      </c>
      <c r="H2080" s="1856">
        <v>0</v>
      </c>
      <c r="I2080" s="1856">
        <v>0</v>
      </c>
      <c r="J2080" s="1873">
        <v>0</v>
      </c>
      <c r="K2080" s="1860"/>
      <c r="L2080" s="1854">
        <v>13255160900</v>
      </c>
      <c r="M2080" s="1855">
        <v>0</v>
      </c>
      <c r="N2080" s="1855">
        <v>0</v>
      </c>
      <c r="O2080" s="1856">
        <v>0</v>
      </c>
    </row>
    <row r="2081" spans="3:15">
      <c r="C2081" s="1861" t="s">
        <v>5870</v>
      </c>
      <c r="D2081" s="1858">
        <v>0</v>
      </c>
      <c r="E2081" s="1858">
        <v>1</v>
      </c>
      <c r="F2081" s="1859">
        <v>1</v>
      </c>
      <c r="G2081" s="1872" t="s">
        <v>5870</v>
      </c>
      <c r="H2081" s="1856">
        <v>0</v>
      </c>
      <c r="I2081" s="1856">
        <v>0</v>
      </c>
      <c r="J2081" s="1873">
        <v>0</v>
      </c>
      <c r="K2081" s="1860"/>
      <c r="L2081" s="1854">
        <v>13255161000</v>
      </c>
      <c r="M2081" s="1855">
        <v>0</v>
      </c>
      <c r="N2081" s="1855">
        <v>1</v>
      </c>
      <c r="O2081" s="1856">
        <v>1</v>
      </c>
    </row>
    <row r="2082" spans="3:15">
      <c r="C2082" s="1861" t="s">
        <v>5871</v>
      </c>
      <c r="D2082" s="1858">
        <v>1</v>
      </c>
      <c r="E2082" s="1858">
        <v>1</v>
      </c>
      <c r="F2082" s="1859">
        <v>2</v>
      </c>
      <c r="G2082" s="1872" t="s">
        <v>5871</v>
      </c>
      <c r="H2082" s="1856">
        <v>1</v>
      </c>
      <c r="I2082" s="1856">
        <v>1</v>
      </c>
      <c r="J2082" s="1873">
        <v>2</v>
      </c>
      <c r="K2082" s="1860"/>
      <c r="L2082" s="1854">
        <v>13255161100</v>
      </c>
      <c r="M2082" s="1855">
        <v>1</v>
      </c>
      <c r="N2082" s="1855">
        <v>1</v>
      </c>
      <c r="O2082" s="1856">
        <v>2</v>
      </c>
    </row>
    <row r="2083" spans="3:15">
      <c r="C2083" s="1861" t="s">
        <v>5872</v>
      </c>
      <c r="D2083" s="1858">
        <v>0</v>
      </c>
      <c r="E2083" s="1858">
        <v>0</v>
      </c>
      <c r="F2083" s="1859">
        <v>0</v>
      </c>
      <c r="G2083" s="1872" t="s">
        <v>5872</v>
      </c>
      <c r="H2083" s="1856">
        <v>0</v>
      </c>
      <c r="I2083" s="1856">
        <v>1</v>
      </c>
      <c r="J2083" s="1873">
        <v>1</v>
      </c>
      <c r="K2083" s="1860"/>
      <c r="L2083" s="1854">
        <v>13255161200</v>
      </c>
      <c r="M2083" s="1855">
        <v>0</v>
      </c>
      <c r="N2083" s="1855">
        <v>1</v>
      </c>
      <c r="O2083" s="1856">
        <v>1</v>
      </c>
    </row>
    <row r="2084" spans="3:15">
      <c r="C2084" s="1861" t="s">
        <v>5873</v>
      </c>
      <c r="D2084" s="1858">
        <v>0</v>
      </c>
      <c r="E2084" s="1858">
        <v>0</v>
      </c>
      <c r="F2084" s="1859">
        <v>0</v>
      </c>
      <c r="G2084" s="1872" t="s">
        <v>5873</v>
      </c>
      <c r="H2084" s="1856">
        <v>0</v>
      </c>
      <c r="I2084" s="1856">
        <v>0</v>
      </c>
      <c r="J2084" s="1873">
        <v>0</v>
      </c>
      <c r="K2084" s="1860"/>
      <c r="L2084" s="1854">
        <v>13257970100</v>
      </c>
      <c r="M2084" s="1855">
        <v>0</v>
      </c>
      <c r="N2084" s="1855">
        <v>0</v>
      </c>
      <c r="O2084" s="1856">
        <v>0</v>
      </c>
    </row>
    <row r="2085" spans="3:15">
      <c r="C2085" s="1861" t="s">
        <v>5874</v>
      </c>
      <c r="D2085" s="1858">
        <v>0</v>
      </c>
      <c r="E2085" s="1858">
        <v>0</v>
      </c>
      <c r="F2085" s="1859">
        <v>0</v>
      </c>
      <c r="G2085" s="1872" t="s">
        <v>5874</v>
      </c>
      <c r="H2085" s="1856">
        <v>0</v>
      </c>
      <c r="I2085" s="1856">
        <v>0</v>
      </c>
      <c r="J2085" s="1873">
        <v>0</v>
      </c>
      <c r="K2085" s="1860"/>
      <c r="L2085" s="1854">
        <v>13257970200</v>
      </c>
      <c r="M2085" s="1855">
        <v>0</v>
      </c>
      <c r="N2085" s="1855">
        <v>0</v>
      </c>
      <c r="O2085" s="1856">
        <v>0</v>
      </c>
    </row>
    <row r="2086" spans="3:15">
      <c r="C2086" s="1861" t="s">
        <v>5875</v>
      </c>
      <c r="D2086" s="1858">
        <v>0</v>
      </c>
      <c r="E2086" s="1858">
        <v>0</v>
      </c>
      <c r="F2086" s="1859">
        <v>0</v>
      </c>
      <c r="G2086" s="1872" t="s">
        <v>5875</v>
      </c>
      <c r="H2086" s="1856">
        <v>0</v>
      </c>
      <c r="I2086" s="1856">
        <v>0</v>
      </c>
      <c r="J2086" s="1873">
        <v>0</v>
      </c>
      <c r="K2086" s="1860"/>
      <c r="L2086" s="1854">
        <v>13257970301</v>
      </c>
      <c r="M2086" s="1855">
        <v>0</v>
      </c>
      <c r="N2086" s="1855">
        <v>0</v>
      </c>
      <c r="O2086" s="1856">
        <v>0</v>
      </c>
    </row>
    <row r="2087" spans="3:15">
      <c r="C2087" s="1861" t="s">
        <v>5876</v>
      </c>
      <c r="D2087" s="1858">
        <v>0</v>
      </c>
      <c r="E2087" s="1858">
        <v>0</v>
      </c>
      <c r="F2087" s="1859">
        <v>0</v>
      </c>
      <c r="G2087" s="1872" t="s">
        <v>5876</v>
      </c>
      <c r="H2087" s="1856">
        <v>0</v>
      </c>
      <c r="I2087" s="1856">
        <v>0</v>
      </c>
      <c r="J2087" s="1873">
        <v>0</v>
      </c>
      <c r="K2087" s="1860"/>
      <c r="L2087" s="1854">
        <v>13257970302</v>
      </c>
      <c r="M2087" s="1855">
        <v>0</v>
      </c>
      <c r="N2087" s="1855">
        <v>0</v>
      </c>
      <c r="O2087" s="1856">
        <v>0</v>
      </c>
    </row>
    <row r="2088" spans="3:15">
      <c r="C2088" s="1861" t="s">
        <v>5877</v>
      </c>
      <c r="D2088" s="1858">
        <v>0</v>
      </c>
      <c r="E2088" s="1858">
        <v>0</v>
      </c>
      <c r="F2088" s="1859">
        <v>0</v>
      </c>
      <c r="G2088" s="1872" t="s">
        <v>5877</v>
      </c>
      <c r="H2088" s="1856">
        <v>0</v>
      </c>
      <c r="I2088" s="1856">
        <v>0</v>
      </c>
      <c r="J2088" s="1873">
        <v>0</v>
      </c>
      <c r="K2088" s="1860"/>
      <c r="L2088" s="1854">
        <v>13257970400</v>
      </c>
      <c r="M2088" s="1855">
        <v>0</v>
      </c>
      <c r="N2088" s="1855">
        <v>0</v>
      </c>
      <c r="O2088" s="1856">
        <v>0</v>
      </c>
    </row>
    <row r="2089" spans="3:15">
      <c r="C2089" s="1861" t="s">
        <v>5878</v>
      </c>
      <c r="D2089" s="1858">
        <v>0</v>
      </c>
      <c r="E2089" s="1858">
        <v>0</v>
      </c>
      <c r="F2089" s="1859">
        <v>0</v>
      </c>
      <c r="G2089" s="1872" t="s">
        <v>5878</v>
      </c>
      <c r="H2089" s="1856">
        <v>0</v>
      </c>
      <c r="I2089" s="1856">
        <v>0</v>
      </c>
      <c r="J2089" s="1873">
        <v>0</v>
      </c>
      <c r="K2089" s="1860"/>
      <c r="L2089" s="1854">
        <v>13259950100</v>
      </c>
      <c r="M2089" s="1855">
        <v>0</v>
      </c>
      <c r="N2089" s="1855">
        <v>0</v>
      </c>
      <c r="O2089" s="1856">
        <v>0</v>
      </c>
    </row>
    <row r="2090" spans="3:15">
      <c r="C2090" s="1861" t="s">
        <v>5879</v>
      </c>
      <c r="D2090" s="1858">
        <v>0</v>
      </c>
      <c r="E2090" s="1858">
        <v>0</v>
      </c>
      <c r="F2090" s="1859">
        <v>0</v>
      </c>
      <c r="G2090" s="1872" t="s">
        <v>5879</v>
      </c>
      <c r="H2090" s="1856">
        <v>0</v>
      </c>
      <c r="I2090" s="1856">
        <v>0</v>
      </c>
      <c r="J2090" s="1873">
        <v>0</v>
      </c>
      <c r="K2090" s="1860"/>
      <c r="L2090" s="1854">
        <v>13259950400</v>
      </c>
      <c r="M2090" s="1855">
        <v>0</v>
      </c>
      <c r="N2090" s="1855">
        <v>0</v>
      </c>
      <c r="O2090" s="1856">
        <v>0</v>
      </c>
    </row>
    <row r="2091" spans="3:15">
      <c r="C2091" s="1861" t="s">
        <v>5880</v>
      </c>
      <c r="D2091" s="1858">
        <v>0</v>
      </c>
      <c r="E2091" s="1858">
        <v>0</v>
      </c>
      <c r="F2091" s="1859">
        <v>0</v>
      </c>
      <c r="G2091" s="1872" t="s">
        <v>5880</v>
      </c>
      <c r="H2091" s="1856">
        <v>0</v>
      </c>
      <c r="I2091" s="1856">
        <v>0</v>
      </c>
      <c r="J2091" s="1873">
        <v>0</v>
      </c>
      <c r="K2091" s="1860"/>
      <c r="L2091" s="1854">
        <v>13261950100</v>
      </c>
      <c r="M2091" s="1855">
        <v>0</v>
      </c>
      <c r="N2091" s="1855">
        <v>0</v>
      </c>
      <c r="O2091" s="1856">
        <v>0</v>
      </c>
    </row>
    <row r="2092" spans="3:15">
      <c r="C2092" s="1861" t="s">
        <v>5881</v>
      </c>
      <c r="D2092" s="1858">
        <v>0</v>
      </c>
      <c r="E2092" s="1858">
        <v>0</v>
      </c>
      <c r="F2092" s="1859">
        <v>0</v>
      </c>
      <c r="G2092" s="1872" t="s">
        <v>5881</v>
      </c>
      <c r="H2092" s="1856">
        <v>0</v>
      </c>
      <c r="I2092" s="1856">
        <v>0</v>
      </c>
      <c r="J2092" s="1873">
        <v>0</v>
      </c>
      <c r="K2092" s="1860"/>
      <c r="L2092" s="1854">
        <v>13261950200</v>
      </c>
      <c r="M2092" s="1855">
        <v>0</v>
      </c>
      <c r="N2092" s="1855">
        <v>0</v>
      </c>
      <c r="O2092" s="1856">
        <v>0</v>
      </c>
    </row>
    <row r="2093" spans="3:15">
      <c r="C2093" s="1861" t="s">
        <v>5882</v>
      </c>
      <c r="D2093" s="1858">
        <v>0</v>
      </c>
      <c r="E2093" s="1858">
        <v>0</v>
      </c>
      <c r="F2093" s="1859">
        <v>0</v>
      </c>
      <c r="G2093" s="1872" t="s">
        <v>5882</v>
      </c>
      <c r="H2093" s="1856">
        <v>0</v>
      </c>
      <c r="I2093" s="1856">
        <v>1</v>
      </c>
      <c r="J2093" s="1873">
        <v>1</v>
      </c>
      <c r="K2093" s="1860"/>
      <c r="L2093" s="1854">
        <v>13261950300</v>
      </c>
      <c r="M2093" s="1855">
        <v>0</v>
      </c>
      <c r="N2093" s="1855">
        <v>1</v>
      </c>
      <c r="O2093" s="1856">
        <v>1</v>
      </c>
    </row>
    <row r="2094" spans="3:15">
      <c r="C2094" s="1861" t="s">
        <v>5883</v>
      </c>
      <c r="D2094" s="1858">
        <v>0</v>
      </c>
      <c r="E2094" s="1858">
        <v>0</v>
      </c>
      <c r="F2094" s="1859">
        <v>0</v>
      </c>
      <c r="G2094" s="1872" t="s">
        <v>5883</v>
      </c>
      <c r="H2094" s="1856">
        <v>0</v>
      </c>
      <c r="I2094" s="1856">
        <v>0</v>
      </c>
      <c r="J2094" s="1873">
        <v>0</v>
      </c>
      <c r="K2094" s="1860"/>
      <c r="L2094" s="1854">
        <v>13261950400</v>
      </c>
      <c r="M2094" s="1855">
        <v>0</v>
      </c>
      <c r="N2094" s="1855">
        <v>0</v>
      </c>
      <c r="O2094" s="1856">
        <v>0</v>
      </c>
    </row>
    <row r="2095" spans="3:15">
      <c r="C2095" s="1861" t="s">
        <v>5884</v>
      </c>
      <c r="D2095" s="1858">
        <v>0</v>
      </c>
      <c r="E2095" s="1858">
        <v>0</v>
      </c>
      <c r="F2095" s="1859">
        <v>0</v>
      </c>
      <c r="G2095" s="1872" t="s">
        <v>5884</v>
      </c>
      <c r="H2095" s="1856">
        <v>0</v>
      </c>
      <c r="I2095" s="1856">
        <v>0</v>
      </c>
      <c r="J2095" s="1873">
        <v>0</v>
      </c>
      <c r="K2095" s="1860"/>
      <c r="L2095" s="1854">
        <v>13261950500</v>
      </c>
      <c r="M2095" s="1855">
        <v>0</v>
      </c>
      <c r="N2095" s="1855">
        <v>0</v>
      </c>
      <c r="O2095" s="1856">
        <v>0</v>
      </c>
    </row>
    <row r="2096" spans="3:15">
      <c r="C2096" s="1861" t="s">
        <v>5885</v>
      </c>
      <c r="D2096" s="1858">
        <v>0</v>
      </c>
      <c r="E2096" s="1858">
        <v>0</v>
      </c>
      <c r="F2096" s="1859">
        <v>0</v>
      </c>
      <c r="G2096" s="1872" t="s">
        <v>5885</v>
      </c>
      <c r="H2096" s="1856">
        <v>0</v>
      </c>
      <c r="I2096" s="1856">
        <v>0</v>
      </c>
      <c r="J2096" s="1873">
        <v>0</v>
      </c>
      <c r="K2096" s="1860"/>
      <c r="L2096" s="1854">
        <v>13261950600</v>
      </c>
      <c r="M2096" s="1855">
        <v>0</v>
      </c>
      <c r="N2096" s="1855">
        <v>0</v>
      </c>
      <c r="O2096" s="1856">
        <v>0</v>
      </c>
    </row>
    <row r="2097" spans="3:15">
      <c r="C2097" s="1861" t="s">
        <v>5886</v>
      </c>
      <c r="D2097" s="1858">
        <v>0</v>
      </c>
      <c r="E2097" s="1858">
        <v>0</v>
      </c>
      <c r="F2097" s="1859">
        <v>0</v>
      </c>
      <c r="G2097" s="1872" t="s">
        <v>5886</v>
      </c>
      <c r="H2097" s="1856">
        <v>0</v>
      </c>
      <c r="I2097" s="1856">
        <v>1</v>
      </c>
      <c r="J2097" s="1873">
        <v>1</v>
      </c>
      <c r="K2097" s="1860"/>
      <c r="L2097" s="1854">
        <v>13261950700</v>
      </c>
      <c r="M2097" s="1855">
        <v>0</v>
      </c>
      <c r="N2097" s="1855">
        <v>1</v>
      </c>
      <c r="O2097" s="1856">
        <v>1</v>
      </c>
    </row>
    <row r="2098" spans="3:15">
      <c r="C2098" s="1861" t="s">
        <v>5887</v>
      </c>
      <c r="D2098" s="1858">
        <v>0</v>
      </c>
      <c r="E2098" s="1858">
        <v>0</v>
      </c>
      <c r="F2098" s="1859">
        <v>0</v>
      </c>
      <c r="G2098" s="1872" t="s">
        <v>5887</v>
      </c>
      <c r="H2098" s="1856">
        <v>0</v>
      </c>
      <c r="I2098" s="1856">
        <v>1</v>
      </c>
      <c r="J2098" s="1873">
        <v>1</v>
      </c>
      <c r="K2098" s="1860"/>
      <c r="L2098" s="1854">
        <v>13261950800</v>
      </c>
      <c r="M2098" s="1855">
        <v>0</v>
      </c>
      <c r="N2098" s="1855">
        <v>1</v>
      </c>
      <c r="O2098" s="1856">
        <v>1</v>
      </c>
    </row>
    <row r="2099" spans="3:15">
      <c r="C2099" s="1861" t="s">
        <v>5888</v>
      </c>
      <c r="D2099" s="1858">
        <v>1</v>
      </c>
      <c r="E2099" s="1858">
        <v>0</v>
      </c>
      <c r="F2099" s="1859">
        <v>1</v>
      </c>
      <c r="G2099" s="1872" t="s">
        <v>5888</v>
      </c>
      <c r="H2099" s="1856">
        <v>0</v>
      </c>
      <c r="I2099" s="1856" t="s">
        <v>3908</v>
      </c>
      <c r="J2099" s="1873">
        <v>0</v>
      </c>
      <c r="K2099" s="1860"/>
      <c r="L2099" s="1854">
        <v>13263960100</v>
      </c>
      <c r="M2099" s="1855">
        <v>1</v>
      </c>
      <c r="N2099" s="1855">
        <v>0</v>
      </c>
      <c r="O2099" s="1856">
        <v>1</v>
      </c>
    </row>
    <row r="2100" spans="3:15">
      <c r="C2100" s="1861" t="s">
        <v>5889</v>
      </c>
      <c r="D2100" s="1858">
        <v>0</v>
      </c>
      <c r="E2100" s="1858">
        <v>0</v>
      </c>
      <c r="F2100" s="1859">
        <v>0</v>
      </c>
      <c r="G2100" s="1872" t="s">
        <v>5889</v>
      </c>
      <c r="H2100" s="1856">
        <v>0</v>
      </c>
      <c r="I2100" s="1856">
        <v>0</v>
      </c>
      <c r="J2100" s="1873">
        <v>0</v>
      </c>
      <c r="K2100" s="1860"/>
      <c r="L2100" s="1854">
        <v>13263960200</v>
      </c>
      <c r="M2100" s="1855">
        <v>0</v>
      </c>
      <c r="N2100" s="1855">
        <v>0</v>
      </c>
      <c r="O2100" s="1856">
        <v>0</v>
      </c>
    </row>
    <row r="2101" spans="3:15">
      <c r="C2101" s="1861" t="s">
        <v>5890</v>
      </c>
      <c r="D2101" s="1858">
        <v>0</v>
      </c>
      <c r="E2101" s="1858">
        <v>0</v>
      </c>
      <c r="F2101" s="1859">
        <v>0</v>
      </c>
      <c r="G2101" s="1872" t="s">
        <v>5890</v>
      </c>
      <c r="H2101" s="1856">
        <v>0</v>
      </c>
      <c r="I2101" s="1856">
        <v>0</v>
      </c>
      <c r="J2101" s="1873">
        <v>0</v>
      </c>
      <c r="K2101" s="1860"/>
      <c r="L2101" s="1854">
        <v>13263960300</v>
      </c>
      <c r="M2101" s="1855">
        <v>0</v>
      </c>
      <c r="N2101" s="1855">
        <v>0</v>
      </c>
      <c r="O2101" s="1856">
        <v>0</v>
      </c>
    </row>
    <row r="2102" spans="3:15">
      <c r="C2102" s="1861" t="s">
        <v>5891</v>
      </c>
      <c r="D2102" s="1858">
        <v>0</v>
      </c>
      <c r="E2102" s="1858">
        <v>0</v>
      </c>
      <c r="F2102" s="1859">
        <v>0</v>
      </c>
      <c r="G2102" s="1872" t="s">
        <v>5891</v>
      </c>
      <c r="H2102" s="1856">
        <v>0</v>
      </c>
      <c r="I2102" s="1856">
        <v>0</v>
      </c>
      <c r="J2102" s="1873">
        <v>0</v>
      </c>
      <c r="K2102" s="1860"/>
      <c r="L2102" s="1854">
        <v>13265010200</v>
      </c>
      <c r="M2102" s="1855">
        <v>0</v>
      </c>
      <c r="N2102" s="1855">
        <v>0</v>
      </c>
      <c r="O2102" s="1856">
        <v>0</v>
      </c>
    </row>
    <row r="2103" spans="3:15">
      <c r="C2103" s="1861" t="s">
        <v>5892</v>
      </c>
      <c r="D2103" s="1858">
        <v>0</v>
      </c>
      <c r="E2103" s="1858">
        <v>0</v>
      </c>
      <c r="F2103" s="1859">
        <v>0</v>
      </c>
      <c r="G2103" s="1872" t="s">
        <v>5892</v>
      </c>
      <c r="H2103" s="1856">
        <v>0</v>
      </c>
      <c r="I2103" s="1856">
        <v>0</v>
      </c>
      <c r="J2103" s="1873">
        <v>0</v>
      </c>
      <c r="K2103" s="1860"/>
      <c r="L2103" s="1854">
        <v>13267950100</v>
      </c>
      <c r="M2103" s="1855">
        <v>0</v>
      </c>
      <c r="N2103" s="1855">
        <v>0</v>
      </c>
      <c r="O2103" s="1856">
        <v>0</v>
      </c>
    </row>
    <row r="2104" spans="3:15">
      <c r="C2104" s="1861" t="s">
        <v>5893</v>
      </c>
      <c r="D2104" s="1858">
        <v>0</v>
      </c>
      <c r="E2104" s="1858">
        <v>0</v>
      </c>
      <c r="F2104" s="1859">
        <v>0</v>
      </c>
      <c r="G2104" s="1872" t="s">
        <v>5893</v>
      </c>
      <c r="H2104" s="1856">
        <v>0</v>
      </c>
      <c r="I2104" s="1856">
        <v>0</v>
      </c>
      <c r="J2104" s="1873">
        <v>0</v>
      </c>
      <c r="K2104" s="1860"/>
      <c r="L2104" s="1854">
        <v>13267950201</v>
      </c>
      <c r="M2104" s="1855">
        <v>0</v>
      </c>
      <c r="N2104" s="1855">
        <v>0</v>
      </c>
      <c r="O2104" s="1856">
        <v>0</v>
      </c>
    </row>
    <row r="2105" spans="3:15">
      <c r="C2105" s="1861" t="s">
        <v>5894</v>
      </c>
      <c r="D2105" s="1858">
        <v>0</v>
      </c>
      <c r="E2105" s="1858">
        <v>0</v>
      </c>
      <c r="F2105" s="1859">
        <v>0</v>
      </c>
      <c r="G2105" s="1872" t="s">
        <v>5894</v>
      </c>
      <c r="H2105" s="1856">
        <v>0</v>
      </c>
      <c r="I2105" s="1856">
        <v>0</v>
      </c>
      <c r="J2105" s="1873">
        <v>0</v>
      </c>
      <c r="K2105" s="1860"/>
      <c r="L2105" s="1854">
        <v>13267950202</v>
      </c>
      <c r="M2105" s="1855">
        <v>0</v>
      </c>
      <c r="N2105" s="1855">
        <v>0</v>
      </c>
      <c r="O2105" s="1856">
        <v>0</v>
      </c>
    </row>
    <row r="2106" spans="3:15">
      <c r="C2106" s="1861" t="s">
        <v>5895</v>
      </c>
      <c r="D2106" s="1858">
        <v>0</v>
      </c>
      <c r="E2106" s="1858">
        <v>0</v>
      </c>
      <c r="F2106" s="1859">
        <v>0</v>
      </c>
      <c r="G2106" s="1872" t="s">
        <v>5895</v>
      </c>
      <c r="H2106" s="1856">
        <v>0</v>
      </c>
      <c r="I2106" s="1856">
        <v>0</v>
      </c>
      <c r="J2106" s="1873">
        <v>0</v>
      </c>
      <c r="K2106" s="1860"/>
      <c r="L2106" s="1854">
        <v>13267950300</v>
      </c>
      <c r="M2106" s="1855">
        <v>0</v>
      </c>
      <c r="N2106" s="1855">
        <v>0</v>
      </c>
      <c r="O2106" s="1856">
        <v>0</v>
      </c>
    </row>
    <row r="2107" spans="3:15">
      <c r="C2107" s="1861" t="s">
        <v>5896</v>
      </c>
      <c r="D2107" s="1858">
        <v>0</v>
      </c>
      <c r="E2107" s="1858">
        <v>0</v>
      </c>
      <c r="F2107" s="1859">
        <v>0</v>
      </c>
      <c r="G2107" s="1872" t="s">
        <v>5896</v>
      </c>
      <c r="H2107" s="1856">
        <v>0</v>
      </c>
      <c r="I2107" s="1856">
        <v>0</v>
      </c>
      <c r="J2107" s="1873">
        <v>0</v>
      </c>
      <c r="K2107" s="1860"/>
      <c r="L2107" s="1854">
        <v>13267950400</v>
      </c>
      <c r="M2107" s="1855">
        <v>0</v>
      </c>
      <c r="N2107" s="1855">
        <v>0</v>
      </c>
      <c r="O2107" s="1856">
        <v>0</v>
      </c>
    </row>
    <row r="2108" spans="3:15">
      <c r="C2108" s="1861" t="s">
        <v>5897</v>
      </c>
      <c r="D2108" s="1858">
        <v>0</v>
      </c>
      <c r="E2108" s="1858">
        <v>0</v>
      </c>
      <c r="F2108" s="1859">
        <v>0</v>
      </c>
      <c r="G2108" s="1872" t="s">
        <v>5897</v>
      </c>
      <c r="H2108" s="1856">
        <v>0</v>
      </c>
      <c r="I2108" s="1856">
        <v>0</v>
      </c>
      <c r="J2108" s="1873">
        <v>0</v>
      </c>
      <c r="K2108" s="1860"/>
      <c r="L2108" s="1854">
        <v>13269950100</v>
      </c>
      <c r="M2108" s="1855">
        <v>0</v>
      </c>
      <c r="N2108" s="1855">
        <v>0</v>
      </c>
      <c r="O2108" s="1856">
        <v>0</v>
      </c>
    </row>
    <row r="2109" spans="3:15">
      <c r="C2109" s="1861" t="s">
        <v>5898</v>
      </c>
      <c r="D2109" s="1858">
        <v>0</v>
      </c>
      <c r="E2109" s="1858">
        <v>0</v>
      </c>
      <c r="F2109" s="1859">
        <v>0</v>
      </c>
      <c r="G2109" s="1872" t="s">
        <v>5898</v>
      </c>
      <c r="H2109" s="1856">
        <v>0</v>
      </c>
      <c r="I2109" s="1856">
        <v>0</v>
      </c>
      <c r="J2109" s="1873">
        <v>0</v>
      </c>
      <c r="K2109" s="1860"/>
      <c r="L2109" s="1854">
        <v>13269950200</v>
      </c>
      <c r="M2109" s="1855">
        <v>0</v>
      </c>
      <c r="N2109" s="1855">
        <v>0</v>
      </c>
      <c r="O2109" s="1856">
        <v>0</v>
      </c>
    </row>
    <row r="2110" spans="3:15">
      <c r="C2110" s="1861" t="s">
        <v>5899</v>
      </c>
      <c r="D2110" s="1858">
        <v>0</v>
      </c>
      <c r="E2110" s="1858">
        <v>0</v>
      </c>
      <c r="F2110" s="1859">
        <v>0</v>
      </c>
      <c r="G2110" s="1872" t="s">
        <v>5899</v>
      </c>
      <c r="H2110" s="1856">
        <v>0</v>
      </c>
      <c r="I2110" s="1856">
        <v>0</v>
      </c>
      <c r="J2110" s="1873">
        <v>0</v>
      </c>
      <c r="K2110" s="1860"/>
      <c r="L2110" s="1854">
        <v>13269950300</v>
      </c>
      <c r="M2110" s="1855">
        <v>0</v>
      </c>
      <c r="N2110" s="1855">
        <v>0</v>
      </c>
      <c r="O2110" s="1856">
        <v>0</v>
      </c>
    </row>
    <row r="2111" spans="3:15">
      <c r="C2111" s="1861" t="s">
        <v>5900</v>
      </c>
      <c r="D2111" s="1858">
        <v>0</v>
      </c>
      <c r="E2111" s="1858">
        <v>0</v>
      </c>
      <c r="F2111" s="1859">
        <v>0</v>
      </c>
      <c r="G2111" s="1872" t="s">
        <v>5900</v>
      </c>
      <c r="H2111" s="1856">
        <v>0</v>
      </c>
      <c r="I2111" s="1856">
        <v>1</v>
      </c>
      <c r="J2111" s="1873">
        <v>1</v>
      </c>
      <c r="K2111" s="1860"/>
      <c r="L2111" s="1854">
        <v>13271950100</v>
      </c>
      <c r="M2111" s="1855">
        <v>0</v>
      </c>
      <c r="N2111" s="1855">
        <v>1</v>
      </c>
      <c r="O2111" s="1856">
        <v>1</v>
      </c>
    </row>
    <row r="2112" spans="3:15">
      <c r="C2112" s="1861" t="s">
        <v>5901</v>
      </c>
      <c r="D2112" s="1858">
        <v>0</v>
      </c>
      <c r="E2112" s="1858">
        <v>0</v>
      </c>
      <c r="F2112" s="1859">
        <v>0</v>
      </c>
      <c r="G2112" s="1872" t="s">
        <v>5901</v>
      </c>
      <c r="H2112" s="1856">
        <v>0</v>
      </c>
      <c r="I2112" s="1856">
        <v>1</v>
      </c>
      <c r="J2112" s="1873">
        <v>1</v>
      </c>
      <c r="K2112" s="1860"/>
      <c r="L2112" s="1854">
        <v>13271950200</v>
      </c>
      <c r="M2112" s="1855">
        <v>0</v>
      </c>
      <c r="N2112" s="1855">
        <v>1</v>
      </c>
      <c r="O2112" s="1856">
        <v>1</v>
      </c>
    </row>
    <row r="2113" spans="3:15">
      <c r="C2113" s="1861" t="s">
        <v>5902</v>
      </c>
      <c r="D2113" s="1858">
        <v>0</v>
      </c>
      <c r="E2113" s="1858">
        <v>0</v>
      </c>
      <c r="F2113" s="1859">
        <v>0</v>
      </c>
      <c r="G2113" s="1872" t="s">
        <v>5902</v>
      </c>
      <c r="H2113" s="1856">
        <v>0</v>
      </c>
      <c r="I2113" s="1856">
        <v>0</v>
      </c>
      <c r="J2113" s="1873">
        <v>0</v>
      </c>
      <c r="K2113" s="1860"/>
      <c r="L2113" s="1854">
        <v>13271950500</v>
      </c>
      <c r="M2113" s="1855">
        <v>0</v>
      </c>
      <c r="N2113" s="1855">
        <v>0</v>
      </c>
      <c r="O2113" s="1856">
        <v>0</v>
      </c>
    </row>
    <row r="2114" spans="3:15">
      <c r="C2114" s="1861" t="s">
        <v>5903</v>
      </c>
      <c r="D2114" s="1858">
        <v>0</v>
      </c>
      <c r="E2114" s="1858">
        <v>0</v>
      </c>
      <c r="F2114" s="1859">
        <v>0</v>
      </c>
      <c r="G2114" s="1872" t="s">
        <v>5903</v>
      </c>
      <c r="H2114" s="1856">
        <v>0</v>
      </c>
      <c r="I2114" s="1856">
        <v>0</v>
      </c>
      <c r="J2114" s="1873">
        <v>0</v>
      </c>
      <c r="K2114" s="1860"/>
      <c r="L2114" s="1854">
        <v>13273120200</v>
      </c>
      <c r="M2114" s="1855">
        <v>0</v>
      </c>
      <c r="N2114" s="1855">
        <v>0</v>
      </c>
      <c r="O2114" s="1856">
        <v>0</v>
      </c>
    </row>
    <row r="2115" spans="3:15">
      <c r="C2115" s="1861" t="s">
        <v>5904</v>
      </c>
      <c r="D2115" s="1858">
        <v>0</v>
      </c>
      <c r="E2115" s="1858">
        <v>0</v>
      </c>
      <c r="F2115" s="1859">
        <v>0</v>
      </c>
      <c r="G2115" s="1872" t="s">
        <v>5904</v>
      </c>
      <c r="H2115" s="1856">
        <v>0</v>
      </c>
      <c r="I2115" s="1856">
        <v>0</v>
      </c>
      <c r="J2115" s="1873">
        <v>0</v>
      </c>
      <c r="K2115" s="1860"/>
      <c r="L2115" s="1854">
        <v>13273120300</v>
      </c>
      <c r="M2115" s="1855">
        <v>0</v>
      </c>
      <c r="N2115" s="1855">
        <v>0</v>
      </c>
      <c r="O2115" s="1856">
        <v>0</v>
      </c>
    </row>
    <row r="2116" spans="3:15">
      <c r="C2116" s="1861" t="s">
        <v>5905</v>
      </c>
      <c r="D2116" s="1858">
        <v>0</v>
      </c>
      <c r="E2116" s="1858">
        <v>0</v>
      </c>
      <c r="F2116" s="1859">
        <v>0</v>
      </c>
      <c r="G2116" s="1872" t="s">
        <v>5905</v>
      </c>
      <c r="H2116" s="1856">
        <v>0</v>
      </c>
      <c r="I2116" s="1856">
        <v>0</v>
      </c>
      <c r="J2116" s="1873">
        <v>0</v>
      </c>
      <c r="K2116" s="1860"/>
      <c r="L2116" s="1854">
        <v>13273120400</v>
      </c>
      <c r="M2116" s="1855">
        <v>0</v>
      </c>
      <c r="N2116" s="1855">
        <v>0</v>
      </c>
      <c r="O2116" s="1856">
        <v>0</v>
      </c>
    </row>
    <row r="2117" spans="3:15">
      <c r="C2117" s="1861" t="s">
        <v>5906</v>
      </c>
      <c r="D2117" s="1858">
        <v>0</v>
      </c>
      <c r="E2117" s="1858">
        <v>0</v>
      </c>
      <c r="F2117" s="1859">
        <v>0</v>
      </c>
      <c r="G2117" s="1872" t="s">
        <v>5906</v>
      </c>
      <c r="H2117" s="1856">
        <v>0</v>
      </c>
      <c r="I2117" s="1856">
        <v>0</v>
      </c>
      <c r="J2117" s="1873">
        <v>0</v>
      </c>
      <c r="K2117" s="1860"/>
      <c r="L2117" s="1854">
        <v>13273120500</v>
      </c>
      <c r="M2117" s="1855">
        <v>0</v>
      </c>
      <c r="N2117" s="1855">
        <v>0</v>
      </c>
      <c r="O2117" s="1856">
        <v>0</v>
      </c>
    </row>
    <row r="2118" spans="3:15">
      <c r="C2118" s="1861" t="s">
        <v>5907</v>
      </c>
      <c r="D2118" s="1858">
        <v>0</v>
      </c>
      <c r="E2118" s="1858">
        <v>0</v>
      </c>
      <c r="F2118" s="1859">
        <v>0</v>
      </c>
      <c r="G2118" s="1872" t="s">
        <v>5907</v>
      </c>
      <c r="H2118" s="1856">
        <v>0</v>
      </c>
      <c r="I2118" s="1856">
        <v>0</v>
      </c>
      <c r="J2118" s="1873">
        <v>0</v>
      </c>
      <c r="K2118" s="1860"/>
      <c r="L2118" s="1854">
        <v>13275960100</v>
      </c>
      <c r="M2118" s="1855">
        <v>0</v>
      </c>
      <c r="N2118" s="1855">
        <v>0</v>
      </c>
      <c r="O2118" s="1856">
        <v>0</v>
      </c>
    </row>
    <row r="2119" spans="3:15">
      <c r="C2119" s="1861" t="s">
        <v>5908</v>
      </c>
      <c r="D2119" s="1858">
        <v>0</v>
      </c>
      <c r="E2119" s="1858">
        <v>0</v>
      </c>
      <c r="F2119" s="1859">
        <v>0</v>
      </c>
      <c r="G2119" s="1872" t="s">
        <v>5908</v>
      </c>
      <c r="H2119" s="1856">
        <v>0</v>
      </c>
      <c r="I2119" s="1856">
        <v>0</v>
      </c>
      <c r="J2119" s="1873">
        <v>0</v>
      </c>
      <c r="K2119" s="1860"/>
      <c r="L2119" s="1854">
        <v>13275960200</v>
      </c>
      <c r="M2119" s="1855">
        <v>0</v>
      </c>
      <c r="N2119" s="1855">
        <v>0</v>
      </c>
      <c r="O2119" s="1856">
        <v>0</v>
      </c>
    </row>
    <row r="2120" spans="3:15">
      <c r="C2120" s="1861" t="s">
        <v>5909</v>
      </c>
      <c r="D2120" s="1858">
        <v>0</v>
      </c>
      <c r="E2120" s="1858">
        <v>0</v>
      </c>
      <c r="F2120" s="1859">
        <v>0</v>
      </c>
      <c r="G2120" s="1872" t="s">
        <v>5909</v>
      </c>
      <c r="H2120" s="1856">
        <v>0</v>
      </c>
      <c r="I2120" s="1856">
        <v>0</v>
      </c>
      <c r="J2120" s="1873">
        <v>0</v>
      </c>
      <c r="K2120" s="1860"/>
      <c r="L2120" s="1854">
        <v>13275960300</v>
      </c>
      <c r="M2120" s="1855">
        <v>0</v>
      </c>
      <c r="N2120" s="1855">
        <v>0</v>
      </c>
      <c r="O2120" s="1856">
        <v>0</v>
      </c>
    </row>
    <row r="2121" spans="3:15">
      <c r="C2121" s="1861" t="s">
        <v>5910</v>
      </c>
      <c r="D2121" s="1858">
        <v>0</v>
      </c>
      <c r="E2121" s="1858">
        <v>0</v>
      </c>
      <c r="F2121" s="1859">
        <v>0</v>
      </c>
      <c r="G2121" s="1872" t="s">
        <v>5910</v>
      </c>
      <c r="H2121" s="1856">
        <v>0</v>
      </c>
      <c r="I2121" s="1856">
        <v>0</v>
      </c>
      <c r="J2121" s="1873">
        <v>0</v>
      </c>
      <c r="K2121" s="1860"/>
      <c r="L2121" s="1854">
        <v>13275960400</v>
      </c>
      <c r="M2121" s="1855">
        <v>0</v>
      </c>
      <c r="N2121" s="1855">
        <v>0</v>
      </c>
      <c r="O2121" s="1856">
        <v>0</v>
      </c>
    </row>
    <row r="2122" spans="3:15">
      <c r="C2122" s="1861" t="s">
        <v>5911</v>
      </c>
      <c r="D2122" s="1858">
        <v>0</v>
      </c>
      <c r="E2122" s="1858">
        <v>0</v>
      </c>
      <c r="F2122" s="1859">
        <v>0</v>
      </c>
      <c r="G2122" s="1872" t="s">
        <v>5911</v>
      </c>
      <c r="H2122" s="1856">
        <v>0</v>
      </c>
      <c r="I2122" s="1856">
        <v>0</v>
      </c>
      <c r="J2122" s="1873">
        <v>0</v>
      </c>
      <c r="K2122" s="1860"/>
      <c r="L2122" s="1854">
        <v>13275960500</v>
      </c>
      <c r="M2122" s="1855">
        <v>0</v>
      </c>
      <c r="N2122" s="1855">
        <v>0</v>
      </c>
      <c r="O2122" s="1856">
        <v>0</v>
      </c>
    </row>
    <row r="2123" spans="3:15">
      <c r="C2123" s="1861" t="s">
        <v>5912</v>
      </c>
      <c r="D2123" s="1858">
        <v>1</v>
      </c>
      <c r="E2123" s="1858">
        <v>0</v>
      </c>
      <c r="F2123" s="1859">
        <v>1</v>
      </c>
      <c r="G2123" s="1872" t="s">
        <v>5912</v>
      </c>
      <c r="H2123" s="1856">
        <v>0</v>
      </c>
      <c r="I2123" s="1856">
        <v>0</v>
      </c>
      <c r="J2123" s="1873">
        <v>0</v>
      </c>
      <c r="K2123" s="1860"/>
      <c r="L2123" s="1854">
        <v>13275960600</v>
      </c>
      <c r="M2123" s="1855">
        <v>1</v>
      </c>
      <c r="N2123" s="1855">
        <v>0</v>
      </c>
      <c r="O2123" s="1856">
        <v>1</v>
      </c>
    </row>
    <row r="2124" spans="3:15">
      <c r="C2124" s="1861" t="s">
        <v>5913</v>
      </c>
      <c r="D2124" s="1858">
        <v>0</v>
      </c>
      <c r="E2124" s="1858">
        <v>0</v>
      </c>
      <c r="F2124" s="1859">
        <v>0</v>
      </c>
      <c r="G2124" s="1872" t="s">
        <v>5913</v>
      </c>
      <c r="H2124" s="1856">
        <v>0</v>
      </c>
      <c r="I2124" s="1856">
        <v>0</v>
      </c>
      <c r="J2124" s="1873">
        <v>0</v>
      </c>
      <c r="K2124" s="1860"/>
      <c r="L2124" s="1854">
        <v>13275960700</v>
      </c>
      <c r="M2124" s="1855">
        <v>0</v>
      </c>
      <c r="N2124" s="1855">
        <v>0</v>
      </c>
      <c r="O2124" s="1856">
        <v>0</v>
      </c>
    </row>
    <row r="2125" spans="3:15">
      <c r="C2125" s="1861" t="s">
        <v>5914</v>
      </c>
      <c r="D2125" s="1858">
        <v>0</v>
      </c>
      <c r="E2125" s="1858">
        <v>0</v>
      </c>
      <c r="F2125" s="1859">
        <v>0</v>
      </c>
      <c r="G2125" s="1872" t="s">
        <v>5914</v>
      </c>
      <c r="H2125" s="1856">
        <v>0</v>
      </c>
      <c r="I2125" s="1856">
        <v>0</v>
      </c>
      <c r="J2125" s="1873">
        <v>0</v>
      </c>
      <c r="K2125" s="1860"/>
      <c r="L2125" s="1854">
        <v>13275960800</v>
      </c>
      <c r="M2125" s="1855">
        <v>0</v>
      </c>
      <c r="N2125" s="1855">
        <v>0</v>
      </c>
      <c r="O2125" s="1856">
        <v>0</v>
      </c>
    </row>
    <row r="2126" spans="3:15">
      <c r="C2126" s="1861" t="s">
        <v>5915</v>
      </c>
      <c r="D2126" s="1858">
        <v>0</v>
      </c>
      <c r="E2126" s="1858">
        <v>0</v>
      </c>
      <c r="F2126" s="1859">
        <v>0</v>
      </c>
      <c r="G2126" s="1872" t="s">
        <v>5915</v>
      </c>
      <c r="H2126" s="1856">
        <v>0</v>
      </c>
      <c r="I2126" s="1856">
        <v>0</v>
      </c>
      <c r="J2126" s="1873">
        <v>0</v>
      </c>
      <c r="K2126" s="1860"/>
      <c r="L2126" s="1854">
        <v>13275960900</v>
      </c>
      <c r="M2126" s="1855">
        <v>0</v>
      </c>
      <c r="N2126" s="1855">
        <v>0</v>
      </c>
      <c r="O2126" s="1856">
        <v>0</v>
      </c>
    </row>
    <row r="2127" spans="3:15">
      <c r="C2127" s="1861" t="s">
        <v>5916</v>
      </c>
      <c r="D2127" s="1858">
        <v>0</v>
      </c>
      <c r="E2127" s="1858">
        <v>0</v>
      </c>
      <c r="F2127" s="1859">
        <v>0</v>
      </c>
      <c r="G2127" s="1872" t="s">
        <v>5916</v>
      </c>
      <c r="H2127" s="1856">
        <v>1</v>
      </c>
      <c r="I2127" s="1856">
        <v>1</v>
      </c>
      <c r="J2127" s="1873">
        <v>2</v>
      </c>
      <c r="K2127" s="1860"/>
      <c r="L2127" s="1854">
        <v>13275961000</v>
      </c>
      <c r="M2127" s="1855">
        <v>1</v>
      </c>
      <c r="N2127" s="1855">
        <v>1</v>
      </c>
      <c r="O2127" s="1856">
        <v>2</v>
      </c>
    </row>
    <row r="2128" spans="3:15">
      <c r="C2128" s="1861" t="s">
        <v>5917</v>
      </c>
      <c r="D2128" s="1858">
        <v>0</v>
      </c>
      <c r="E2128" s="1858">
        <v>0</v>
      </c>
      <c r="F2128" s="1859">
        <v>0</v>
      </c>
      <c r="G2128" s="1872" t="s">
        <v>5917</v>
      </c>
      <c r="H2128" s="1856">
        <v>0</v>
      </c>
      <c r="I2128" s="1856">
        <v>1</v>
      </c>
      <c r="J2128" s="1873">
        <v>1</v>
      </c>
      <c r="K2128" s="1860"/>
      <c r="L2128" s="1854">
        <v>13275961100</v>
      </c>
      <c r="M2128" s="1855">
        <v>0</v>
      </c>
      <c r="N2128" s="1855">
        <v>1</v>
      </c>
      <c r="O2128" s="1856">
        <v>1</v>
      </c>
    </row>
    <row r="2129" spans="3:15">
      <c r="C2129" s="1861" t="s">
        <v>5918</v>
      </c>
      <c r="D2129" s="1858">
        <v>1</v>
      </c>
      <c r="E2129" s="1858">
        <v>1</v>
      </c>
      <c r="F2129" s="1859">
        <v>2</v>
      </c>
      <c r="G2129" s="1872" t="s">
        <v>5918</v>
      </c>
      <c r="H2129" s="1856">
        <v>1</v>
      </c>
      <c r="I2129" s="1856">
        <v>0</v>
      </c>
      <c r="J2129" s="1873">
        <v>1</v>
      </c>
      <c r="K2129" s="1860"/>
      <c r="L2129" s="1854">
        <v>13277960100</v>
      </c>
      <c r="M2129" s="1855">
        <v>1</v>
      </c>
      <c r="N2129" s="1855">
        <v>1</v>
      </c>
      <c r="O2129" s="1856">
        <v>2</v>
      </c>
    </row>
    <row r="2130" spans="3:15">
      <c r="C2130" s="1861" t="s">
        <v>5919</v>
      </c>
      <c r="D2130" s="1858">
        <v>1</v>
      </c>
      <c r="E2130" s="1858">
        <v>0</v>
      </c>
      <c r="F2130" s="1859">
        <v>1</v>
      </c>
      <c r="G2130" s="1872" t="s">
        <v>5919</v>
      </c>
      <c r="H2130" s="1856">
        <v>0</v>
      </c>
      <c r="I2130" s="1856">
        <v>0</v>
      </c>
      <c r="J2130" s="1873">
        <v>0</v>
      </c>
      <c r="K2130" s="1860"/>
      <c r="L2130" s="1854">
        <v>13277960200</v>
      </c>
      <c r="M2130" s="1855">
        <v>1</v>
      </c>
      <c r="N2130" s="1855">
        <v>0</v>
      </c>
      <c r="O2130" s="1856">
        <v>1</v>
      </c>
    </row>
    <row r="2131" spans="3:15">
      <c r="C2131" s="1861" t="s">
        <v>5920</v>
      </c>
      <c r="D2131" s="1858">
        <v>0</v>
      </c>
      <c r="E2131" s="1858">
        <v>0</v>
      </c>
      <c r="F2131" s="1859">
        <v>0</v>
      </c>
      <c r="G2131" s="1872" t="s">
        <v>5920</v>
      </c>
      <c r="H2131" s="1856">
        <v>1</v>
      </c>
      <c r="I2131" s="1856">
        <v>0</v>
      </c>
      <c r="J2131" s="1873">
        <v>1</v>
      </c>
      <c r="K2131" s="1860"/>
      <c r="L2131" s="1854">
        <v>13277960300</v>
      </c>
      <c r="M2131" s="1855">
        <v>1</v>
      </c>
      <c r="N2131" s="1855">
        <v>0</v>
      </c>
      <c r="O2131" s="1856">
        <v>1</v>
      </c>
    </row>
    <row r="2132" spans="3:15">
      <c r="C2132" s="1861" t="s">
        <v>5921</v>
      </c>
      <c r="D2132" s="1858">
        <v>0</v>
      </c>
      <c r="E2132" s="1858">
        <v>0</v>
      </c>
      <c r="F2132" s="1859">
        <v>0</v>
      </c>
      <c r="G2132" s="1872" t="s">
        <v>5921</v>
      </c>
      <c r="H2132" s="1856">
        <v>0</v>
      </c>
      <c r="I2132" s="1856">
        <v>0</v>
      </c>
      <c r="J2132" s="1873">
        <v>0</v>
      </c>
      <c r="K2132" s="1860"/>
      <c r="L2132" s="1854">
        <v>13277960400</v>
      </c>
      <c r="M2132" s="1855">
        <v>0</v>
      </c>
      <c r="N2132" s="1855">
        <v>0</v>
      </c>
      <c r="O2132" s="1856">
        <v>0</v>
      </c>
    </row>
    <row r="2133" spans="3:15">
      <c r="C2133" s="1861" t="s">
        <v>5922</v>
      </c>
      <c r="D2133" s="1858">
        <v>1</v>
      </c>
      <c r="E2133" s="1858">
        <v>0</v>
      </c>
      <c r="F2133" s="1859">
        <v>1</v>
      </c>
      <c r="G2133" s="1872" t="s">
        <v>5922</v>
      </c>
      <c r="H2133" s="1856">
        <v>1</v>
      </c>
      <c r="I2133" s="1856">
        <v>1</v>
      </c>
      <c r="J2133" s="1873">
        <v>2</v>
      </c>
      <c r="K2133" s="1860"/>
      <c r="L2133" s="1854">
        <v>13277960500</v>
      </c>
      <c r="M2133" s="1855">
        <v>1</v>
      </c>
      <c r="N2133" s="1855">
        <v>1</v>
      </c>
      <c r="O2133" s="1856">
        <v>2</v>
      </c>
    </row>
    <row r="2134" spans="3:15">
      <c r="C2134" s="1861" t="s">
        <v>5923</v>
      </c>
      <c r="D2134" s="1858">
        <v>0</v>
      </c>
      <c r="E2134" s="1858">
        <v>0</v>
      </c>
      <c r="F2134" s="1859">
        <v>0</v>
      </c>
      <c r="G2134" s="1872" t="s">
        <v>5923</v>
      </c>
      <c r="H2134" s="1856">
        <v>0</v>
      </c>
      <c r="I2134" s="1856">
        <v>0</v>
      </c>
      <c r="J2134" s="1873">
        <v>0</v>
      </c>
      <c r="K2134" s="1860"/>
      <c r="L2134" s="1854">
        <v>13277960600</v>
      </c>
      <c r="M2134" s="1855">
        <v>0</v>
      </c>
      <c r="N2134" s="1855">
        <v>0</v>
      </c>
      <c r="O2134" s="1856">
        <v>0</v>
      </c>
    </row>
    <row r="2135" spans="3:15">
      <c r="C2135" s="1861" t="s">
        <v>5924</v>
      </c>
      <c r="D2135" s="1858">
        <v>0</v>
      </c>
      <c r="E2135" s="1858">
        <v>0</v>
      </c>
      <c r="F2135" s="1859">
        <v>0</v>
      </c>
      <c r="G2135" s="1872" t="s">
        <v>5924</v>
      </c>
      <c r="H2135" s="1856">
        <v>0</v>
      </c>
      <c r="I2135" s="1856">
        <v>0</v>
      </c>
      <c r="J2135" s="1873">
        <v>0</v>
      </c>
      <c r="K2135" s="1860"/>
      <c r="L2135" s="1854">
        <v>13277960700</v>
      </c>
      <c r="M2135" s="1855">
        <v>0</v>
      </c>
      <c r="N2135" s="1855">
        <v>0</v>
      </c>
      <c r="O2135" s="1856">
        <v>0</v>
      </c>
    </row>
    <row r="2136" spans="3:15">
      <c r="C2136" s="1861" t="s">
        <v>5925</v>
      </c>
      <c r="D2136" s="1858">
        <v>0</v>
      </c>
      <c r="E2136" s="1858">
        <v>0</v>
      </c>
      <c r="F2136" s="1859">
        <v>0</v>
      </c>
      <c r="G2136" s="1872" t="s">
        <v>5925</v>
      </c>
      <c r="H2136" s="1856">
        <v>0</v>
      </c>
      <c r="I2136" s="1856">
        <v>0</v>
      </c>
      <c r="J2136" s="1873">
        <v>0</v>
      </c>
      <c r="K2136" s="1860"/>
      <c r="L2136" s="1854">
        <v>13277960800</v>
      </c>
      <c r="M2136" s="1855">
        <v>0</v>
      </c>
      <c r="N2136" s="1855">
        <v>0</v>
      </c>
      <c r="O2136" s="1856">
        <v>0</v>
      </c>
    </row>
    <row r="2137" spans="3:15">
      <c r="C2137" s="1861" t="s">
        <v>5926</v>
      </c>
      <c r="D2137" s="1858">
        <v>0</v>
      </c>
      <c r="E2137" s="1858">
        <v>0</v>
      </c>
      <c r="F2137" s="1859">
        <v>0</v>
      </c>
      <c r="G2137" s="1872" t="s">
        <v>5926</v>
      </c>
      <c r="H2137" s="1856">
        <v>0</v>
      </c>
      <c r="I2137" s="1856">
        <v>0</v>
      </c>
      <c r="J2137" s="1873">
        <v>0</v>
      </c>
      <c r="K2137" s="1860"/>
      <c r="L2137" s="1854">
        <v>13277960900</v>
      </c>
      <c r="M2137" s="1855">
        <v>0</v>
      </c>
      <c r="N2137" s="1855">
        <v>0</v>
      </c>
      <c r="O2137" s="1856">
        <v>0</v>
      </c>
    </row>
    <row r="2138" spans="3:15">
      <c r="C2138" s="1861" t="s">
        <v>5927</v>
      </c>
      <c r="D2138" s="1858">
        <v>0</v>
      </c>
      <c r="E2138" s="1858">
        <v>0</v>
      </c>
      <c r="F2138" s="1859">
        <v>0</v>
      </c>
      <c r="G2138" s="1872" t="s">
        <v>5927</v>
      </c>
      <c r="H2138" s="1856">
        <v>0</v>
      </c>
      <c r="I2138" s="1856">
        <v>0</v>
      </c>
      <c r="J2138" s="1873">
        <v>0</v>
      </c>
      <c r="K2138" s="1860"/>
      <c r="L2138" s="1854">
        <v>13279970100</v>
      </c>
      <c r="M2138" s="1855">
        <v>0</v>
      </c>
      <c r="N2138" s="1855">
        <v>0</v>
      </c>
      <c r="O2138" s="1856">
        <v>0</v>
      </c>
    </row>
    <row r="2139" spans="3:15">
      <c r="C2139" s="1861" t="s">
        <v>5928</v>
      </c>
      <c r="D2139" s="1858">
        <v>0</v>
      </c>
      <c r="E2139" s="1858">
        <v>0</v>
      </c>
      <c r="F2139" s="1859">
        <v>0</v>
      </c>
      <c r="G2139" s="1872" t="s">
        <v>5928</v>
      </c>
      <c r="H2139" s="1856">
        <v>0</v>
      </c>
      <c r="I2139" s="1856">
        <v>0</v>
      </c>
      <c r="J2139" s="1873">
        <v>0</v>
      </c>
      <c r="K2139" s="1860"/>
      <c r="L2139" s="1854">
        <v>13279970200</v>
      </c>
      <c r="M2139" s="1855">
        <v>0</v>
      </c>
      <c r="N2139" s="1855">
        <v>0</v>
      </c>
      <c r="O2139" s="1856">
        <v>0</v>
      </c>
    </row>
    <row r="2140" spans="3:15">
      <c r="C2140" s="1861" t="s">
        <v>5929</v>
      </c>
      <c r="D2140" s="1858">
        <v>0</v>
      </c>
      <c r="E2140" s="1858">
        <v>0</v>
      </c>
      <c r="F2140" s="1859">
        <v>0</v>
      </c>
      <c r="G2140" s="1872" t="s">
        <v>5929</v>
      </c>
      <c r="H2140" s="1856">
        <v>0</v>
      </c>
      <c r="I2140" s="1856">
        <v>0</v>
      </c>
      <c r="J2140" s="1873">
        <v>0</v>
      </c>
      <c r="K2140" s="1860"/>
      <c r="L2140" s="1854">
        <v>13279970300</v>
      </c>
      <c r="M2140" s="1855">
        <v>0</v>
      </c>
      <c r="N2140" s="1855">
        <v>0</v>
      </c>
      <c r="O2140" s="1856">
        <v>0</v>
      </c>
    </row>
    <row r="2141" spans="3:15">
      <c r="C2141" s="1861" t="s">
        <v>5930</v>
      </c>
      <c r="D2141" s="1858">
        <v>0</v>
      </c>
      <c r="E2141" s="1858">
        <v>0</v>
      </c>
      <c r="F2141" s="1859">
        <v>0</v>
      </c>
      <c r="G2141" s="1872" t="s">
        <v>5930</v>
      </c>
      <c r="H2141" s="1856">
        <v>0</v>
      </c>
      <c r="I2141" s="1856">
        <v>0</v>
      </c>
      <c r="J2141" s="1873">
        <v>0</v>
      </c>
      <c r="K2141" s="1860"/>
      <c r="L2141" s="1854">
        <v>13279970400</v>
      </c>
      <c r="M2141" s="1855">
        <v>0</v>
      </c>
      <c r="N2141" s="1855">
        <v>0</v>
      </c>
      <c r="O2141" s="1856">
        <v>0</v>
      </c>
    </row>
    <row r="2142" spans="3:15">
      <c r="C2142" s="1861" t="s">
        <v>5931</v>
      </c>
      <c r="D2142" s="1858">
        <v>0</v>
      </c>
      <c r="E2142" s="1858">
        <v>0</v>
      </c>
      <c r="F2142" s="1859">
        <v>0</v>
      </c>
      <c r="G2142" s="1872" t="s">
        <v>5931</v>
      </c>
      <c r="H2142" s="1856">
        <v>0</v>
      </c>
      <c r="I2142" s="1856">
        <v>0</v>
      </c>
      <c r="J2142" s="1873">
        <v>0</v>
      </c>
      <c r="K2142" s="1860"/>
      <c r="L2142" s="1854">
        <v>13279970500</v>
      </c>
      <c r="M2142" s="1855">
        <v>0</v>
      </c>
      <c r="N2142" s="1855">
        <v>0</v>
      </c>
      <c r="O2142" s="1856">
        <v>0</v>
      </c>
    </row>
    <row r="2143" spans="3:15">
      <c r="C2143" s="1861" t="s">
        <v>5932</v>
      </c>
      <c r="D2143" s="1858">
        <v>0</v>
      </c>
      <c r="E2143" s="1858">
        <v>0</v>
      </c>
      <c r="F2143" s="1859">
        <v>0</v>
      </c>
      <c r="G2143" s="1872" t="s">
        <v>5932</v>
      </c>
      <c r="H2143" s="1856">
        <v>0</v>
      </c>
      <c r="I2143" s="1856">
        <v>0</v>
      </c>
      <c r="J2143" s="1873">
        <v>0</v>
      </c>
      <c r="K2143" s="1860"/>
      <c r="L2143" s="1854">
        <v>13279970600</v>
      </c>
      <c r="M2143" s="1855">
        <v>0</v>
      </c>
      <c r="N2143" s="1855">
        <v>0</v>
      </c>
      <c r="O2143" s="1856">
        <v>0</v>
      </c>
    </row>
    <row r="2144" spans="3:15">
      <c r="C2144" s="1861" t="s">
        <v>5933</v>
      </c>
      <c r="D2144" s="1858">
        <v>0</v>
      </c>
      <c r="E2144" s="1858">
        <v>0</v>
      </c>
      <c r="F2144" s="1859">
        <v>0</v>
      </c>
      <c r="G2144" s="1872" t="s">
        <v>5933</v>
      </c>
      <c r="H2144" s="1856">
        <v>0</v>
      </c>
      <c r="I2144" s="1856">
        <v>1</v>
      </c>
      <c r="J2144" s="1873">
        <v>1</v>
      </c>
      <c r="K2144" s="1860"/>
      <c r="L2144" s="1854">
        <v>13281960100</v>
      </c>
      <c r="M2144" s="1855">
        <v>0</v>
      </c>
      <c r="N2144" s="1855">
        <v>1</v>
      </c>
      <c r="O2144" s="1856">
        <v>1</v>
      </c>
    </row>
    <row r="2145" spans="3:15">
      <c r="C2145" s="1861" t="s">
        <v>5934</v>
      </c>
      <c r="D2145" s="1858">
        <v>1</v>
      </c>
      <c r="E2145" s="1858">
        <v>1</v>
      </c>
      <c r="F2145" s="1859">
        <v>2</v>
      </c>
      <c r="G2145" s="1872" t="s">
        <v>5934</v>
      </c>
      <c r="H2145" s="1856">
        <v>0</v>
      </c>
      <c r="I2145" s="1856">
        <v>1</v>
      </c>
      <c r="J2145" s="1873">
        <v>1</v>
      </c>
      <c r="K2145" s="1860"/>
      <c r="L2145" s="1854">
        <v>13281960200</v>
      </c>
      <c r="M2145" s="1855">
        <v>1</v>
      </c>
      <c r="N2145" s="1855">
        <v>1</v>
      </c>
      <c r="O2145" s="1856">
        <v>2</v>
      </c>
    </row>
    <row r="2146" spans="3:15">
      <c r="C2146" s="1861" t="s">
        <v>5935</v>
      </c>
      <c r="D2146" s="1858">
        <v>0</v>
      </c>
      <c r="E2146" s="1858">
        <v>0</v>
      </c>
      <c r="F2146" s="1859">
        <v>0</v>
      </c>
      <c r="G2146" s="1872" t="s">
        <v>5935</v>
      </c>
      <c r="H2146" s="1856">
        <v>0</v>
      </c>
      <c r="I2146" s="1856">
        <v>0</v>
      </c>
      <c r="J2146" s="1873">
        <v>0</v>
      </c>
      <c r="K2146" s="1860"/>
      <c r="L2146" s="1854">
        <v>13281960300</v>
      </c>
      <c r="M2146" s="1855">
        <v>0</v>
      </c>
      <c r="N2146" s="1855">
        <v>0</v>
      </c>
      <c r="O2146" s="1856">
        <v>0</v>
      </c>
    </row>
    <row r="2147" spans="3:15">
      <c r="C2147" s="1861" t="s">
        <v>5936</v>
      </c>
      <c r="D2147" s="1858">
        <v>0</v>
      </c>
      <c r="E2147" s="1858">
        <v>0</v>
      </c>
      <c r="F2147" s="1859">
        <v>0</v>
      </c>
      <c r="G2147" s="1872" t="s">
        <v>5936</v>
      </c>
      <c r="H2147" s="1856">
        <v>0</v>
      </c>
      <c r="I2147" s="1856">
        <v>0</v>
      </c>
      <c r="J2147" s="1873">
        <v>0</v>
      </c>
      <c r="K2147" s="1860"/>
      <c r="L2147" s="1854">
        <v>13283960100</v>
      </c>
      <c r="M2147" s="1855">
        <v>0</v>
      </c>
      <c r="N2147" s="1855">
        <v>0</v>
      </c>
      <c r="O2147" s="1856">
        <v>0</v>
      </c>
    </row>
    <row r="2148" spans="3:15">
      <c r="C2148" s="1861" t="s">
        <v>5937</v>
      </c>
      <c r="D2148" s="1858">
        <v>0</v>
      </c>
      <c r="E2148" s="1858">
        <v>0</v>
      </c>
      <c r="F2148" s="1859">
        <v>0</v>
      </c>
      <c r="G2148" s="1872" t="s">
        <v>5937</v>
      </c>
      <c r="H2148" s="1856">
        <v>0</v>
      </c>
      <c r="I2148" s="1856">
        <v>0</v>
      </c>
      <c r="J2148" s="1873">
        <v>0</v>
      </c>
      <c r="K2148" s="1860"/>
      <c r="L2148" s="1854">
        <v>13283960200</v>
      </c>
      <c r="M2148" s="1855">
        <v>0</v>
      </c>
      <c r="N2148" s="1855">
        <v>0</v>
      </c>
      <c r="O2148" s="1856">
        <v>0</v>
      </c>
    </row>
    <row r="2149" spans="3:15">
      <c r="C2149" s="1861" t="s">
        <v>5938</v>
      </c>
      <c r="D2149" s="1858">
        <v>0</v>
      </c>
      <c r="E2149" s="1858">
        <v>0</v>
      </c>
      <c r="F2149" s="1859">
        <v>0</v>
      </c>
      <c r="G2149" s="1872" t="s">
        <v>5938</v>
      </c>
      <c r="H2149" s="1856">
        <v>0</v>
      </c>
      <c r="I2149" s="1856">
        <v>0</v>
      </c>
      <c r="J2149" s="1873">
        <v>0</v>
      </c>
      <c r="K2149" s="1860"/>
      <c r="L2149" s="1854">
        <v>13285960100</v>
      </c>
      <c r="M2149" s="1855">
        <v>0</v>
      </c>
      <c r="N2149" s="1855">
        <v>0</v>
      </c>
      <c r="O2149" s="1856">
        <v>0</v>
      </c>
    </row>
    <row r="2150" spans="3:15">
      <c r="C2150" s="1861" t="s">
        <v>5939</v>
      </c>
      <c r="D2150" s="1858">
        <v>1</v>
      </c>
      <c r="E2150" s="1858">
        <v>1</v>
      </c>
      <c r="F2150" s="1859">
        <v>2</v>
      </c>
      <c r="G2150" s="1872" t="s">
        <v>5939</v>
      </c>
      <c r="H2150" s="1856">
        <v>1</v>
      </c>
      <c r="I2150" s="1856">
        <v>1</v>
      </c>
      <c r="J2150" s="1873">
        <v>2</v>
      </c>
      <c r="K2150" s="1860"/>
      <c r="L2150" s="1854">
        <v>13285960201</v>
      </c>
      <c r="M2150" s="1855">
        <v>1</v>
      </c>
      <c r="N2150" s="1855">
        <v>1</v>
      </c>
      <c r="O2150" s="1856">
        <v>2</v>
      </c>
    </row>
    <row r="2151" spans="3:15">
      <c r="C2151" s="1861" t="s">
        <v>5940</v>
      </c>
      <c r="D2151" s="1858">
        <v>1</v>
      </c>
      <c r="E2151" s="1858">
        <v>1</v>
      </c>
      <c r="F2151" s="1859">
        <v>2</v>
      </c>
      <c r="G2151" s="1872" t="s">
        <v>5940</v>
      </c>
      <c r="H2151" s="1856">
        <v>1</v>
      </c>
      <c r="I2151" s="1856">
        <v>1</v>
      </c>
      <c r="J2151" s="1873">
        <v>2</v>
      </c>
      <c r="K2151" s="1860"/>
      <c r="L2151" s="1854">
        <v>13285960202</v>
      </c>
      <c r="M2151" s="1855">
        <v>1</v>
      </c>
      <c r="N2151" s="1855">
        <v>1</v>
      </c>
      <c r="O2151" s="1856">
        <v>2</v>
      </c>
    </row>
    <row r="2152" spans="3:15">
      <c r="C2152" s="1861" t="s">
        <v>5941</v>
      </c>
      <c r="D2152" s="1858">
        <v>1</v>
      </c>
      <c r="E2152" s="1858">
        <v>1</v>
      </c>
      <c r="F2152" s="1859">
        <v>2</v>
      </c>
      <c r="G2152" s="1872" t="s">
        <v>5941</v>
      </c>
      <c r="H2152" s="1856">
        <v>1</v>
      </c>
      <c r="I2152" s="1856">
        <v>1</v>
      </c>
      <c r="J2152" s="1873">
        <v>2</v>
      </c>
      <c r="K2152" s="1860"/>
      <c r="L2152" s="1854">
        <v>13285960300</v>
      </c>
      <c r="M2152" s="1855">
        <v>1</v>
      </c>
      <c r="N2152" s="1855">
        <v>1</v>
      </c>
      <c r="O2152" s="1856">
        <v>2</v>
      </c>
    </row>
    <row r="2153" spans="3:15">
      <c r="C2153" s="1861" t="s">
        <v>5942</v>
      </c>
      <c r="D2153" s="1858">
        <v>0</v>
      </c>
      <c r="E2153" s="1858">
        <v>0</v>
      </c>
      <c r="F2153" s="1859">
        <v>0</v>
      </c>
      <c r="G2153" s="1872" t="s">
        <v>5942</v>
      </c>
      <c r="H2153" s="1856">
        <v>0</v>
      </c>
      <c r="I2153" s="1856">
        <v>0</v>
      </c>
      <c r="J2153" s="1873">
        <v>0</v>
      </c>
      <c r="K2153" s="1860"/>
      <c r="L2153" s="1854">
        <v>13285960400</v>
      </c>
      <c r="M2153" s="1855">
        <v>0</v>
      </c>
      <c r="N2153" s="1855">
        <v>0</v>
      </c>
      <c r="O2153" s="1856">
        <v>0</v>
      </c>
    </row>
    <row r="2154" spans="3:15">
      <c r="C2154" s="1861" t="s">
        <v>5943</v>
      </c>
      <c r="D2154" s="1858">
        <v>0</v>
      </c>
      <c r="E2154" s="1858">
        <v>0</v>
      </c>
      <c r="F2154" s="1859">
        <v>0</v>
      </c>
      <c r="G2154" s="1872" t="s">
        <v>5943</v>
      </c>
      <c r="H2154" s="1856">
        <v>0</v>
      </c>
      <c r="I2154" s="1856">
        <v>0</v>
      </c>
      <c r="J2154" s="1873">
        <v>0</v>
      </c>
      <c r="K2154" s="1860"/>
      <c r="L2154" s="1854">
        <v>13285960501</v>
      </c>
      <c r="M2154" s="1855">
        <v>0</v>
      </c>
      <c r="N2154" s="1855">
        <v>0</v>
      </c>
      <c r="O2154" s="1856">
        <v>0</v>
      </c>
    </row>
    <row r="2155" spans="3:15">
      <c r="C2155" s="1861" t="s">
        <v>5944</v>
      </c>
      <c r="D2155" s="1858">
        <v>0</v>
      </c>
      <c r="E2155" s="1858">
        <v>0</v>
      </c>
      <c r="F2155" s="1859">
        <v>0</v>
      </c>
      <c r="G2155" s="1872" t="s">
        <v>5944</v>
      </c>
      <c r="H2155" s="1856">
        <v>0</v>
      </c>
      <c r="I2155" s="1856">
        <v>1</v>
      </c>
      <c r="J2155" s="1873">
        <v>1</v>
      </c>
      <c r="K2155" s="1860"/>
      <c r="L2155" s="1854">
        <v>13285960502</v>
      </c>
      <c r="M2155" s="1855">
        <v>0</v>
      </c>
      <c r="N2155" s="1855">
        <v>1</v>
      </c>
      <c r="O2155" s="1856">
        <v>1</v>
      </c>
    </row>
    <row r="2156" spans="3:15">
      <c r="C2156" s="1861" t="s">
        <v>5945</v>
      </c>
      <c r="D2156" s="1858">
        <v>0</v>
      </c>
      <c r="E2156" s="1858">
        <v>0</v>
      </c>
      <c r="F2156" s="1859">
        <v>0</v>
      </c>
      <c r="G2156" s="1872" t="s">
        <v>5945</v>
      </c>
      <c r="H2156" s="1856">
        <v>0</v>
      </c>
      <c r="I2156" s="1856">
        <v>0</v>
      </c>
      <c r="J2156" s="1873">
        <v>0</v>
      </c>
      <c r="K2156" s="1860"/>
      <c r="L2156" s="1854">
        <v>13285960600</v>
      </c>
      <c r="M2156" s="1855">
        <v>0</v>
      </c>
      <c r="N2156" s="1855">
        <v>0</v>
      </c>
      <c r="O2156" s="1856">
        <v>0</v>
      </c>
    </row>
    <row r="2157" spans="3:15">
      <c r="C2157" s="1861" t="s">
        <v>5946</v>
      </c>
      <c r="D2157" s="1858">
        <v>0</v>
      </c>
      <c r="E2157" s="1858">
        <v>0</v>
      </c>
      <c r="F2157" s="1859">
        <v>0</v>
      </c>
      <c r="G2157" s="1872" t="s">
        <v>5946</v>
      </c>
      <c r="H2157" s="1856">
        <v>0</v>
      </c>
      <c r="I2157" s="1856">
        <v>1</v>
      </c>
      <c r="J2157" s="1873">
        <v>1</v>
      </c>
      <c r="K2157" s="1860"/>
      <c r="L2157" s="1854">
        <v>13285960700</v>
      </c>
      <c r="M2157" s="1855">
        <v>0</v>
      </c>
      <c r="N2157" s="1855">
        <v>1</v>
      </c>
      <c r="O2157" s="1856">
        <v>1</v>
      </c>
    </row>
    <row r="2158" spans="3:15">
      <c r="C2158" s="1861" t="s">
        <v>5947</v>
      </c>
      <c r="D2158" s="1858">
        <v>0</v>
      </c>
      <c r="E2158" s="1858">
        <v>0</v>
      </c>
      <c r="F2158" s="1859">
        <v>0</v>
      </c>
      <c r="G2158" s="1872" t="s">
        <v>5947</v>
      </c>
      <c r="H2158" s="1856">
        <v>0</v>
      </c>
      <c r="I2158" s="1856">
        <v>0</v>
      </c>
      <c r="J2158" s="1873">
        <v>0</v>
      </c>
      <c r="K2158" s="1860"/>
      <c r="L2158" s="1854">
        <v>13285960800</v>
      </c>
      <c r="M2158" s="1855">
        <v>0</v>
      </c>
      <c r="N2158" s="1855">
        <v>0</v>
      </c>
      <c r="O2158" s="1856">
        <v>0</v>
      </c>
    </row>
    <row r="2159" spans="3:15">
      <c r="C2159" s="1861" t="s">
        <v>5948</v>
      </c>
      <c r="D2159" s="1858">
        <v>0</v>
      </c>
      <c r="E2159" s="1858">
        <v>0</v>
      </c>
      <c r="F2159" s="1859">
        <v>0</v>
      </c>
      <c r="G2159" s="1872" t="s">
        <v>5948</v>
      </c>
      <c r="H2159" s="1856">
        <v>0</v>
      </c>
      <c r="I2159" s="1856">
        <v>0</v>
      </c>
      <c r="J2159" s="1873">
        <v>0</v>
      </c>
      <c r="K2159" s="1860"/>
      <c r="L2159" s="1854">
        <v>13285960901</v>
      </c>
      <c r="M2159" s="1855">
        <v>0</v>
      </c>
      <c r="N2159" s="1855">
        <v>0</v>
      </c>
      <c r="O2159" s="1856">
        <v>0</v>
      </c>
    </row>
    <row r="2160" spans="3:15">
      <c r="C2160" s="1861" t="s">
        <v>5949</v>
      </c>
      <c r="D2160" s="1858">
        <v>1</v>
      </c>
      <c r="E2160" s="1858">
        <v>1</v>
      </c>
      <c r="F2160" s="1859">
        <v>2</v>
      </c>
      <c r="G2160" s="1872" t="s">
        <v>5949</v>
      </c>
      <c r="H2160" s="1856">
        <v>0</v>
      </c>
      <c r="I2160" s="1856">
        <v>0</v>
      </c>
      <c r="J2160" s="1873">
        <v>0</v>
      </c>
      <c r="K2160" s="1860"/>
      <c r="L2160" s="1854">
        <v>13285960902</v>
      </c>
      <c r="M2160" s="1855">
        <v>1</v>
      </c>
      <c r="N2160" s="1855">
        <v>1</v>
      </c>
      <c r="O2160" s="1856">
        <v>2</v>
      </c>
    </row>
    <row r="2161" spans="3:15">
      <c r="C2161" s="1861" t="s">
        <v>5950</v>
      </c>
      <c r="D2161" s="1858">
        <v>0</v>
      </c>
      <c r="E2161" s="1858">
        <v>0</v>
      </c>
      <c r="F2161" s="1859">
        <v>0</v>
      </c>
      <c r="G2161" s="1872" t="s">
        <v>5950</v>
      </c>
      <c r="H2161" s="1856">
        <v>0</v>
      </c>
      <c r="I2161" s="1856">
        <v>0</v>
      </c>
      <c r="J2161" s="1873">
        <v>0</v>
      </c>
      <c r="K2161" s="1860"/>
      <c r="L2161" s="1854">
        <v>13285961000</v>
      </c>
      <c r="M2161" s="1855">
        <v>0</v>
      </c>
      <c r="N2161" s="1855">
        <v>0</v>
      </c>
      <c r="O2161" s="1856">
        <v>0</v>
      </c>
    </row>
    <row r="2162" spans="3:15">
      <c r="C2162" s="1861" t="s">
        <v>5951</v>
      </c>
      <c r="D2162" s="1858">
        <v>1</v>
      </c>
      <c r="E2162" s="1858">
        <v>0</v>
      </c>
      <c r="F2162" s="1859">
        <v>1</v>
      </c>
      <c r="G2162" s="1872" t="s">
        <v>5951</v>
      </c>
      <c r="H2162" s="1856">
        <v>0</v>
      </c>
      <c r="I2162" s="1856">
        <v>1</v>
      </c>
      <c r="J2162" s="1873">
        <v>1</v>
      </c>
      <c r="K2162" s="1860"/>
      <c r="L2162" s="1854">
        <v>13285961100</v>
      </c>
      <c r="M2162" s="1855">
        <v>1</v>
      </c>
      <c r="N2162" s="1855">
        <v>1</v>
      </c>
      <c r="O2162" s="1856">
        <v>1</v>
      </c>
    </row>
    <row r="2163" spans="3:15">
      <c r="C2163" s="1861" t="s">
        <v>5952</v>
      </c>
      <c r="D2163" s="1858">
        <v>0</v>
      </c>
      <c r="E2163" s="1858">
        <v>0</v>
      </c>
      <c r="F2163" s="1859">
        <v>0</v>
      </c>
      <c r="G2163" s="1872" t="s">
        <v>5952</v>
      </c>
      <c r="H2163" s="1856">
        <v>0</v>
      </c>
      <c r="I2163" s="1856">
        <v>0</v>
      </c>
      <c r="J2163" s="1873">
        <v>0</v>
      </c>
      <c r="K2163" s="1860"/>
      <c r="L2163" s="1854">
        <v>13287970200</v>
      </c>
      <c r="M2163" s="1855">
        <v>0</v>
      </c>
      <c r="N2163" s="1855">
        <v>0</v>
      </c>
      <c r="O2163" s="1856">
        <v>0</v>
      </c>
    </row>
    <row r="2164" spans="3:15">
      <c r="C2164" s="1861" t="s">
        <v>5953</v>
      </c>
      <c r="D2164" s="1858">
        <v>0</v>
      </c>
      <c r="E2164" s="1858">
        <v>1</v>
      </c>
      <c r="F2164" s="1859">
        <v>1</v>
      </c>
      <c r="G2164" s="1872" t="s">
        <v>5953</v>
      </c>
      <c r="H2164" s="1856">
        <v>0</v>
      </c>
      <c r="I2164" s="1856">
        <v>0</v>
      </c>
      <c r="J2164" s="1873">
        <v>0</v>
      </c>
      <c r="K2164" s="1860"/>
      <c r="L2164" s="1854">
        <v>13287970300</v>
      </c>
      <c r="M2164" s="1855">
        <v>0</v>
      </c>
      <c r="N2164" s="1855">
        <v>1</v>
      </c>
      <c r="O2164" s="1856">
        <v>1</v>
      </c>
    </row>
    <row r="2165" spans="3:15">
      <c r="C2165" s="1861" t="s">
        <v>5954</v>
      </c>
      <c r="D2165" s="1858">
        <v>0</v>
      </c>
      <c r="E2165" s="1858">
        <v>0</v>
      </c>
      <c r="F2165" s="1859">
        <v>0</v>
      </c>
      <c r="G2165" s="1872" t="s">
        <v>5954</v>
      </c>
      <c r="H2165" s="1856">
        <v>0</v>
      </c>
      <c r="I2165" s="1856">
        <v>0</v>
      </c>
      <c r="J2165" s="1873">
        <v>0</v>
      </c>
      <c r="K2165" s="1860"/>
      <c r="L2165" s="1854">
        <v>13289060100</v>
      </c>
      <c r="M2165" s="1855">
        <v>0</v>
      </c>
      <c r="N2165" s="1855">
        <v>0</v>
      </c>
      <c r="O2165" s="1856">
        <v>0</v>
      </c>
    </row>
    <row r="2166" spans="3:15">
      <c r="C2166" s="1861" t="s">
        <v>5955</v>
      </c>
      <c r="D2166" s="1858">
        <v>0</v>
      </c>
      <c r="E2166" s="1858">
        <v>0</v>
      </c>
      <c r="F2166" s="1859">
        <v>0</v>
      </c>
      <c r="G2166" s="1872" t="s">
        <v>5955</v>
      </c>
      <c r="H2166" s="1856">
        <v>0</v>
      </c>
      <c r="I2166" s="1856">
        <v>0</v>
      </c>
      <c r="J2166" s="1873">
        <v>0</v>
      </c>
      <c r="K2166" s="1860"/>
      <c r="L2166" s="1854">
        <v>13289060200</v>
      </c>
      <c r="M2166" s="1855">
        <v>0</v>
      </c>
      <c r="N2166" s="1855">
        <v>0</v>
      </c>
      <c r="O2166" s="1856">
        <v>0</v>
      </c>
    </row>
    <row r="2167" spans="3:15">
      <c r="C2167" s="1861" t="s">
        <v>5956</v>
      </c>
      <c r="D2167" s="1858">
        <v>0</v>
      </c>
      <c r="E2167" s="1858">
        <v>0</v>
      </c>
      <c r="F2167" s="1859">
        <v>0</v>
      </c>
      <c r="G2167" s="1872" t="s">
        <v>5956</v>
      </c>
      <c r="H2167" s="1856">
        <v>0</v>
      </c>
      <c r="I2167" s="1856">
        <v>0</v>
      </c>
      <c r="J2167" s="1873">
        <v>0</v>
      </c>
      <c r="K2167" s="1860"/>
      <c r="L2167" s="1854">
        <v>13291000101</v>
      </c>
      <c r="M2167" s="1855">
        <v>0</v>
      </c>
      <c r="N2167" s="1855">
        <v>0</v>
      </c>
      <c r="O2167" s="1856">
        <v>0</v>
      </c>
    </row>
    <row r="2168" spans="3:15">
      <c r="C2168" s="1861" t="s">
        <v>5957</v>
      </c>
      <c r="D2168" s="1858">
        <v>0</v>
      </c>
      <c r="E2168" s="1858">
        <v>1</v>
      </c>
      <c r="F2168" s="1859">
        <v>1</v>
      </c>
      <c r="G2168" s="1872" t="s">
        <v>5957</v>
      </c>
      <c r="H2168" s="1856">
        <v>0</v>
      </c>
      <c r="I2168" s="1856" t="s">
        <v>3908</v>
      </c>
      <c r="J2168" s="1873">
        <v>0</v>
      </c>
      <c r="K2168" s="1860"/>
      <c r="L2168" s="1854">
        <v>13291000102</v>
      </c>
      <c r="M2168" s="1855">
        <v>0</v>
      </c>
      <c r="N2168" s="1855">
        <v>1</v>
      </c>
      <c r="O2168" s="1856">
        <v>1</v>
      </c>
    </row>
    <row r="2169" spans="3:15">
      <c r="C2169" s="1861" t="s">
        <v>5958</v>
      </c>
      <c r="D2169" s="1858">
        <v>1</v>
      </c>
      <c r="E2169" s="1858">
        <v>1</v>
      </c>
      <c r="F2169" s="1859">
        <v>2</v>
      </c>
      <c r="G2169" s="1872" t="s">
        <v>5958</v>
      </c>
      <c r="H2169" s="1856">
        <v>0</v>
      </c>
      <c r="I2169" s="1856">
        <v>1</v>
      </c>
      <c r="J2169" s="1873">
        <v>1</v>
      </c>
      <c r="K2169" s="1860"/>
      <c r="L2169" s="1854">
        <v>13291000201</v>
      </c>
      <c r="M2169" s="1855">
        <v>1</v>
      </c>
      <c r="N2169" s="1855">
        <v>1</v>
      </c>
      <c r="O2169" s="1856">
        <v>2</v>
      </c>
    </row>
    <row r="2170" spans="3:15">
      <c r="C2170" s="1861" t="s">
        <v>5959</v>
      </c>
      <c r="D2170" s="1858">
        <v>0</v>
      </c>
      <c r="E2170" s="1858">
        <v>1</v>
      </c>
      <c r="F2170" s="1859">
        <v>1</v>
      </c>
      <c r="G2170" s="1872" t="s">
        <v>5959</v>
      </c>
      <c r="H2170" s="1856">
        <v>0</v>
      </c>
      <c r="I2170" s="1856" t="s">
        <v>3908</v>
      </c>
      <c r="J2170" s="1873">
        <v>0</v>
      </c>
      <c r="K2170" s="1860"/>
      <c r="L2170" s="1854">
        <v>13291000203</v>
      </c>
      <c r="M2170" s="1855">
        <v>0</v>
      </c>
      <c r="N2170" s="1855">
        <v>1</v>
      </c>
      <c r="O2170" s="1856">
        <v>1</v>
      </c>
    </row>
    <row r="2171" spans="3:15">
      <c r="C2171" s="1861" t="s">
        <v>5960</v>
      </c>
      <c r="D2171" s="1858">
        <v>0</v>
      </c>
      <c r="E2171" s="1858">
        <v>0</v>
      </c>
      <c r="F2171" s="1859">
        <v>0</v>
      </c>
      <c r="G2171" s="1872" t="s">
        <v>5960</v>
      </c>
      <c r="H2171" s="1856">
        <v>1</v>
      </c>
      <c r="I2171" s="1856">
        <v>0</v>
      </c>
      <c r="J2171" s="1873">
        <v>1</v>
      </c>
      <c r="K2171" s="1860"/>
      <c r="L2171" s="1854">
        <v>13291000204</v>
      </c>
      <c r="M2171" s="1855">
        <v>1</v>
      </c>
      <c r="N2171" s="1855">
        <v>0</v>
      </c>
      <c r="O2171" s="1856">
        <v>1</v>
      </c>
    </row>
    <row r="2172" spans="3:15">
      <c r="C2172" s="1861" t="s">
        <v>5961</v>
      </c>
      <c r="D2172" s="1858">
        <v>0</v>
      </c>
      <c r="E2172" s="1858">
        <v>0</v>
      </c>
      <c r="F2172" s="1859">
        <v>0</v>
      </c>
      <c r="G2172" s="1872" t="s">
        <v>5961</v>
      </c>
      <c r="H2172" s="1856">
        <v>1</v>
      </c>
      <c r="I2172" s="1856">
        <v>0</v>
      </c>
      <c r="J2172" s="1873">
        <v>1</v>
      </c>
      <c r="K2172" s="1860"/>
      <c r="L2172" s="1854">
        <v>13291000205</v>
      </c>
      <c r="M2172" s="1855">
        <v>1</v>
      </c>
      <c r="N2172" s="1855">
        <v>0</v>
      </c>
      <c r="O2172" s="1856">
        <v>1</v>
      </c>
    </row>
    <row r="2173" spans="3:15">
      <c r="C2173" s="1861" t="s">
        <v>5962</v>
      </c>
      <c r="D2173" s="1858">
        <v>0</v>
      </c>
      <c r="E2173" s="1858">
        <v>0</v>
      </c>
      <c r="F2173" s="1859">
        <v>0</v>
      </c>
      <c r="G2173" s="1872" t="s">
        <v>5962</v>
      </c>
      <c r="H2173" s="1856">
        <v>0</v>
      </c>
      <c r="I2173" s="1856">
        <v>0</v>
      </c>
      <c r="J2173" s="1873">
        <v>0</v>
      </c>
      <c r="K2173" s="1860"/>
      <c r="L2173" s="1854">
        <v>13293010100</v>
      </c>
      <c r="M2173" s="1855">
        <v>0</v>
      </c>
      <c r="N2173" s="1855">
        <v>0</v>
      </c>
      <c r="O2173" s="1856">
        <v>0</v>
      </c>
    </row>
    <row r="2174" spans="3:15">
      <c r="C2174" s="1861" t="s">
        <v>5963</v>
      </c>
      <c r="D2174" s="1858">
        <v>0</v>
      </c>
      <c r="E2174" s="1858">
        <v>0</v>
      </c>
      <c r="F2174" s="1859">
        <v>0</v>
      </c>
      <c r="G2174" s="1872" t="s">
        <v>5963</v>
      </c>
      <c r="H2174" s="1856">
        <v>0</v>
      </c>
      <c r="I2174" s="1856">
        <v>0</v>
      </c>
      <c r="J2174" s="1873">
        <v>0</v>
      </c>
      <c r="K2174" s="1860"/>
      <c r="L2174" s="1854">
        <v>13293010201</v>
      </c>
      <c r="M2174" s="1855">
        <v>0</v>
      </c>
      <c r="N2174" s="1855">
        <v>0</v>
      </c>
      <c r="O2174" s="1856">
        <v>0</v>
      </c>
    </row>
    <row r="2175" spans="3:15">
      <c r="C2175" s="1861" t="s">
        <v>5964</v>
      </c>
      <c r="D2175" s="1858">
        <v>0</v>
      </c>
      <c r="E2175" s="1858">
        <v>0</v>
      </c>
      <c r="F2175" s="1859">
        <v>0</v>
      </c>
      <c r="G2175" s="1872" t="s">
        <v>5964</v>
      </c>
      <c r="H2175" s="1856">
        <v>0</v>
      </c>
      <c r="I2175" s="1856">
        <v>1</v>
      </c>
      <c r="J2175" s="1873">
        <v>1</v>
      </c>
      <c r="K2175" s="1860"/>
      <c r="L2175" s="1854">
        <v>13293010202</v>
      </c>
      <c r="M2175" s="1855">
        <v>0</v>
      </c>
      <c r="N2175" s="1855">
        <v>1</v>
      </c>
      <c r="O2175" s="1856">
        <v>1</v>
      </c>
    </row>
    <row r="2176" spans="3:15">
      <c r="C2176" s="1861" t="s">
        <v>5965</v>
      </c>
      <c r="D2176" s="1858">
        <v>0</v>
      </c>
      <c r="E2176" s="1858">
        <v>1</v>
      </c>
      <c r="F2176" s="1859">
        <v>1</v>
      </c>
      <c r="G2176" s="1872" t="s">
        <v>5965</v>
      </c>
      <c r="H2176" s="1856">
        <v>0</v>
      </c>
      <c r="I2176" s="1856">
        <v>0</v>
      </c>
      <c r="J2176" s="1873">
        <v>0</v>
      </c>
      <c r="K2176" s="1860"/>
      <c r="L2176" s="1854">
        <v>13293010300</v>
      </c>
      <c r="M2176" s="1855">
        <v>0</v>
      </c>
      <c r="N2176" s="1855">
        <v>1</v>
      </c>
      <c r="O2176" s="1856">
        <v>1</v>
      </c>
    </row>
    <row r="2177" spans="3:15">
      <c r="C2177" s="1861" t="s">
        <v>5966</v>
      </c>
      <c r="D2177" s="1858">
        <v>0</v>
      </c>
      <c r="E2177" s="1858">
        <v>0</v>
      </c>
      <c r="F2177" s="1859">
        <v>0</v>
      </c>
      <c r="G2177" s="1872" t="s">
        <v>5966</v>
      </c>
      <c r="H2177" s="1856">
        <v>0</v>
      </c>
      <c r="I2177" s="1856">
        <v>0</v>
      </c>
      <c r="J2177" s="1873">
        <v>0</v>
      </c>
      <c r="K2177" s="1860"/>
      <c r="L2177" s="1854">
        <v>13293010400</v>
      </c>
      <c r="M2177" s="1855">
        <v>0</v>
      </c>
      <c r="N2177" s="1855">
        <v>0</v>
      </c>
      <c r="O2177" s="1856">
        <v>0</v>
      </c>
    </row>
    <row r="2178" spans="3:15">
      <c r="C2178" s="1861" t="s">
        <v>5967</v>
      </c>
      <c r="D2178" s="1858">
        <v>0</v>
      </c>
      <c r="E2178" s="1858">
        <v>0</v>
      </c>
      <c r="F2178" s="1859">
        <v>0</v>
      </c>
      <c r="G2178" s="1872" t="s">
        <v>5967</v>
      </c>
      <c r="H2178" s="1856">
        <v>0</v>
      </c>
      <c r="I2178" s="1856">
        <v>0</v>
      </c>
      <c r="J2178" s="1873">
        <v>0</v>
      </c>
      <c r="K2178" s="1860"/>
      <c r="L2178" s="1854">
        <v>13293010500</v>
      </c>
      <c r="M2178" s="1855">
        <v>0</v>
      </c>
      <c r="N2178" s="1855">
        <v>0</v>
      </c>
      <c r="O2178" s="1856">
        <v>0</v>
      </c>
    </row>
    <row r="2179" spans="3:15">
      <c r="C2179" s="1861" t="s">
        <v>5968</v>
      </c>
      <c r="D2179" s="1858">
        <v>0</v>
      </c>
      <c r="E2179" s="1858">
        <v>0</v>
      </c>
      <c r="F2179" s="1859">
        <v>0</v>
      </c>
      <c r="G2179" s="1872" t="s">
        <v>5968</v>
      </c>
      <c r="H2179" s="1856">
        <v>0</v>
      </c>
      <c r="I2179" s="1856">
        <v>0</v>
      </c>
      <c r="J2179" s="1873">
        <v>0</v>
      </c>
      <c r="K2179" s="1860"/>
      <c r="L2179" s="1854">
        <v>13293010600</v>
      </c>
      <c r="M2179" s="1855">
        <v>0</v>
      </c>
      <c r="N2179" s="1855">
        <v>0</v>
      </c>
      <c r="O2179" s="1856">
        <v>0</v>
      </c>
    </row>
    <row r="2180" spans="3:15">
      <c r="C2180" s="1861" t="s">
        <v>5969</v>
      </c>
      <c r="D2180" s="1858">
        <v>0</v>
      </c>
      <c r="E2180" s="1858">
        <v>0</v>
      </c>
      <c r="F2180" s="1859">
        <v>0</v>
      </c>
      <c r="G2180" s="1872" t="s">
        <v>5969</v>
      </c>
      <c r="H2180" s="1856">
        <v>0</v>
      </c>
      <c r="I2180" s="1856">
        <v>0</v>
      </c>
      <c r="J2180" s="1873">
        <v>0</v>
      </c>
      <c r="K2180" s="1860"/>
      <c r="L2180" s="1854">
        <v>13295020100</v>
      </c>
      <c r="M2180" s="1855">
        <v>0</v>
      </c>
      <c r="N2180" s="1855">
        <v>0</v>
      </c>
      <c r="O2180" s="1856">
        <v>0</v>
      </c>
    </row>
    <row r="2181" spans="3:15">
      <c r="C2181" s="1861" t="s">
        <v>5970</v>
      </c>
      <c r="D2181" s="1858">
        <v>0</v>
      </c>
      <c r="E2181" s="1858">
        <v>0</v>
      </c>
      <c r="F2181" s="1859">
        <v>0</v>
      </c>
      <c r="G2181" s="1872" t="s">
        <v>5970</v>
      </c>
      <c r="H2181" s="1856">
        <v>0</v>
      </c>
      <c r="I2181" s="1856">
        <v>0</v>
      </c>
      <c r="J2181" s="1873">
        <v>0</v>
      </c>
      <c r="K2181" s="1860"/>
      <c r="L2181" s="1854">
        <v>13295020200</v>
      </c>
      <c r="M2181" s="1855">
        <v>0</v>
      </c>
      <c r="N2181" s="1855">
        <v>0</v>
      </c>
      <c r="O2181" s="1856">
        <v>0</v>
      </c>
    </row>
    <row r="2182" spans="3:15">
      <c r="C2182" s="1861" t="s">
        <v>5971</v>
      </c>
      <c r="D2182" s="1858">
        <v>0</v>
      </c>
      <c r="E2182" s="1858">
        <v>0</v>
      </c>
      <c r="F2182" s="1859">
        <v>0</v>
      </c>
      <c r="G2182" s="1872" t="s">
        <v>5971</v>
      </c>
      <c r="H2182" s="1856">
        <v>0</v>
      </c>
      <c r="I2182" s="1856">
        <v>0</v>
      </c>
      <c r="J2182" s="1873">
        <v>0</v>
      </c>
      <c r="K2182" s="1860"/>
      <c r="L2182" s="1854">
        <v>13295020301</v>
      </c>
      <c r="M2182" s="1855">
        <v>0</v>
      </c>
      <c r="N2182" s="1855">
        <v>0</v>
      </c>
      <c r="O2182" s="1856">
        <v>0</v>
      </c>
    </row>
    <row r="2183" spans="3:15">
      <c r="C2183" s="1861" t="s">
        <v>5972</v>
      </c>
      <c r="D2183" s="1858">
        <v>0</v>
      </c>
      <c r="E2183" s="1858">
        <v>0</v>
      </c>
      <c r="F2183" s="1859">
        <v>0</v>
      </c>
      <c r="G2183" s="1872" t="s">
        <v>5972</v>
      </c>
      <c r="H2183" s="1856">
        <v>0</v>
      </c>
      <c r="I2183" s="1856">
        <v>0</v>
      </c>
      <c r="J2183" s="1873">
        <v>0</v>
      </c>
      <c r="K2183" s="1860"/>
      <c r="L2183" s="1854">
        <v>13295020302</v>
      </c>
      <c r="M2183" s="1855">
        <v>0</v>
      </c>
      <c r="N2183" s="1855">
        <v>0</v>
      </c>
      <c r="O2183" s="1856">
        <v>0</v>
      </c>
    </row>
    <row r="2184" spans="3:15">
      <c r="C2184" s="1861" t="s">
        <v>5973</v>
      </c>
      <c r="D2184" s="1858">
        <v>1</v>
      </c>
      <c r="E2184" s="1858">
        <v>1</v>
      </c>
      <c r="F2184" s="1859">
        <v>2</v>
      </c>
      <c r="G2184" s="1872" t="s">
        <v>5973</v>
      </c>
      <c r="H2184" s="1856">
        <v>1</v>
      </c>
      <c r="I2184" s="1856">
        <v>1</v>
      </c>
      <c r="J2184" s="1873">
        <v>2</v>
      </c>
      <c r="K2184" s="1860"/>
      <c r="L2184" s="1854">
        <v>13295020400</v>
      </c>
      <c r="M2184" s="1855">
        <v>1</v>
      </c>
      <c r="N2184" s="1855">
        <v>1</v>
      </c>
      <c r="O2184" s="1856">
        <v>2</v>
      </c>
    </row>
    <row r="2185" spans="3:15">
      <c r="C2185" s="1861" t="s">
        <v>5974</v>
      </c>
      <c r="D2185" s="1858">
        <v>1</v>
      </c>
      <c r="E2185" s="1858">
        <v>0</v>
      </c>
      <c r="F2185" s="1859">
        <v>1</v>
      </c>
      <c r="G2185" s="1872" t="s">
        <v>5974</v>
      </c>
      <c r="H2185" s="1856">
        <v>0</v>
      </c>
      <c r="I2185" s="1856">
        <v>0</v>
      </c>
      <c r="J2185" s="1873">
        <v>0</v>
      </c>
      <c r="K2185" s="1860"/>
      <c r="L2185" s="1854">
        <v>13295020501</v>
      </c>
      <c r="M2185" s="1855">
        <v>1</v>
      </c>
      <c r="N2185" s="1855">
        <v>0</v>
      </c>
      <c r="O2185" s="1856">
        <v>1</v>
      </c>
    </row>
    <row r="2186" spans="3:15">
      <c r="C2186" s="1861" t="s">
        <v>5975</v>
      </c>
      <c r="D2186" s="1858">
        <v>0</v>
      </c>
      <c r="E2186" s="1858">
        <v>1</v>
      </c>
      <c r="F2186" s="1859">
        <v>1</v>
      </c>
      <c r="G2186" s="1872" t="s">
        <v>5975</v>
      </c>
      <c r="H2186" s="1856">
        <v>1</v>
      </c>
      <c r="I2186" s="1856">
        <v>1</v>
      </c>
      <c r="J2186" s="1873">
        <v>2</v>
      </c>
      <c r="K2186" s="1860"/>
      <c r="L2186" s="1854">
        <v>13295020502</v>
      </c>
      <c r="M2186" s="1855">
        <v>1</v>
      </c>
      <c r="N2186" s="1855">
        <v>1</v>
      </c>
      <c r="O2186" s="1856">
        <v>2</v>
      </c>
    </row>
    <row r="2187" spans="3:15">
      <c r="C2187" s="1861" t="s">
        <v>5976</v>
      </c>
      <c r="D2187" s="1858">
        <v>0</v>
      </c>
      <c r="E2187" s="1858">
        <v>1</v>
      </c>
      <c r="F2187" s="1859">
        <v>1</v>
      </c>
      <c r="G2187" s="1872" t="s">
        <v>5976</v>
      </c>
      <c r="H2187" s="1856">
        <v>0</v>
      </c>
      <c r="I2187" s="1856">
        <v>1</v>
      </c>
      <c r="J2187" s="1873">
        <v>1</v>
      </c>
      <c r="K2187" s="1860"/>
      <c r="L2187" s="1854">
        <v>13295020601</v>
      </c>
      <c r="M2187" s="1855">
        <v>0</v>
      </c>
      <c r="N2187" s="1855">
        <v>1</v>
      </c>
      <c r="O2187" s="1856">
        <v>1</v>
      </c>
    </row>
    <row r="2188" spans="3:15">
      <c r="C2188" s="1861" t="s">
        <v>5977</v>
      </c>
      <c r="D2188" s="1858">
        <v>0</v>
      </c>
      <c r="E2188" s="1858">
        <v>0</v>
      </c>
      <c r="F2188" s="1859">
        <v>0</v>
      </c>
      <c r="G2188" s="1872" t="s">
        <v>5977</v>
      </c>
      <c r="H2188" s="1856">
        <v>0</v>
      </c>
      <c r="I2188" s="1856">
        <v>0</v>
      </c>
      <c r="J2188" s="1873">
        <v>0</v>
      </c>
      <c r="K2188" s="1860"/>
      <c r="L2188" s="1854">
        <v>13295020602</v>
      </c>
      <c r="M2188" s="1855">
        <v>0</v>
      </c>
      <c r="N2188" s="1855">
        <v>0</v>
      </c>
      <c r="O2188" s="1856">
        <v>0</v>
      </c>
    </row>
    <row r="2189" spans="3:15">
      <c r="C2189" s="1861" t="s">
        <v>5978</v>
      </c>
      <c r="D2189" s="1858">
        <v>0</v>
      </c>
      <c r="E2189" s="1858">
        <v>0</v>
      </c>
      <c r="F2189" s="1859">
        <v>0</v>
      </c>
      <c r="G2189" s="1872" t="s">
        <v>5978</v>
      </c>
      <c r="H2189" s="1856">
        <v>0</v>
      </c>
      <c r="I2189" s="1856">
        <v>0</v>
      </c>
      <c r="J2189" s="1873">
        <v>0</v>
      </c>
      <c r="K2189" s="1860"/>
      <c r="L2189" s="1854">
        <v>13295020700</v>
      </c>
      <c r="M2189" s="1855">
        <v>0</v>
      </c>
      <c r="N2189" s="1855">
        <v>0</v>
      </c>
      <c r="O2189" s="1856">
        <v>0</v>
      </c>
    </row>
    <row r="2190" spans="3:15">
      <c r="C2190" s="1861" t="s">
        <v>5979</v>
      </c>
      <c r="D2190" s="1858">
        <v>0</v>
      </c>
      <c r="E2190" s="1858">
        <v>0</v>
      </c>
      <c r="F2190" s="1859">
        <v>0</v>
      </c>
      <c r="G2190" s="1872" t="s">
        <v>5979</v>
      </c>
      <c r="H2190" s="1856">
        <v>0</v>
      </c>
      <c r="I2190" s="1856">
        <v>0</v>
      </c>
      <c r="J2190" s="1873">
        <v>0</v>
      </c>
      <c r="K2190" s="1860"/>
      <c r="L2190" s="1854">
        <v>13295020800</v>
      </c>
      <c r="M2190" s="1855">
        <v>0</v>
      </c>
      <c r="N2190" s="1855">
        <v>0</v>
      </c>
      <c r="O2190" s="1856">
        <v>0</v>
      </c>
    </row>
    <row r="2191" spans="3:15">
      <c r="C2191" s="1861" t="s">
        <v>5980</v>
      </c>
      <c r="D2191" s="1858">
        <v>0</v>
      </c>
      <c r="E2191" s="1858">
        <v>0</v>
      </c>
      <c r="F2191" s="1859">
        <v>0</v>
      </c>
      <c r="G2191" s="1872" t="s">
        <v>5980</v>
      </c>
      <c r="H2191" s="1856">
        <v>1</v>
      </c>
      <c r="I2191" s="1856">
        <v>1</v>
      </c>
      <c r="J2191" s="1873">
        <v>2</v>
      </c>
      <c r="K2191" s="1860"/>
      <c r="L2191" s="1854">
        <v>13295020901</v>
      </c>
      <c r="M2191" s="1855">
        <v>1</v>
      </c>
      <c r="N2191" s="1855">
        <v>1</v>
      </c>
      <c r="O2191" s="1856">
        <v>2</v>
      </c>
    </row>
    <row r="2192" spans="3:15">
      <c r="C2192" s="1861" t="s">
        <v>5981</v>
      </c>
      <c r="D2192" s="1858">
        <v>0</v>
      </c>
      <c r="E2192" s="1858">
        <v>0</v>
      </c>
      <c r="F2192" s="1859">
        <v>0</v>
      </c>
      <c r="G2192" s="1872" t="s">
        <v>5981</v>
      </c>
      <c r="H2192" s="1856">
        <v>0</v>
      </c>
      <c r="I2192" s="1856">
        <v>1</v>
      </c>
      <c r="J2192" s="1873">
        <v>1</v>
      </c>
      <c r="K2192" s="1860"/>
      <c r="L2192" s="1854">
        <v>13295020902</v>
      </c>
      <c r="M2192" s="1855">
        <v>0</v>
      </c>
      <c r="N2192" s="1855">
        <v>1</v>
      </c>
      <c r="O2192" s="1856">
        <v>1</v>
      </c>
    </row>
    <row r="2193" spans="3:15">
      <c r="C2193" s="1861" t="s">
        <v>5982</v>
      </c>
      <c r="D2193" s="1858">
        <v>1</v>
      </c>
      <c r="E2193" s="1858">
        <v>1</v>
      </c>
      <c r="F2193" s="1859">
        <v>2</v>
      </c>
      <c r="G2193" s="1872" t="s">
        <v>5982</v>
      </c>
      <c r="H2193" s="1856">
        <v>1</v>
      </c>
      <c r="I2193" s="1856">
        <v>1</v>
      </c>
      <c r="J2193" s="1873">
        <v>2</v>
      </c>
      <c r="K2193" s="1860"/>
      <c r="L2193" s="1854">
        <v>13297110100</v>
      </c>
      <c r="M2193" s="1855">
        <v>1</v>
      </c>
      <c r="N2193" s="1855">
        <v>1</v>
      </c>
      <c r="O2193" s="1856">
        <v>2</v>
      </c>
    </row>
    <row r="2194" spans="3:15">
      <c r="C2194" s="1861" t="s">
        <v>5983</v>
      </c>
      <c r="D2194" s="1858">
        <v>1</v>
      </c>
      <c r="E2194" s="1858">
        <v>1</v>
      </c>
      <c r="F2194" s="1859">
        <v>2</v>
      </c>
      <c r="G2194" s="1872" t="s">
        <v>5983</v>
      </c>
      <c r="H2194" s="1856">
        <v>1</v>
      </c>
      <c r="I2194" s="1856">
        <v>0</v>
      </c>
      <c r="J2194" s="1873">
        <v>1</v>
      </c>
      <c r="K2194" s="1860"/>
      <c r="L2194" s="1854">
        <v>13297110200</v>
      </c>
      <c r="M2194" s="1855">
        <v>1</v>
      </c>
      <c r="N2194" s="1855">
        <v>1</v>
      </c>
      <c r="O2194" s="1856">
        <v>2</v>
      </c>
    </row>
    <row r="2195" spans="3:15">
      <c r="C2195" s="1861" t="s">
        <v>5984</v>
      </c>
      <c r="D2195" s="1858">
        <v>0</v>
      </c>
      <c r="E2195" s="1858">
        <v>0</v>
      </c>
      <c r="F2195" s="1859">
        <v>0</v>
      </c>
      <c r="G2195" s="1872" t="s">
        <v>5984</v>
      </c>
      <c r="H2195" s="1856">
        <v>0</v>
      </c>
      <c r="I2195" s="1856">
        <v>0</v>
      </c>
      <c r="J2195" s="1873">
        <v>0</v>
      </c>
      <c r="K2195" s="1860"/>
      <c r="L2195" s="1854">
        <v>13297110300</v>
      </c>
      <c r="M2195" s="1855">
        <v>0</v>
      </c>
      <c r="N2195" s="1855">
        <v>0</v>
      </c>
      <c r="O2195" s="1856">
        <v>0</v>
      </c>
    </row>
    <row r="2196" spans="3:15">
      <c r="C2196" s="1861" t="s">
        <v>5985</v>
      </c>
      <c r="D2196" s="1858">
        <v>0</v>
      </c>
      <c r="E2196" s="1858">
        <v>0</v>
      </c>
      <c r="F2196" s="1859">
        <v>0</v>
      </c>
      <c r="G2196" s="1872" t="s">
        <v>5985</v>
      </c>
      <c r="H2196" s="1856">
        <v>0</v>
      </c>
      <c r="I2196" s="1856">
        <v>0</v>
      </c>
      <c r="J2196" s="1873">
        <v>0</v>
      </c>
      <c r="K2196" s="1860"/>
      <c r="L2196" s="1854">
        <v>13297110400</v>
      </c>
      <c r="M2196" s="1855">
        <v>0</v>
      </c>
      <c r="N2196" s="1855">
        <v>0</v>
      </c>
      <c r="O2196" s="1856">
        <v>0</v>
      </c>
    </row>
    <row r="2197" spans="3:15">
      <c r="C2197" s="1861" t="s">
        <v>5986</v>
      </c>
      <c r="D2197" s="1858">
        <v>1</v>
      </c>
      <c r="E2197" s="1858">
        <v>1</v>
      </c>
      <c r="F2197" s="1859">
        <v>2</v>
      </c>
      <c r="G2197" s="1872" t="s">
        <v>5986</v>
      </c>
      <c r="H2197" s="1856">
        <v>1</v>
      </c>
      <c r="I2197" s="1856">
        <v>1</v>
      </c>
      <c r="J2197" s="1873">
        <v>2</v>
      </c>
      <c r="K2197" s="1860"/>
      <c r="L2197" s="1854">
        <v>13297110503</v>
      </c>
      <c r="M2197" s="1855">
        <v>1</v>
      </c>
      <c r="N2197" s="1855">
        <v>1</v>
      </c>
      <c r="O2197" s="1856">
        <v>2</v>
      </c>
    </row>
    <row r="2198" spans="3:15">
      <c r="C2198" s="1861" t="s">
        <v>5987</v>
      </c>
      <c r="D2198" s="1858">
        <v>1</v>
      </c>
      <c r="E2198" s="1858">
        <v>1</v>
      </c>
      <c r="F2198" s="1859">
        <v>2</v>
      </c>
      <c r="G2198" s="1872" t="s">
        <v>5987</v>
      </c>
      <c r="H2198" s="1856">
        <v>1</v>
      </c>
      <c r="I2198" s="1856">
        <v>1</v>
      </c>
      <c r="J2198" s="1873">
        <v>2</v>
      </c>
      <c r="K2198" s="1860"/>
      <c r="L2198" s="1854">
        <v>13297110504</v>
      </c>
      <c r="M2198" s="1855">
        <v>1</v>
      </c>
      <c r="N2198" s="1855">
        <v>1</v>
      </c>
      <c r="O2198" s="1856">
        <v>2</v>
      </c>
    </row>
    <row r="2199" spans="3:15">
      <c r="C2199" s="1861" t="s">
        <v>5988</v>
      </c>
      <c r="D2199" s="1858">
        <v>1</v>
      </c>
      <c r="E2199" s="1858">
        <v>1</v>
      </c>
      <c r="F2199" s="1859">
        <v>2</v>
      </c>
      <c r="G2199" s="1872" t="s">
        <v>5988</v>
      </c>
      <c r="H2199" s="1856">
        <v>1</v>
      </c>
      <c r="I2199" s="1856">
        <v>0</v>
      </c>
      <c r="J2199" s="1873">
        <v>1</v>
      </c>
      <c r="K2199" s="1860"/>
      <c r="L2199" s="1854">
        <v>13297110505</v>
      </c>
      <c r="M2199" s="1855">
        <v>1</v>
      </c>
      <c r="N2199" s="1855">
        <v>1</v>
      </c>
      <c r="O2199" s="1856">
        <v>2</v>
      </c>
    </row>
    <row r="2200" spans="3:15">
      <c r="C2200" s="1861" t="s">
        <v>5989</v>
      </c>
      <c r="D2200" s="1858">
        <v>1</v>
      </c>
      <c r="E2200" s="1858">
        <v>1</v>
      </c>
      <c r="F2200" s="1859">
        <v>2</v>
      </c>
      <c r="G2200" s="1872" t="s">
        <v>5989</v>
      </c>
      <c r="H2200" s="1856">
        <v>1</v>
      </c>
      <c r="I2200" s="1856">
        <v>1</v>
      </c>
      <c r="J2200" s="1873">
        <v>2</v>
      </c>
      <c r="K2200" s="1860"/>
      <c r="L2200" s="1854">
        <v>13297110506</v>
      </c>
      <c r="M2200" s="1855">
        <v>1</v>
      </c>
      <c r="N2200" s="1855">
        <v>1</v>
      </c>
      <c r="O2200" s="1856">
        <v>2</v>
      </c>
    </row>
    <row r="2201" spans="3:15">
      <c r="C2201" s="1861" t="s">
        <v>5990</v>
      </c>
      <c r="D2201" s="1858">
        <v>1</v>
      </c>
      <c r="E2201" s="1858">
        <v>1</v>
      </c>
      <c r="F2201" s="1859">
        <v>2</v>
      </c>
      <c r="G2201" s="1872" t="s">
        <v>5990</v>
      </c>
      <c r="H2201" s="1856">
        <v>1</v>
      </c>
      <c r="I2201" s="1856">
        <v>1</v>
      </c>
      <c r="J2201" s="1873">
        <v>2</v>
      </c>
      <c r="K2201" s="1860"/>
      <c r="L2201" s="1854">
        <v>13297110507</v>
      </c>
      <c r="M2201" s="1855">
        <v>1</v>
      </c>
      <c r="N2201" s="1855">
        <v>1</v>
      </c>
      <c r="O2201" s="1856">
        <v>2</v>
      </c>
    </row>
    <row r="2202" spans="3:15">
      <c r="C2202" s="1861" t="s">
        <v>5991</v>
      </c>
      <c r="D2202" s="1858">
        <v>1</v>
      </c>
      <c r="E2202" s="1858">
        <v>1</v>
      </c>
      <c r="F2202" s="1859">
        <v>2</v>
      </c>
      <c r="G2202" s="1872" t="s">
        <v>5991</v>
      </c>
      <c r="H2202" s="1856">
        <v>0</v>
      </c>
      <c r="I2202" s="1856">
        <v>1</v>
      </c>
      <c r="J2202" s="1873">
        <v>1</v>
      </c>
      <c r="K2202" s="1860"/>
      <c r="L2202" s="1854">
        <v>13297110508</v>
      </c>
      <c r="M2202" s="1855">
        <v>1</v>
      </c>
      <c r="N2202" s="1855">
        <v>1</v>
      </c>
      <c r="O2202" s="1856">
        <v>2</v>
      </c>
    </row>
    <row r="2203" spans="3:15">
      <c r="C2203" s="1861" t="s">
        <v>5992</v>
      </c>
      <c r="D2203" s="1858">
        <v>1</v>
      </c>
      <c r="E2203" s="1858">
        <v>1</v>
      </c>
      <c r="F2203" s="1859">
        <v>2</v>
      </c>
      <c r="G2203" s="1872" t="s">
        <v>5992</v>
      </c>
      <c r="H2203" s="1856">
        <v>1</v>
      </c>
      <c r="I2203" s="1856">
        <v>1</v>
      </c>
      <c r="J2203" s="1873">
        <v>2</v>
      </c>
      <c r="K2203" s="1860"/>
      <c r="L2203" s="1854">
        <v>13297110601</v>
      </c>
      <c r="M2203" s="1855">
        <v>1</v>
      </c>
      <c r="N2203" s="1855">
        <v>1</v>
      </c>
      <c r="O2203" s="1856">
        <v>2</v>
      </c>
    </row>
    <row r="2204" spans="3:15">
      <c r="C2204" s="1861" t="s">
        <v>5993</v>
      </c>
      <c r="D2204" s="1858">
        <v>1</v>
      </c>
      <c r="E2204" s="1858">
        <v>1</v>
      </c>
      <c r="F2204" s="1859">
        <v>2</v>
      </c>
      <c r="G2204" s="1872" t="s">
        <v>5993</v>
      </c>
      <c r="H2204" s="1856">
        <v>1</v>
      </c>
      <c r="I2204" s="1856">
        <v>1</v>
      </c>
      <c r="J2204" s="1873">
        <v>2</v>
      </c>
      <c r="K2204" s="1860"/>
      <c r="L2204" s="1854">
        <v>13297110602</v>
      </c>
      <c r="M2204" s="1855">
        <v>1</v>
      </c>
      <c r="N2204" s="1855">
        <v>1</v>
      </c>
      <c r="O2204" s="1856">
        <v>2</v>
      </c>
    </row>
    <row r="2205" spans="3:15">
      <c r="C2205" s="1861" t="s">
        <v>5994</v>
      </c>
      <c r="D2205" s="1858">
        <v>0</v>
      </c>
      <c r="E2205" s="1858">
        <v>1</v>
      </c>
      <c r="F2205" s="1859">
        <v>1</v>
      </c>
      <c r="G2205" s="1872" t="s">
        <v>5994</v>
      </c>
      <c r="H2205" s="1856">
        <v>0</v>
      </c>
      <c r="I2205" s="1856">
        <v>0</v>
      </c>
      <c r="J2205" s="1873">
        <v>0</v>
      </c>
      <c r="K2205" s="1860"/>
      <c r="L2205" s="1854">
        <v>13297110603</v>
      </c>
      <c r="M2205" s="1855">
        <v>0</v>
      </c>
      <c r="N2205" s="1855">
        <v>1</v>
      </c>
      <c r="O2205" s="1856">
        <v>1</v>
      </c>
    </row>
    <row r="2206" spans="3:15">
      <c r="C2206" s="1861" t="s">
        <v>5995</v>
      </c>
      <c r="D2206" s="1858">
        <v>0</v>
      </c>
      <c r="E2206" s="1858">
        <v>0</v>
      </c>
      <c r="F2206" s="1859">
        <v>0</v>
      </c>
      <c r="G2206" s="1872" t="s">
        <v>5995</v>
      </c>
      <c r="H2206" s="1856">
        <v>0</v>
      </c>
      <c r="I2206" s="1856">
        <v>0</v>
      </c>
      <c r="J2206" s="1873">
        <v>0</v>
      </c>
      <c r="K2206" s="1860"/>
      <c r="L2206" s="1854">
        <v>13297110700</v>
      </c>
      <c r="M2206" s="1855">
        <v>0</v>
      </c>
      <c r="N2206" s="1855">
        <v>0</v>
      </c>
      <c r="O2206" s="1856">
        <v>0</v>
      </c>
    </row>
    <row r="2207" spans="3:15">
      <c r="C2207" s="1861" t="s">
        <v>5996</v>
      </c>
      <c r="D2207" s="1858">
        <v>1</v>
      </c>
      <c r="E2207" s="1858">
        <v>0</v>
      </c>
      <c r="F2207" s="1859">
        <v>1</v>
      </c>
      <c r="G2207" s="1872" t="s">
        <v>5996</v>
      </c>
      <c r="H2207" s="1856">
        <v>1</v>
      </c>
      <c r="I2207" s="1856">
        <v>0</v>
      </c>
      <c r="J2207" s="1873">
        <v>1</v>
      </c>
      <c r="K2207" s="1860"/>
      <c r="L2207" s="1854">
        <v>13297110800</v>
      </c>
      <c r="M2207" s="1855">
        <v>1</v>
      </c>
      <c r="N2207" s="1855">
        <v>0</v>
      </c>
      <c r="O2207" s="1856">
        <v>1</v>
      </c>
    </row>
    <row r="2208" spans="3:15">
      <c r="C2208" s="1861" t="s">
        <v>5997</v>
      </c>
      <c r="D2208" s="1858">
        <v>1</v>
      </c>
      <c r="E2208" s="1858">
        <v>0</v>
      </c>
      <c r="F2208" s="1859">
        <v>1</v>
      </c>
      <c r="G2208" s="1872" t="s">
        <v>5997</v>
      </c>
      <c r="H2208" s="1856">
        <v>0</v>
      </c>
      <c r="I2208" s="1856">
        <v>0</v>
      </c>
      <c r="J2208" s="1873">
        <v>0</v>
      </c>
      <c r="K2208" s="1860"/>
      <c r="L2208" s="1854">
        <v>13299950100</v>
      </c>
      <c r="M2208" s="1855">
        <v>1</v>
      </c>
      <c r="N2208" s="1855">
        <v>0</v>
      </c>
      <c r="O2208" s="1856">
        <v>1</v>
      </c>
    </row>
    <row r="2209" spans="3:15">
      <c r="C2209" s="1861" t="s">
        <v>5998</v>
      </c>
      <c r="D2209" s="1858">
        <v>0</v>
      </c>
      <c r="E2209" s="1858">
        <v>0</v>
      </c>
      <c r="F2209" s="1859">
        <v>0</v>
      </c>
      <c r="G2209" s="1872" t="s">
        <v>5998</v>
      </c>
      <c r="H2209" s="1856">
        <v>0</v>
      </c>
      <c r="I2209" s="1856">
        <v>0</v>
      </c>
      <c r="J2209" s="1873">
        <v>0</v>
      </c>
      <c r="K2209" s="1860"/>
      <c r="L2209" s="1854">
        <v>13299950200</v>
      </c>
      <c r="M2209" s="1855">
        <v>0</v>
      </c>
      <c r="N2209" s="1855">
        <v>0</v>
      </c>
      <c r="O2209" s="1856">
        <v>0</v>
      </c>
    </row>
    <row r="2210" spans="3:15">
      <c r="C2210" s="1861" t="s">
        <v>5999</v>
      </c>
      <c r="D2210" s="1858">
        <v>0</v>
      </c>
      <c r="E2210" s="1858">
        <v>0</v>
      </c>
      <c r="F2210" s="1859">
        <v>0</v>
      </c>
      <c r="G2210" s="1872" t="s">
        <v>5999</v>
      </c>
      <c r="H2210" s="1856">
        <v>0</v>
      </c>
      <c r="I2210" s="1856">
        <v>0</v>
      </c>
      <c r="J2210" s="1873">
        <v>0</v>
      </c>
      <c r="K2210" s="1860"/>
      <c r="L2210" s="1854">
        <v>13299950300</v>
      </c>
      <c r="M2210" s="1855">
        <v>0</v>
      </c>
      <c r="N2210" s="1855">
        <v>0</v>
      </c>
      <c r="O2210" s="1856">
        <v>0</v>
      </c>
    </row>
    <row r="2211" spans="3:15">
      <c r="C2211" s="1861" t="s">
        <v>6000</v>
      </c>
      <c r="D2211" s="1858">
        <v>0</v>
      </c>
      <c r="E2211" s="1858">
        <v>0</v>
      </c>
      <c r="F2211" s="1859">
        <v>0</v>
      </c>
      <c r="G2211" s="1872" t="s">
        <v>6000</v>
      </c>
      <c r="H2211" s="1856">
        <v>0</v>
      </c>
      <c r="I2211" s="1856">
        <v>0</v>
      </c>
      <c r="J2211" s="1873">
        <v>0</v>
      </c>
      <c r="K2211" s="1860"/>
      <c r="L2211" s="1854">
        <v>13299950400</v>
      </c>
      <c r="M2211" s="1855">
        <v>0</v>
      </c>
      <c r="N2211" s="1855">
        <v>0</v>
      </c>
      <c r="O2211" s="1856">
        <v>0</v>
      </c>
    </row>
    <row r="2212" spans="3:15">
      <c r="C2212" s="1861" t="s">
        <v>6001</v>
      </c>
      <c r="D2212" s="1858">
        <v>1</v>
      </c>
      <c r="E2212" s="1858">
        <v>0</v>
      </c>
      <c r="F2212" s="1859">
        <v>1</v>
      </c>
      <c r="G2212" s="1872" t="s">
        <v>6001</v>
      </c>
      <c r="H2212" s="1856">
        <v>1</v>
      </c>
      <c r="I2212" s="1856">
        <v>0</v>
      </c>
      <c r="J2212" s="1873">
        <v>1</v>
      </c>
      <c r="K2212" s="1860"/>
      <c r="L2212" s="1854">
        <v>13299950500</v>
      </c>
      <c r="M2212" s="1855">
        <v>1</v>
      </c>
      <c r="N2212" s="1855">
        <v>0</v>
      </c>
      <c r="O2212" s="1856">
        <v>1</v>
      </c>
    </row>
    <row r="2213" spans="3:15">
      <c r="C2213" s="1861" t="s">
        <v>6002</v>
      </c>
      <c r="D2213" s="1858">
        <v>1</v>
      </c>
      <c r="E2213" s="1858">
        <v>0</v>
      </c>
      <c r="F2213" s="1859">
        <v>1</v>
      </c>
      <c r="G2213" s="1872" t="s">
        <v>6002</v>
      </c>
      <c r="H2213" s="1856">
        <v>1</v>
      </c>
      <c r="I2213" s="1856">
        <v>0</v>
      </c>
      <c r="J2213" s="1873">
        <v>1</v>
      </c>
      <c r="K2213" s="1860"/>
      <c r="L2213" s="1854">
        <v>13299950600</v>
      </c>
      <c r="M2213" s="1855">
        <v>1</v>
      </c>
      <c r="N2213" s="1855">
        <v>0</v>
      </c>
      <c r="O2213" s="1856">
        <v>1</v>
      </c>
    </row>
    <row r="2214" spans="3:15">
      <c r="C2214" s="1861" t="s">
        <v>6003</v>
      </c>
      <c r="D2214" s="1858">
        <v>0</v>
      </c>
      <c r="E2214" s="1858">
        <v>0</v>
      </c>
      <c r="F2214" s="1859">
        <v>0</v>
      </c>
      <c r="G2214" s="1872" t="s">
        <v>6003</v>
      </c>
      <c r="H2214" s="1856">
        <v>0</v>
      </c>
      <c r="I2214" s="1856">
        <v>0</v>
      </c>
      <c r="J2214" s="1873">
        <v>0</v>
      </c>
      <c r="K2214" s="1860"/>
      <c r="L2214" s="1854">
        <v>13299950700</v>
      </c>
      <c r="M2214" s="1855">
        <v>0</v>
      </c>
      <c r="N2214" s="1855">
        <v>0</v>
      </c>
      <c r="O2214" s="1856">
        <v>0</v>
      </c>
    </row>
    <row r="2215" spans="3:15">
      <c r="C2215" s="1861" t="s">
        <v>6004</v>
      </c>
      <c r="D2215" s="1858">
        <v>0</v>
      </c>
      <c r="E2215" s="1858">
        <v>0</v>
      </c>
      <c r="F2215" s="1859">
        <v>0</v>
      </c>
      <c r="G2215" s="1872" t="s">
        <v>6004</v>
      </c>
      <c r="H2215" s="1856">
        <v>0</v>
      </c>
      <c r="I2215" s="1856">
        <v>0</v>
      </c>
      <c r="J2215" s="1873">
        <v>0</v>
      </c>
      <c r="K2215" s="1860"/>
      <c r="L2215" s="1854">
        <v>13299950800</v>
      </c>
      <c r="M2215" s="1855">
        <v>0</v>
      </c>
      <c r="N2215" s="1855">
        <v>0</v>
      </c>
      <c r="O2215" s="1856">
        <v>0</v>
      </c>
    </row>
    <row r="2216" spans="3:15">
      <c r="C2216" s="1861" t="s">
        <v>6005</v>
      </c>
      <c r="D2216" s="1858">
        <v>0</v>
      </c>
      <c r="E2216" s="1858">
        <v>0</v>
      </c>
      <c r="F2216" s="1859">
        <v>0</v>
      </c>
      <c r="G2216" s="1872" t="s">
        <v>6005</v>
      </c>
      <c r="H2216" s="1856">
        <v>0</v>
      </c>
      <c r="I2216" s="1856">
        <v>0</v>
      </c>
      <c r="J2216" s="1873">
        <v>0</v>
      </c>
      <c r="K2216" s="1860"/>
      <c r="L2216" s="1854">
        <v>13299950900</v>
      </c>
      <c r="M2216" s="1855">
        <v>0</v>
      </c>
      <c r="N2216" s="1855">
        <v>0</v>
      </c>
      <c r="O2216" s="1856">
        <v>0</v>
      </c>
    </row>
    <row r="2217" spans="3:15">
      <c r="C2217" s="1861" t="s">
        <v>6006</v>
      </c>
      <c r="D2217" s="1858">
        <v>0</v>
      </c>
      <c r="E2217" s="1858">
        <v>0</v>
      </c>
      <c r="F2217" s="1859">
        <v>0</v>
      </c>
      <c r="G2217" s="1872" t="s">
        <v>6006</v>
      </c>
      <c r="H2217" s="1856">
        <v>0</v>
      </c>
      <c r="I2217" s="1856">
        <v>0</v>
      </c>
      <c r="J2217" s="1873">
        <v>0</v>
      </c>
      <c r="K2217" s="1860"/>
      <c r="L2217" s="1854">
        <v>13301970400</v>
      </c>
      <c r="M2217" s="1855">
        <v>0</v>
      </c>
      <c r="N2217" s="1855">
        <v>0</v>
      </c>
      <c r="O2217" s="1856">
        <v>0</v>
      </c>
    </row>
    <row r="2218" spans="3:15">
      <c r="C2218" s="1861" t="s">
        <v>6007</v>
      </c>
      <c r="D2218" s="1858">
        <v>0</v>
      </c>
      <c r="E2218" s="1858">
        <v>0</v>
      </c>
      <c r="F2218" s="1859">
        <v>0</v>
      </c>
      <c r="G2218" s="1872" t="s">
        <v>6007</v>
      </c>
      <c r="H2218" s="1856">
        <v>0</v>
      </c>
      <c r="I2218" s="1856">
        <v>0</v>
      </c>
      <c r="J2218" s="1873">
        <v>0</v>
      </c>
      <c r="K2218" s="1860"/>
      <c r="L2218" s="1854">
        <v>13301970500</v>
      </c>
      <c r="M2218" s="1855">
        <v>0</v>
      </c>
      <c r="N2218" s="1855">
        <v>0</v>
      </c>
      <c r="O2218" s="1856">
        <v>0</v>
      </c>
    </row>
    <row r="2219" spans="3:15">
      <c r="C2219" s="1861" t="s">
        <v>6008</v>
      </c>
      <c r="D2219" s="1858">
        <v>0</v>
      </c>
      <c r="E2219" s="1858">
        <v>0</v>
      </c>
      <c r="F2219" s="1859">
        <v>0</v>
      </c>
      <c r="G2219" s="1872" t="s">
        <v>6008</v>
      </c>
      <c r="H2219" s="1856">
        <v>0</v>
      </c>
      <c r="I2219" s="1856">
        <v>1</v>
      </c>
      <c r="J2219" s="1873">
        <v>1</v>
      </c>
      <c r="K2219" s="1860"/>
      <c r="L2219" s="1854">
        <v>13303950100</v>
      </c>
      <c r="M2219" s="1855">
        <v>0</v>
      </c>
      <c r="N2219" s="1855">
        <v>1</v>
      </c>
      <c r="O2219" s="1856">
        <v>1</v>
      </c>
    </row>
    <row r="2220" spans="3:15">
      <c r="C2220" s="1861" t="s">
        <v>6009</v>
      </c>
      <c r="D2220" s="1858">
        <v>0</v>
      </c>
      <c r="E2220" s="1858">
        <v>0</v>
      </c>
      <c r="F2220" s="1859">
        <v>0</v>
      </c>
      <c r="G2220" s="1872" t="s">
        <v>6009</v>
      </c>
      <c r="H2220" s="1856">
        <v>0</v>
      </c>
      <c r="I2220" s="1856">
        <v>0</v>
      </c>
      <c r="J2220" s="1873">
        <v>0</v>
      </c>
      <c r="K2220" s="1860"/>
      <c r="L2220" s="1854">
        <v>13303950300</v>
      </c>
      <c r="M2220" s="1855">
        <v>0</v>
      </c>
      <c r="N2220" s="1855">
        <v>0</v>
      </c>
      <c r="O2220" s="1856">
        <v>0</v>
      </c>
    </row>
    <row r="2221" spans="3:15">
      <c r="C2221" s="1861" t="s">
        <v>6010</v>
      </c>
      <c r="D2221" s="1858">
        <v>0</v>
      </c>
      <c r="E2221" s="1858">
        <v>0</v>
      </c>
      <c r="F2221" s="1859">
        <v>0</v>
      </c>
      <c r="G2221" s="1872" t="s">
        <v>6010</v>
      </c>
      <c r="H2221" s="1856">
        <v>0</v>
      </c>
      <c r="I2221" s="1856">
        <v>0</v>
      </c>
      <c r="J2221" s="1873">
        <v>0</v>
      </c>
      <c r="K2221" s="1860"/>
      <c r="L2221" s="1854">
        <v>13303950400</v>
      </c>
      <c r="M2221" s="1855">
        <v>0</v>
      </c>
      <c r="N2221" s="1855">
        <v>0</v>
      </c>
      <c r="O2221" s="1856">
        <v>0</v>
      </c>
    </row>
    <row r="2222" spans="3:15">
      <c r="C2222" s="1861" t="s">
        <v>6011</v>
      </c>
      <c r="D2222" s="1858">
        <v>0</v>
      </c>
      <c r="E2222" s="1858">
        <v>0</v>
      </c>
      <c r="F2222" s="1859">
        <v>0</v>
      </c>
      <c r="G2222" s="1872" t="s">
        <v>6011</v>
      </c>
      <c r="H2222" s="1856">
        <v>0</v>
      </c>
      <c r="I2222" s="1856">
        <v>0</v>
      </c>
      <c r="J2222" s="1873">
        <v>0</v>
      </c>
      <c r="K2222" s="1860"/>
      <c r="L2222" s="1854">
        <v>13303950500</v>
      </c>
      <c r="M2222" s="1855">
        <v>0</v>
      </c>
      <c r="N2222" s="1855">
        <v>0</v>
      </c>
      <c r="O2222" s="1856">
        <v>0</v>
      </c>
    </row>
    <row r="2223" spans="3:15">
      <c r="C2223" s="1861" t="s">
        <v>6012</v>
      </c>
      <c r="D2223" s="1858">
        <v>0</v>
      </c>
      <c r="E2223" s="1858">
        <v>0</v>
      </c>
      <c r="F2223" s="1859">
        <v>0</v>
      </c>
      <c r="G2223" s="1872" t="s">
        <v>6012</v>
      </c>
      <c r="H2223" s="1856">
        <v>0</v>
      </c>
      <c r="I2223" s="1856">
        <v>1</v>
      </c>
      <c r="J2223" s="1873">
        <v>1</v>
      </c>
      <c r="K2223" s="1860"/>
      <c r="L2223" s="1854">
        <v>13303950700</v>
      </c>
      <c r="M2223" s="1855">
        <v>0</v>
      </c>
      <c r="N2223" s="1855">
        <v>1</v>
      </c>
      <c r="O2223" s="1856">
        <v>1</v>
      </c>
    </row>
    <row r="2224" spans="3:15">
      <c r="C2224" s="1861" t="s">
        <v>6013</v>
      </c>
      <c r="D2224" s="1858">
        <v>0</v>
      </c>
      <c r="E2224" s="1858">
        <v>0</v>
      </c>
      <c r="F2224" s="1859">
        <v>0</v>
      </c>
      <c r="G2224" s="1872" t="s">
        <v>6013</v>
      </c>
      <c r="H2224" s="1856">
        <v>0</v>
      </c>
      <c r="I2224" s="1856">
        <v>0</v>
      </c>
      <c r="J2224" s="1873">
        <v>0</v>
      </c>
      <c r="K2224" s="1860"/>
      <c r="L2224" s="1854">
        <v>13305970100</v>
      </c>
      <c r="M2224" s="1855">
        <v>0</v>
      </c>
      <c r="N2224" s="1855">
        <v>0</v>
      </c>
      <c r="O2224" s="1856">
        <v>0</v>
      </c>
    </row>
    <row r="2225" spans="3:15">
      <c r="C2225" s="1861" t="s">
        <v>6014</v>
      </c>
      <c r="D2225" s="1858">
        <v>0</v>
      </c>
      <c r="E2225" s="1858">
        <v>0</v>
      </c>
      <c r="F2225" s="1859">
        <v>0</v>
      </c>
      <c r="G2225" s="1872" t="s">
        <v>6014</v>
      </c>
      <c r="H2225" s="1856">
        <v>0</v>
      </c>
      <c r="I2225" s="1856">
        <v>0</v>
      </c>
      <c r="J2225" s="1873">
        <v>0</v>
      </c>
      <c r="K2225" s="1860"/>
      <c r="L2225" s="1854">
        <v>13305970200</v>
      </c>
      <c r="M2225" s="1855">
        <v>0</v>
      </c>
      <c r="N2225" s="1855">
        <v>0</v>
      </c>
      <c r="O2225" s="1856">
        <v>0</v>
      </c>
    </row>
    <row r="2226" spans="3:15">
      <c r="C2226" s="1861" t="s">
        <v>6015</v>
      </c>
      <c r="D2226" s="1858">
        <v>0</v>
      </c>
      <c r="E2226" s="1858">
        <v>0</v>
      </c>
      <c r="F2226" s="1859">
        <v>0</v>
      </c>
      <c r="G2226" s="1872" t="s">
        <v>6015</v>
      </c>
      <c r="H2226" s="1856">
        <v>0</v>
      </c>
      <c r="I2226" s="1856">
        <v>0</v>
      </c>
      <c r="J2226" s="1873">
        <v>0</v>
      </c>
      <c r="K2226" s="1860"/>
      <c r="L2226" s="1854">
        <v>13305970300</v>
      </c>
      <c r="M2226" s="1855">
        <v>0</v>
      </c>
      <c r="N2226" s="1855">
        <v>0</v>
      </c>
      <c r="O2226" s="1856">
        <v>0</v>
      </c>
    </row>
    <row r="2227" spans="3:15">
      <c r="C2227" s="1861" t="s">
        <v>6016</v>
      </c>
      <c r="D2227" s="1858">
        <v>0</v>
      </c>
      <c r="E2227" s="1858">
        <v>0</v>
      </c>
      <c r="F2227" s="1859">
        <v>0</v>
      </c>
      <c r="G2227" s="1872" t="s">
        <v>6016</v>
      </c>
      <c r="H2227" s="1856">
        <v>0</v>
      </c>
      <c r="I2227" s="1856">
        <v>0</v>
      </c>
      <c r="J2227" s="1873">
        <v>0</v>
      </c>
      <c r="K2227" s="1860"/>
      <c r="L2227" s="1854">
        <v>13305970400</v>
      </c>
      <c r="M2227" s="1855">
        <v>0</v>
      </c>
      <c r="N2227" s="1855">
        <v>0</v>
      </c>
      <c r="O2227" s="1856">
        <v>0</v>
      </c>
    </row>
    <row r="2228" spans="3:15">
      <c r="C2228" s="1861" t="s">
        <v>6017</v>
      </c>
      <c r="D2228" s="1858">
        <v>0</v>
      </c>
      <c r="E2228" s="1858">
        <v>0</v>
      </c>
      <c r="F2228" s="1859">
        <v>0</v>
      </c>
      <c r="G2228" s="1872" t="s">
        <v>6017</v>
      </c>
      <c r="H2228" s="1856">
        <v>0</v>
      </c>
      <c r="I2228" s="1856">
        <v>0</v>
      </c>
      <c r="J2228" s="1873">
        <v>0</v>
      </c>
      <c r="K2228" s="1860"/>
      <c r="L2228" s="1854">
        <v>13305970500</v>
      </c>
      <c r="M2228" s="1855">
        <v>0</v>
      </c>
      <c r="N2228" s="1855">
        <v>0</v>
      </c>
      <c r="O2228" s="1856">
        <v>0</v>
      </c>
    </row>
    <row r="2229" spans="3:15">
      <c r="C2229" s="1861" t="s">
        <v>6018</v>
      </c>
      <c r="D2229" s="1858">
        <v>0</v>
      </c>
      <c r="E2229" s="1858">
        <v>0</v>
      </c>
      <c r="F2229" s="1859">
        <v>0</v>
      </c>
      <c r="G2229" s="1872" t="s">
        <v>6018</v>
      </c>
      <c r="H2229" s="1856">
        <v>0</v>
      </c>
      <c r="I2229" s="1856">
        <v>0</v>
      </c>
      <c r="J2229" s="1873">
        <v>0</v>
      </c>
      <c r="K2229" s="1860"/>
      <c r="L2229" s="1854">
        <v>13305970600</v>
      </c>
      <c r="M2229" s="1855">
        <v>0</v>
      </c>
      <c r="N2229" s="1855">
        <v>0</v>
      </c>
      <c r="O2229" s="1856">
        <v>0</v>
      </c>
    </row>
    <row r="2230" spans="3:15">
      <c r="C2230" s="1861" t="s">
        <v>6019</v>
      </c>
      <c r="D2230" s="1858">
        <v>0</v>
      </c>
      <c r="E2230" s="1858">
        <v>0</v>
      </c>
      <c r="F2230" s="1859">
        <v>0</v>
      </c>
      <c r="G2230" s="1872" t="s">
        <v>6019</v>
      </c>
      <c r="H2230" s="1856">
        <v>0</v>
      </c>
      <c r="I2230" s="1856">
        <v>1</v>
      </c>
      <c r="J2230" s="1873">
        <v>1</v>
      </c>
      <c r="K2230" s="1860"/>
      <c r="L2230" s="1854">
        <v>13307960100</v>
      </c>
      <c r="M2230" s="1855">
        <v>0</v>
      </c>
      <c r="N2230" s="1855">
        <v>1</v>
      </c>
      <c r="O2230" s="1856">
        <v>1</v>
      </c>
    </row>
    <row r="2231" spans="3:15">
      <c r="C2231" s="1861" t="s">
        <v>6020</v>
      </c>
      <c r="D2231" s="1858">
        <v>0</v>
      </c>
      <c r="E2231" s="1858">
        <v>0</v>
      </c>
      <c r="F2231" s="1859">
        <v>0</v>
      </c>
      <c r="G2231" s="1872" t="s">
        <v>6020</v>
      </c>
      <c r="H2231" s="1856">
        <v>0</v>
      </c>
      <c r="I2231" s="1856">
        <v>0</v>
      </c>
      <c r="J2231" s="1873">
        <v>0</v>
      </c>
      <c r="K2231" s="1860"/>
      <c r="L2231" s="1854">
        <v>13307960200</v>
      </c>
      <c r="M2231" s="1855">
        <v>0</v>
      </c>
      <c r="N2231" s="1855">
        <v>0</v>
      </c>
      <c r="O2231" s="1856">
        <v>0</v>
      </c>
    </row>
    <row r="2232" spans="3:15">
      <c r="C2232" s="1861" t="s">
        <v>6021</v>
      </c>
      <c r="D2232" s="1858">
        <v>0</v>
      </c>
      <c r="E2232" s="1858">
        <v>0</v>
      </c>
      <c r="F2232" s="1859">
        <v>0</v>
      </c>
      <c r="G2232" s="1872" t="s">
        <v>6021</v>
      </c>
      <c r="H2232" s="1856">
        <v>0</v>
      </c>
      <c r="I2232" s="1856">
        <v>0</v>
      </c>
      <c r="J2232" s="1873">
        <v>0</v>
      </c>
      <c r="K2232" s="1860"/>
      <c r="L2232" s="1854">
        <v>13309780100</v>
      </c>
      <c r="M2232" s="1855">
        <v>0</v>
      </c>
      <c r="N2232" s="1855">
        <v>0</v>
      </c>
      <c r="O2232" s="1856">
        <v>0</v>
      </c>
    </row>
    <row r="2233" spans="3:15">
      <c r="C2233" s="1861" t="s">
        <v>6022</v>
      </c>
      <c r="D2233" s="1858">
        <v>0</v>
      </c>
      <c r="E2233" s="1858">
        <v>0</v>
      </c>
      <c r="F2233" s="1859">
        <v>0</v>
      </c>
      <c r="G2233" s="1872" t="s">
        <v>6022</v>
      </c>
      <c r="H2233" s="1856">
        <v>0</v>
      </c>
      <c r="I2233" s="1856">
        <v>1</v>
      </c>
      <c r="J2233" s="1873">
        <v>1</v>
      </c>
      <c r="K2233" s="1860"/>
      <c r="L2233" s="1854">
        <v>13309780200</v>
      </c>
      <c r="M2233" s="1855">
        <v>0</v>
      </c>
      <c r="N2233" s="1855">
        <v>1</v>
      </c>
      <c r="O2233" s="1856">
        <v>1</v>
      </c>
    </row>
    <row r="2234" spans="3:15">
      <c r="C2234" s="1861" t="s">
        <v>6023</v>
      </c>
      <c r="D2234" s="1858">
        <v>1</v>
      </c>
      <c r="E2234" s="1858">
        <v>0</v>
      </c>
      <c r="F2234" s="1859">
        <v>1</v>
      </c>
      <c r="G2234" s="1872" t="s">
        <v>6023</v>
      </c>
      <c r="H2234" s="1856">
        <v>1</v>
      </c>
      <c r="I2234" s="1856">
        <v>0</v>
      </c>
      <c r="J2234" s="1873">
        <v>1</v>
      </c>
      <c r="K2234" s="1860"/>
      <c r="L2234" s="1854">
        <v>13311950100</v>
      </c>
      <c r="M2234" s="1855">
        <v>1</v>
      </c>
      <c r="N2234" s="1855">
        <v>0</v>
      </c>
      <c r="O2234" s="1856">
        <v>1</v>
      </c>
    </row>
    <row r="2235" spans="3:15">
      <c r="C2235" s="1861" t="s">
        <v>6024</v>
      </c>
      <c r="D2235" s="1858">
        <v>0</v>
      </c>
      <c r="E2235" s="1858">
        <v>0</v>
      </c>
      <c r="F2235" s="1859">
        <v>0</v>
      </c>
      <c r="G2235" s="1872" t="s">
        <v>6024</v>
      </c>
      <c r="H2235" s="1856">
        <v>0</v>
      </c>
      <c r="I2235" s="1856">
        <v>0</v>
      </c>
      <c r="J2235" s="1873">
        <v>0</v>
      </c>
      <c r="K2235" s="1860"/>
      <c r="L2235" s="1854">
        <v>13311950201</v>
      </c>
      <c r="M2235" s="1855">
        <v>0</v>
      </c>
      <c r="N2235" s="1855">
        <v>0</v>
      </c>
      <c r="O2235" s="1856">
        <v>0</v>
      </c>
    </row>
    <row r="2236" spans="3:15">
      <c r="C2236" s="1861" t="s">
        <v>6025</v>
      </c>
      <c r="D2236" s="1858">
        <v>1</v>
      </c>
      <c r="E2236" s="1858">
        <v>1</v>
      </c>
      <c r="F2236" s="1859">
        <v>2</v>
      </c>
      <c r="G2236" s="1872" t="s">
        <v>6025</v>
      </c>
      <c r="H2236" s="1856">
        <v>0</v>
      </c>
      <c r="I2236" s="1856">
        <v>1</v>
      </c>
      <c r="J2236" s="1873">
        <v>1</v>
      </c>
      <c r="K2236" s="1860"/>
      <c r="L2236" s="1854">
        <v>13311950202</v>
      </c>
      <c r="M2236" s="1855">
        <v>1</v>
      </c>
      <c r="N2236" s="1855">
        <v>1</v>
      </c>
      <c r="O2236" s="1856">
        <v>2</v>
      </c>
    </row>
    <row r="2237" spans="3:15">
      <c r="C2237" s="1861" t="s">
        <v>6026</v>
      </c>
      <c r="D2237" s="1858">
        <v>1</v>
      </c>
      <c r="E2237" s="1858">
        <v>0</v>
      </c>
      <c r="F2237" s="1859">
        <v>1</v>
      </c>
      <c r="G2237" s="1872" t="s">
        <v>6026</v>
      </c>
      <c r="H2237" s="1856">
        <v>0</v>
      </c>
      <c r="I2237" s="1856">
        <v>1</v>
      </c>
      <c r="J2237" s="1873">
        <v>1</v>
      </c>
      <c r="K2237" s="1860"/>
      <c r="L2237" s="1854">
        <v>13311950203</v>
      </c>
      <c r="M2237" s="1855">
        <v>1</v>
      </c>
      <c r="N2237" s="1855">
        <v>1</v>
      </c>
      <c r="O2237" s="1856">
        <v>1</v>
      </c>
    </row>
    <row r="2238" spans="3:15">
      <c r="C2238" s="1861" t="s">
        <v>6027</v>
      </c>
      <c r="D2238" s="1858">
        <v>0</v>
      </c>
      <c r="E2238" s="1858">
        <v>1</v>
      </c>
      <c r="F2238" s="1859">
        <v>1</v>
      </c>
      <c r="G2238" s="1872" t="s">
        <v>6027</v>
      </c>
      <c r="H2238" s="1856">
        <v>0</v>
      </c>
      <c r="I2238" s="1856">
        <v>1</v>
      </c>
      <c r="J2238" s="1873">
        <v>1</v>
      </c>
      <c r="K2238" s="1860"/>
      <c r="L2238" s="1854">
        <v>13311950300</v>
      </c>
      <c r="M2238" s="1855">
        <v>0</v>
      </c>
      <c r="N2238" s="1855">
        <v>1</v>
      </c>
      <c r="O2238" s="1856">
        <v>1</v>
      </c>
    </row>
    <row r="2239" spans="3:15">
      <c r="C2239" s="1861" t="s">
        <v>6028</v>
      </c>
      <c r="D2239" s="1858">
        <v>0</v>
      </c>
      <c r="E2239" s="1858">
        <v>0</v>
      </c>
      <c r="F2239" s="1859">
        <v>0</v>
      </c>
      <c r="G2239" s="1872" t="s">
        <v>6028</v>
      </c>
      <c r="H2239" s="1856">
        <v>0</v>
      </c>
      <c r="I2239" s="1856">
        <v>1</v>
      </c>
      <c r="J2239" s="1873">
        <v>1</v>
      </c>
      <c r="K2239" s="1860"/>
      <c r="L2239" s="1854">
        <v>13313000101</v>
      </c>
      <c r="M2239" s="1855">
        <v>0</v>
      </c>
      <c r="N2239" s="1855">
        <v>1</v>
      </c>
      <c r="O2239" s="1856">
        <v>1</v>
      </c>
    </row>
    <row r="2240" spans="3:15">
      <c r="C2240" s="1861" t="s">
        <v>6029</v>
      </c>
      <c r="D2240" s="1858">
        <v>0</v>
      </c>
      <c r="E2240" s="1858">
        <v>1</v>
      </c>
      <c r="F2240" s="1859">
        <v>1</v>
      </c>
      <c r="G2240" s="1872" t="s">
        <v>6029</v>
      </c>
      <c r="H2240" s="1856">
        <v>0</v>
      </c>
      <c r="I2240" s="1856">
        <v>0</v>
      </c>
      <c r="J2240" s="1873">
        <v>0</v>
      </c>
      <c r="K2240" s="1860"/>
      <c r="L2240" s="1854">
        <v>13313000102</v>
      </c>
      <c r="M2240" s="1855">
        <v>0</v>
      </c>
      <c r="N2240" s="1855">
        <v>1</v>
      </c>
      <c r="O2240" s="1856">
        <v>1</v>
      </c>
    </row>
    <row r="2241" spans="3:15">
      <c r="C2241" s="1861" t="s">
        <v>6030</v>
      </c>
      <c r="D2241" s="1858">
        <v>0</v>
      </c>
      <c r="E2241" s="1858">
        <v>1</v>
      </c>
      <c r="F2241" s="1859">
        <v>1</v>
      </c>
      <c r="G2241" s="1872" t="s">
        <v>6030</v>
      </c>
      <c r="H2241" s="1856">
        <v>0</v>
      </c>
      <c r="I2241" s="1856">
        <v>1</v>
      </c>
      <c r="J2241" s="1873">
        <v>1</v>
      </c>
      <c r="K2241" s="1860"/>
      <c r="L2241" s="1854">
        <v>13313000200</v>
      </c>
      <c r="M2241" s="1855">
        <v>0</v>
      </c>
      <c r="N2241" s="1855">
        <v>1</v>
      </c>
      <c r="O2241" s="1856">
        <v>1</v>
      </c>
    </row>
    <row r="2242" spans="3:15">
      <c r="C2242" s="1861" t="s">
        <v>6031</v>
      </c>
      <c r="D2242" s="1858">
        <v>0</v>
      </c>
      <c r="E2242" s="1858">
        <v>0</v>
      </c>
      <c r="F2242" s="1859">
        <v>0</v>
      </c>
      <c r="G2242" s="1872" t="s">
        <v>6031</v>
      </c>
      <c r="H2242" s="1856">
        <v>0</v>
      </c>
      <c r="I2242" s="1856">
        <v>0</v>
      </c>
      <c r="J2242" s="1873">
        <v>0</v>
      </c>
      <c r="K2242" s="1860"/>
      <c r="L2242" s="1854">
        <v>13313000301</v>
      </c>
      <c r="M2242" s="1855">
        <v>0</v>
      </c>
      <c r="N2242" s="1855">
        <v>0</v>
      </c>
      <c r="O2242" s="1856">
        <v>0</v>
      </c>
    </row>
    <row r="2243" spans="3:15">
      <c r="C2243" s="1861" t="s">
        <v>6032</v>
      </c>
      <c r="D2243" s="1858">
        <v>0</v>
      </c>
      <c r="E2243" s="1858">
        <v>1</v>
      </c>
      <c r="F2243" s="1859">
        <v>1</v>
      </c>
      <c r="G2243" s="1872" t="s">
        <v>6032</v>
      </c>
      <c r="H2243" s="1856">
        <v>1</v>
      </c>
      <c r="I2243" s="1856">
        <v>1</v>
      </c>
      <c r="J2243" s="1873">
        <v>2</v>
      </c>
      <c r="K2243" s="1860"/>
      <c r="L2243" s="1854">
        <v>13313000302</v>
      </c>
      <c r="M2243" s="1855">
        <v>1</v>
      </c>
      <c r="N2243" s="1855">
        <v>1</v>
      </c>
      <c r="O2243" s="1856">
        <v>2</v>
      </c>
    </row>
    <row r="2244" spans="3:15">
      <c r="C2244" s="1861" t="s">
        <v>6033</v>
      </c>
      <c r="D2244" s="1858">
        <v>0</v>
      </c>
      <c r="E2244" s="1858">
        <v>0</v>
      </c>
      <c r="F2244" s="1859">
        <v>0</v>
      </c>
      <c r="G2244" s="1872" t="s">
        <v>6033</v>
      </c>
      <c r="H2244" s="1856">
        <v>0</v>
      </c>
      <c r="I2244" s="1856">
        <v>0</v>
      </c>
      <c r="J2244" s="1873">
        <v>0</v>
      </c>
      <c r="K2244" s="1860"/>
      <c r="L2244" s="1854">
        <v>13313000400</v>
      </c>
      <c r="M2244" s="1855">
        <v>0</v>
      </c>
      <c r="N2244" s="1855">
        <v>0</v>
      </c>
      <c r="O2244" s="1856">
        <v>0</v>
      </c>
    </row>
    <row r="2245" spans="3:15">
      <c r="C2245" s="1861" t="s">
        <v>6034</v>
      </c>
      <c r="D2245" s="1858">
        <v>1</v>
      </c>
      <c r="E2245" s="1858">
        <v>0</v>
      </c>
      <c r="F2245" s="1859">
        <v>1</v>
      </c>
      <c r="G2245" s="1872" t="s">
        <v>6034</v>
      </c>
      <c r="H2245" s="1856">
        <v>1</v>
      </c>
      <c r="I2245" s="1856">
        <v>1</v>
      </c>
      <c r="J2245" s="1873">
        <v>2</v>
      </c>
      <c r="K2245" s="1860"/>
      <c r="L2245" s="1854">
        <v>13313000501</v>
      </c>
      <c r="M2245" s="1855">
        <v>1</v>
      </c>
      <c r="N2245" s="1855">
        <v>1</v>
      </c>
      <c r="O2245" s="1856">
        <v>2</v>
      </c>
    </row>
    <row r="2246" spans="3:15">
      <c r="C2246" s="1861" t="s">
        <v>6035</v>
      </c>
      <c r="D2246" s="1858">
        <v>0</v>
      </c>
      <c r="E2246" s="1858">
        <v>0</v>
      </c>
      <c r="F2246" s="1859">
        <v>0</v>
      </c>
      <c r="G2246" s="1872" t="s">
        <v>6035</v>
      </c>
      <c r="H2246" s="1856">
        <v>0</v>
      </c>
      <c r="I2246" s="1856">
        <v>0</v>
      </c>
      <c r="J2246" s="1873">
        <v>0</v>
      </c>
      <c r="K2246" s="1860"/>
      <c r="L2246" s="1854">
        <v>13313000502</v>
      </c>
      <c r="M2246" s="1855">
        <v>0</v>
      </c>
      <c r="N2246" s="1855">
        <v>0</v>
      </c>
      <c r="O2246" s="1856">
        <v>0</v>
      </c>
    </row>
    <row r="2247" spans="3:15">
      <c r="C2247" s="1861" t="s">
        <v>6036</v>
      </c>
      <c r="D2247" s="1858">
        <v>0</v>
      </c>
      <c r="E2247" s="1858">
        <v>1</v>
      </c>
      <c r="F2247" s="1859">
        <v>1</v>
      </c>
      <c r="G2247" s="1872" t="s">
        <v>6036</v>
      </c>
      <c r="H2247" s="1856">
        <v>0</v>
      </c>
      <c r="I2247" s="1856">
        <v>0</v>
      </c>
      <c r="J2247" s="1873">
        <v>0</v>
      </c>
      <c r="K2247" s="1860"/>
      <c r="L2247" s="1854">
        <v>13313000600</v>
      </c>
      <c r="M2247" s="1855">
        <v>0</v>
      </c>
      <c r="N2247" s="1855">
        <v>1</v>
      </c>
      <c r="O2247" s="1856">
        <v>1</v>
      </c>
    </row>
    <row r="2248" spans="3:15">
      <c r="C2248" s="1861" t="s">
        <v>6037</v>
      </c>
      <c r="D2248" s="1858">
        <v>0</v>
      </c>
      <c r="E2248" s="1858">
        <v>1</v>
      </c>
      <c r="F2248" s="1859">
        <v>1</v>
      </c>
      <c r="G2248" s="1872" t="s">
        <v>6037</v>
      </c>
      <c r="H2248" s="1856">
        <v>0</v>
      </c>
      <c r="I2248" s="1856">
        <v>1</v>
      </c>
      <c r="J2248" s="1873">
        <v>1</v>
      </c>
      <c r="K2248" s="1860"/>
      <c r="L2248" s="1854">
        <v>13313000700</v>
      </c>
      <c r="M2248" s="1855">
        <v>0</v>
      </c>
      <c r="N2248" s="1855">
        <v>1</v>
      </c>
      <c r="O2248" s="1856">
        <v>1</v>
      </c>
    </row>
    <row r="2249" spans="3:15">
      <c r="C2249" s="1861" t="s">
        <v>6038</v>
      </c>
      <c r="D2249" s="1858">
        <v>1</v>
      </c>
      <c r="E2249" s="1858">
        <v>0</v>
      </c>
      <c r="F2249" s="1859">
        <v>1</v>
      </c>
      <c r="G2249" s="1872" t="s">
        <v>6038</v>
      </c>
      <c r="H2249" s="1856">
        <v>1</v>
      </c>
      <c r="I2249" s="1856">
        <v>0</v>
      </c>
      <c r="J2249" s="1873">
        <v>1</v>
      </c>
      <c r="K2249" s="1860"/>
      <c r="L2249" s="1854">
        <v>13313000800</v>
      </c>
      <c r="M2249" s="1855">
        <v>1</v>
      </c>
      <c r="N2249" s="1855">
        <v>0</v>
      </c>
      <c r="O2249" s="1856">
        <v>1</v>
      </c>
    </row>
    <row r="2250" spans="3:15">
      <c r="C2250" s="1861" t="s">
        <v>6039</v>
      </c>
      <c r="D2250" s="1858">
        <v>1</v>
      </c>
      <c r="E2250" s="1858">
        <v>1</v>
      </c>
      <c r="F2250" s="1859">
        <v>2</v>
      </c>
      <c r="G2250" s="1872" t="s">
        <v>6039</v>
      </c>
      <c r="H2250" s="1856">
        <v>1</v>
      </c>
      <c r="I2250" s="1856">
        <v>1</v>
      </c>
      <c r="J2250" s="1873">
        <v>2</v>
      </c>
      <c r="K2250" s="1860"/>
      <c r="L2250" s="1854">
        <v>13313000900</v>
      </c>
      <c r="M2250" s="1855">
        <v>1</v>
      </c>
      <c r="N2250" s="1855">
        <v>1</v>
      </c>
      <c r="O2250" s="1856">
        <v>2</v>
      </c>
    </row>
    <row r="2251" spans="3:15">
      <c r="C2251" s="1861" t="s">
        <v>6040</v>
      </c>
      <c r="D2251" s="1858">
        <v>0</v>
      </c>
      <c r="E2251" s="1858">
        <v>0</v>
      </c>
      <c r="F2251" s="1859">
        <v>0</v>
      </c>
      <c r="G2251" s="1872" t="s">
        <v>6040</v>
      </c>
      <c r="H2251" s="1856">
        <v>1</v>
      </c>
      <c r="I2251" s="1856">
        <v>0</v>
      </c>
      <c r="J2251" s="1873">
        <v>0</v>
      </c>
      <c r="K2251" s="1860"/>
      <c r="L2251" s="1854">
        <v>13313001000</v>
      </c>
      <c r="M2251" s="1855">
        <v>1</v>
      </c>
      <c r="N2251" s="1855">
        <v>0</v>
      </c>
      <c r="O2251" s="1856">
        <v>0</v>
      </c>
    </row>
    <row r="2252" spans="3:15">
      <c r="C2252" s="1861" t="s">
        <v>6041</v>
      </c>
      <c r="D2252" s="1858">
        <v>0</v>
      </c>
      <c r="E2252" s="1858">
        <v>0</v>
      </c>
      <c r="F2252" s="1859">
        <v>0</v>
      </c>
      <c r="G2252" s="1872" t="s">
        <v>6041</v>
      </c>
      <c r="H2252" s="1856">
        <v>0</v>
      </c>
      <c r="I2252" s="1856">
        <v>0</v>
      </c>
      <c r="J2252" s="1873">
        <v>0</v>
      </c>
      <c r="K2252" s="1860"/>
      <c r="L2252" s="1854">
        <v>13313001100</v>
      </c>
      <c r="M2252" s="1855">
        <v>0</v>
      </c>
      <c r="N2252" s="1855">
        <v>0</v>
      </c>
      <c r="O2252" s="1856">
        <v>0</v>
      </c>
    </row>
    <row r="2253" spans="3:15">
      <c r="C2253" s="1861" t="s">
        <v>6042</v>
      </c>
      <c r="D2253" s="1858">
        <v>0</v>
      </c>
      <c r="E2253" s="1858">
        <v>0</v>
      </c>
      <c r="F2253" s="1859">
        <v>0</v>
      </c>
      <c r="G2253" s="1872" t="s">
        <v>6042</v>
      </c>
      <c r="H2253" s="1856">
        <v>0</v>
      </c>
      <c r="I2253" s="1856">
        <v>0</v>
      </c>
      <c r="J2253" s="1873">
        <v>0</v>
      </c>
      <c r="K2253" s="1860"/>
      <c r="L2253" s="1854">
        <v>13313001200</v>
      </c>
      <c r="M2253" s="1855">
        <v>0</v>
      </c>
      <c r="N2253" s="1855">
        <v>0</v>
      </c>
      <c r="O2253" s="1856">
        <v>0</v>
      </c>
    </row>
    <row r="2254" spans="3:15">
      <c r="C2254" s="1861" t="s">
        <v>6043</v>
      </c>
      <c r="D2254" s="1858">
        <v>0</v>
      </c>
      <c r="E2254" s="1858">
        <v>0</v>
      </c>
      <c r="F2254" s="1859">
        <v>0</v>
      </c>
      <c r="G2254" s="1872" t="s">
        <v>6043</v>
      </c>
      <c r="H2254" s="1856">
        <v>0</v>
      </c>
      <c r="I2254" s="1856">
        <v>0</v>
      </c>
      <c r="J2254" s="1873">
        <v>0</v>
      </c>
      <c r="K2254" s="1860"/>
      <c r="L2254" s="1854">
        <v>13313001300</v>
      </c>
      <c r="M2254" s="1855">
        <v>0</v>
      </c>
      <c r="N2254" s="1855">
        <v>0</v>
      </c>
      <c r="O2254" s="1856">
        <v>0</v>
      </c>
    </row>
    <row r="2255" spans="3:15">
      <c r="C2255" s="1861" t="s">
        <v>6044</v>
      </c>
      <c r="D2255" s="1858">
        <v>0</v>
      </c>
      <c r="E2255" s="1858">
        <v>0</v>
      </c>
      <c r="F2255" s="1859">
        <v>0</v>
      </c>
      <c r="G2255" s="1872" t="s">
        <v>6044</v>
      </c>
      <c r="H2255" s="1856">
        <v>0</v>
      </c>
      <c r="I2255" s="1856">
        <v>0</v>
      </c>
      <c r="J2255" s="1873">
        <v>0</v>
      </c>
      <c r="K2255" s="1860"/>
      <c r="L2255" s="1854">
        <v>13313001400</v>
      </c>
      <c r="M2255" s="1855">
        <v>0</v>
      </c>
      <c r="N2255" s="1855">
        <v>0</v>
      </c>
      <c r="O2255" s="1856">
        <v>0</v>
      </c>
    </row>
    <row r="2256" spans="3:15">
      <c r="C2256" s="1861" t="s">
        <v>6045</v>
      </c>
      <c r="D2256" s="1858">
        <v>1</v>
      </c>
      <c r="E2256" s="1858">
        <v>0</v>
      </c>
      <c r="F2256" s="1859">
        <v>1</v>
      </c>
      <c r="G2256" s="1872" t="s">
        <v>6045</v>
      </c>
      <c r="H2256" s="1856">
        <v>0</v>
      </c>
      <c r="I2256" s="1856">
        <v>0</v>
      </c>
      <c r="J2256" s="1873">
        <v>0</v>
      </c>
      <c r="K2256" s="1860"/>
      <c r="L2256" s="1854">
        <v>13313001500</v>
      </c>
      <c r="M2256" s="1855">
        <v>1</v>
      </c>
      <c r="N2256" s="1855">
        <v>0</v>
      </c>
      <c r="O2256" s="1856">
        <v>1</v>
      </c>
    </row>
    <row r="2257" spans="3:15">
      <c r="C2257" s="1861" t="s">
        <v>6046</v>
      </c>
      <c r="D2257" s="1858">
        <v>0</v>
      </c>
      <c r="E2257" s="1858">
        <v>0</v>
      </c>
      <c r="F2257" s="1859">
        <v>0</v>
      </c>
      <c r="G2257" s="1872" t="s">
        <v>6046</v>
      </c>
      <c r="H2257" s="1856">
        <v>0</v>
      </c>
      <c r="I2257" s="1856">
        <v>0</v>
      </c>
      <c r="J2257" s="1873">
        <v>0</v>
      </c>
      <c r="K2257" s="1860"/>
      <c r="L2257" s="1854">
        <v>13315960100</v>
      </c>
      <c r="M2257" s="1855">
        <v>0</v>
      </c>
      <c r="N2257" s="1855">
        <v>0</v>
      </c>
      <c r="O2257" s="1856">
        <v>0</v>
      </c>
    </row>
    <row r="2258" spans="3:15">
      <c r="C2258" s="1861" t="s">
        <v>6047</v>
      </c>
      <c r="D2258" s="1858">
        <v>0</v>
      </c>
      <c r="E2258" s="1858">
        <v>0</v>
      </c>
      <c r="F2258" s="1859">
        <v>0</v>
      </c>
      <c r="G2258" s="1872" t="s">
        <v>6047</v>
      </c>
      <c r="H2258" s="1856">
        <v>0</v>
      </c>
      <c r="I2258" s="1856">
        <v>0</v>
      </c>
      <c r="J2258" s="1873">
        <v>0</v>
      </c>
      <c r="K2258" s="1860"/>
      <c r="L2258" s="1854">
        <v>13315960200</v>
      </c>
      <c r="M2258" s="1855">
        <v>0</v>
      </c>
      <c r="N2258" s="1855">
        <v>0</v>
      </c>
      <c r="O2258" s="1856">
        <v>0</v>
      </c>
    </row>
    <row r="2259" spans="3:15">
      <c r="C2259" s="1861" t="s">
        <v>6048</v>
      </c>
      <c r="D2259" s="1858">
        <v>0</v>
      </c>
      <c r="E2259" s="1858">
        <v>0</v>
      </c>
      <c r="F2259" s="1859">
        <v>0</v>
      </c>
      <c r="G2259" s="1872" t="s">
        <v>6048</v>
      </c>
      <c r="H2259" s="1856">
        <v>0</v>
      </c>
      <c r="I2259" s="1856">
        <v>0</v>
      </c>
      <c r="J2259" s="1873">
        <v>0</v>
      </c>
      <c r="K2259" s="1860"/>
      <c r="L2259" s="1854">
        <v>13315960300</v>
      </c>
      <c r="M2259" s="1855">
        <v>0</v>
      </c>
      <c r="N2259" s="1855">
        <v>0</v>
      </c>
      <c r="O2259" s="1856">
        <v>0</v>
      </c>
    </row>
    <row r="2260" spans="3:15">
      <c r="C2260" s="1861" t="s">
        <v>6049</v>
      </c>
      <c r="D2260" s="1858">
        <v>0</v>
      </c>
      <c r="E2260" s="1858">
        <v>0</v>
      </c>
      <c r="F2260" s="1859">
        <v>0</v>
      </c>
      <c r="G2260" s="1872" t="s">
        <v>6049</v>
      </c>
      <c r="H2260" s="1856">
        <v>0</v>
      </c>
      <c r="I2260" s="1856">
        <v>0</v>
      </c>
      <c r="J2260" s="1873">
        <v>0</v>
      </c>
      <c r="K2260" s="1860"/>
      <c r="L2260" s="1854">
        <v>13315960400</v>
      </c>
      <c r="M2260" s="1855">
        <v>0</v>
      </c>
      <c r="N2260" s="1855">
        <v>0</v>
      </c>
      <c r="O2260" s="1856">
        <v>0</v>
      </c>
    </row>
    <row r="2261" spans="3:15">
      <c r="C2261" s="1861" t="s">
        <v>6050</v>
      </c>
      <c r="D2261" s="1858">
        <v>0</v>
      </c>
      <c r="E2261" s="1858">
        <v>0</v>
      </c>
      <c r="F2261" s="1859">
        <v>0</v>
      </c>
      <c r="G2261" s="1872" t="s">
        <v>6050</v>
      </c>
      <c r="H2261" s="1856">
        <v>0</v>
      </c>
      <c r="I2261" s="1856">
        <v>1</v>
      </c>
      <c r="J2261" s="1873">
        <v>1</v>
      </c>
      <c r="K2261" s="1860"/>
      <c r="L2261" s="1854">
        <v>13317010101</v>
      </c>
      <c r="M2261" s="1855">
        <v>0</v>
      </c>
      <c r="N2261" s="1855">
        <v>1</v>
      </c>
      <c r="O2261" s="1856">
        <v>1</v>
      </c>
    </row>
    <row r="2262" spans="3:15">
      <c r="C2262" s="1861" t="s">
        <v>6051</v>
      </c>
      <c r="D2262" s="1858">
        <v>0</v>
      </c>
      <c r="E2262" s="1858">
        <v>0</v>
      </c>
      <c r="F2262" s="1859">
        <v>0</v>
      </c>
      <c r="G2262" s="1872" t="s">
        <v>6051</v>
      </c>
      <c r="H2262" s="1856">
        <v>0</v>
      </c>
      <c r="I2262" s="1856">
        <v>0</v>
      </c>
      <c r="J2262" s="1873">
        <v>0</v>
      </c>
      <c r="K2262" s="1860"/>
      <c r="L2262" s="1854">
        <v>13317010102</v>
      </c>
      <c r="M2262" s="1855">
        <v>0</v>
      </c>
      <c r="N2262" s="1855">
        <v>0</v>
      </c>
      <c r="O2262" s="1856">
        <v>0</v>
      </c>
    </row>
    <row r="2263" spans="3:15">
      <c r="C2263" s="1861" t="s">
        <v>6052</v>
      </c>
      <c r="D2263" s="1858">
        <v>1</v>
      </c>
      <c r="E2263" s="1858">
        <v>0</v>
      </c>
      <c r="F2263" s="1859">
        <v>1</v>
      </c>
      <c r="G2263" s="1872" t="s">
        <v>6052</v>
      </c>
      <c r="H2263" s="1856">
        <v>0</v>
      </c>
      <c r="I2263" s="1856">
        <v>0</v>
      </c>
      <c r="J2263" s="1873">
        <v>0</v>
      </c>
      <c r="K2263" s="1860"/>
      <c r="L2263" s="1854">
        <v>13317010301</v>
      </c>
      <c r="M2263" s="1855">
        <v>1</v>
      </c>
      <c r="N2263" s="1855">
        <v>0</v>
      </c>
      <c r="O2263" s="1856">
        <v>1</v>
      </c>
    </row>
    <row r="2264" spans="3:15">
      <c r="C2264" s="1861" t="s">
        <v>6053</v>
      </c>
      <c r="D2264" s="1858">
        <v>0</v>
      </c>
      <c r="E2264" s="1858">
        <v>0</v>
      </c>
      <c r="F2264" s="1859">
        <v>0</v>
      </c>
      <c r="G2264" s="1872" t="s">
        <v>6053</v>
      </c>
      <c r="H2264" s="1856">
        <v>0</v>
      </c>
      <c r="I2264" s="1856">
        <v>0</v>
      </c>
      <c r="J2264" s="1873">
        <v>0</v>
      </c>
      <c r="K2264" s="1860"/>
      <c r="L2264" s="1854">
        <v>13317010302</v>
      </c>
      <c r="M2264" s="1855">
        <v>0</v>
      </c>
      <c r="N2264" s="1855">
        <v>0</v>
      </c>
      <c r="O2264" s="1856">
        <v>0</v>
      </c>
    </row>
    <row r="2265" spans="3:15">
      <c r="C2265" s="1861" t="s">
        <v>6054</v>
      </c>
      <c r="D2265" s="1858">
        <v>0</v>
      </c>
      <c r="E2265" s="1858">
        <v>0</v>
      </c>
      <c r="F2265" s="1859">
        <v>0</v>
      </c>
      <c r="G2265" s="1872" t="s">
        <v>6054</v>
      </c>
      <c r="H2265" s="1856">
        <v>0</v>
      </c>
      <c r="I2265" s="1856">
        <v>0</v>
      </c>
      <c r="J2265" s="1873">
        <v>0</v>
      </c>
      <c r="K2265" s="1860"/>
      <c r="L2265" s="1854">
        <v>13319960200</v>
      </c>
      <c r="M2265" s="1855">
        <v>0</v>
      </c>
      <c r="N2265" s="1855">
        <v>0</v>
      </c>
      <c r="O2265" s="1856">
        <v>0</v>
      </c>
    </row>
    <row r="2266" spans="3:15">
      <c r="C2266" s="1861" t="s">
        <v>6055</v>
      </c>
      <c r="D2266" s="1858">
        <v>0</v>
      </c>
      <c r="E2266" s="1858">
        <v>0</v>
      </c>
      <c r="F2266" s="1859">
        <v>0</v>
      </c>
      <c r="G2266" s="1872" t="s">
        <v>6055</v>
      </c>
      <c r="H2266" s="1856">
        <v>0</v>
      </c>
      <c r="I2266" s="1856">
        <v>1</v>
      </c>
      <c r="J2266" s="1873">
        <v>1</v>
      </c>
      <c r="K2266" s="1860"/>
      <c r="L2266" s="1854">
        <v>13319960300</v>
      </c>
      <c r="M2266" s="1855">
        <v>0</v>
      </c>
      <c r="N2266" s="1855">
        <v>1</v>
      </c>
      <c r="O2266" s="1856">
        <v>1</v>
      </c>
    </row>
    <row r="2267" spans="3:15">
      <c r="C2267" s="1861" t="s">
        <v>6056</v>
      </c>
      <c r="D2267" s="1858">
        <v>0</v>
      </c>
      <c r="E2267" s="1858">
        <v>0</v>
      </c>
      <c r="F2267" s="1859">
        <v>0</v>
      </c>
      <c r="G2267" s="1872" t="s">
        <v>6056</v>
      </c>
      <c r="H2267" s="1856">
        <v>0</v>
      </c>
      <c r="I2267" s="1856">
        <v>0</v>
      </c>
      <c r="J2267" s="1873">
        <v>0</v>
      </c>
      <c r="K2267" s="1860"/>
      <c r="L2267" s="1854">
        <v>13319960400</v>
      </c>
      <c r="M2267" s="1855">
        <v>0</v>
      </c>
      <c r="N2267" s="1855">
        <v>0</v>
      </c>
      <c r="O2267" s="1856">
        <v>0</v>
      </c>
    </row>
    <row r="2268" spans="3:15">
      <c r="C2268" s="1861" t="s">
        <v>6057</v>
      </c>
      <c r="D2268" s="1858">
        <v>0</v>
      </c>
      <c r="E2268" s="1858">
        <v>0</v>
      </c>
      <c r="F2268" s="1859">
        <v>0</v>
      </c>
      <c r="G2268" s="1872" t="s">
        <v>6057</v>
      </c>
      <c r="H2268" s="1856">
        <v>0</v>
      </c>
      <c r="I2268" s="1856">
        <v>0</v>
      </c>
      <c r="J2268" s="1873">
        <v>0</v>
      </c>
      <c r="K2268" s="1860"/>
      <c r="L2268" s="1854">
        <v>13321950100</v>
      </c>
      <c r="M2268" s="1855">
        <v>0</v>
      </c>
      <c r="N2268" s="1855">
        <v>0</v>
      </c>
      <c r="O2268" s="1856">
        <v>0</v>
      </c>
    </row>
    <row r="2269" spans="3:15">
      <c r="C2269" s="1861" t="s">
        <v>6058</v>
      </c>
      <c r="D2269" s="1858">
        <v>0</v>
      </c>
      <c r="E2269" s="1858">
        <v>0</v>
      </c>
      <c r="F2269" s="1859">
        <v>0</v>
      </c>
      <c r="G2269" s="1872" t="s">
        <v>6058</v>
      </c>
      <c r="H2269" s="1856">
        <v>0</v>
      </c>
      <c r="I2269" s="1856">
        <v>0</v>
      </c>
      <c r="J2269" s="1873">
        <v>0</v>
      </c>
      <c r="K2269" s="1860"/>
      <c r="L2269" s="1854">
        <v>13321950200</v>
      </c>
      <c r="M2269" s="1855">
        <v>0</v>
      </c>
      <c r="N2269" s="1855">
        <v>0</v>
      </c>
      <c r="O2269" s="1856">
        <v>0</v>
      </c>
    </row>
    <row r="2270" spans="3:15">
      <c r="C2270" s="1861" t="s">
        <v>6059</v>
      </c>
      <c r="D2270" s="1858">
        <v>0</v>
      </c>
      <c r="E2270" s="1858">
        <v>0</v>
      </c>
      <c r="F2270" s="1859">
        <v>0</v>
      </c>
      <c r="G2270" s="1872" t="s">
        <v>6059</v>
      </c>
      <c r="H2270" s="1856">
        <v>0</v>
      </c>
      <c r="I2270" s="1856">
        <v>0</v>
      </c>
      <c r="J2270" s="1873">
        <v>0</v>
      </c>
      <c r="K2270" s="1860"/>
      <c r="L2270" s="1854">
        <v>13321950400</v>
      </c>
      <c r="M2270" s="1855">
        <v>0</v>
      </c>
      <c r="N2270" s="1855">
        <v>0</v>
      </c>
      <c r="O2270" s="1856">
        <v>0</v>
      </c>
    </row>
    <row r="2271" spans="3:15">
      <c r="C2271" s="1861" t="s">
        <v>6060</v>
      </c>
      <c r="D2271" s="1858">
        <v>0</v>
      </c>
      <c r="E2271" s="1858">
        <v>0</v>
      </c>
      <c r="F2271" s="1859">
        <v>0</v>
      </c>
      <c r="G2271" s="1872" t="s">
        <v>6060</v>
      </c>
      <c r="H2271" s="1856">
        <v>0</v>
      </c>
      <c r="I2271" s="1856">
        <v>0</v>
      </c>
      <c r="J2271" s="1873">
        <v>0</v>
      </c>
      <c r="K2271" s="1860"/>
      <c r="L2271" s="1854">
        <v>13321950500</v>
      </c>
      <c r="M2271" s="1855">
        <v>0</v>
      </c>
      <c r="N2271" s="1855">
        <v>0</v>
      </c>
      <c r="O2271" s="1856">
        <v>0</v>
      </c>
    </row>
    <row r="2272" spans="3:15">
      <c r="C2272" s="1862" t="s">
        <v>6061</v>
      </c>
      <c r="D2272" s="1863">
        <v>0</v>
      </c>
      <c r="E2272" s="1863">
        <v>0</v>
      </c>
      <c r="F2272" s="1864">
        <v>0</v>
      </c>
      <c r="G2272" s="1874" t="s">
        <v>6061</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baseColWidth="10" defaultColWidth="9.1640625" defaultRowHeight="13"/>
  <cols>
    <col min="1" max="1" width="2.83203125" style="332" customWidth="1"/>
    <col min="2" max="4" width="1.83203125" style="332" customWidth="1"/>
    <col min="5" max="5" width="14.83203125" style="332" customWidth="1"/>
    <col min="6" max="6" width="6.1640625" style="332" customWidth="1"/>
    <col min="7" max="7" width="2.83203125" style="332" customWidth="1"/>
    <col min="8" max="8" width="8" style="332" customWidth="1"/>
    <col min="9" max="9" width="6.1640625" style="332" customWidth="1"/>
    <col min="10" max="10" width="8.1640625" style="332" customWidth="1"/>
    <col min="11" max="11" width="9.83203125" style="332" customWidth="1"/>
    <col min="12" max="13" width="8.83203125" style="332" customWidth="1"/>
    <col min="14" max="14" width="9.5" style="332" customWidth="1"/>
    <col min="15" max="15" width="9.83203125" style="332" customWidth="1"/>
    <col min="16" max="19" width="6.1640625" style="332" customWidth="1"/>
    <col min="20" max="24" width="11.5" style="332" customWidth="1"/>
    <col min="25" max="25" width="9.1640625" style="332"/>
    <col min="26" max="26" width="9.1640625" style="2247"/>
    <col min="27" max="16384" width="9.1640625" style="332"/>
  </cols>
  <sheetData>
    <row r="1" spans="1:27" s="2287" customFormat="1" ht="13.5" hidden="1" customHeight="1">
      <c r="A1" s="2243"/>
      <c r="D1" s="2287" t="s">
        <v>6321</v>
      </c>
      <c r="E1" s="2287" t="s">
        <v>6311</v>
      </c>
      <c r="F1" s="2287" t="s">
        <v>6322</v>
      </c>
      <c r="H1" s="2287" t="s">
        <v>6323</v>
      </c>
      <c r="J1" s="2287" t="s">
        <v>6324</v>
      </c>
      <c r="K1" s="2287" t="s">
        <v>6325</v>
      </c>
      <c r="L1" s="2287" t="s">
        <v>6326</v>
      </c>
      <c r="M1" s="2287" t="s">
        <v>6327</v>
      </c>
      <c r="O1" s="2287" t="s">
        <v>6328</v>
      </c>
      <c r="Q1" s="2287" t="s">
        <v>6329</v>
      </c>
      <c r="Z1" s="2245">
        <v>1</v>
      </c>
    </row>
    <row r="2" spans="1:27" s="315" customFormat="1" ht="14" customHeight="1">
      <c r="A2" s="3470" t="str">
        <f>CONCATENATE("PART TWO - DEVELOPMENT TEAM INFORMATION","  -  ",'Part I-Project Identification'!$O$7," ",'Part I-Project Identification'!$F$29,", ",'Part I-Project Identification'!F30,", ",'Part I-Project Identification'!J30," County")</f>
        <v>PART TWO - DEVELOPMENT TEAM INFORMATION  -  2022-0 Cave Spring Townhomes, Cave Spring, Floyd County</v>
      </c>
      <c r="B2" s="3471"/>
      <c r="C2" s="3471"/>
      <c r="D2" s="3471"/>
      <c r="E2" s="3471"/>
      <c r="F2" s="3471"/>
      <c r="G2" s="3471"/>
      <c r="H2" s="3471"/>
      <c r="I2" s="3471"/>
      <c r="J2" s="3471"/>
      <c r="K2" s="3471"/>
      <c r="L2" s="3471"/>
      <c r="M2" s="3471"/>
      <c r="N2" s="3471"/>
      <c r="O2" s="3471"/>
      <c r="P2" s="3471"/>
      <c r="Q2" s="3471"/>
      <c r="R2" s="3471"/>
      <c r="S2" s="3472"/>
      <c r="Z2" s="2246">
        <v>2</v>
      </c>
    </row>
    <row r="3" spans="1:27" ht="12" customHeight="1" thickBot="1">
      <c r="A3" s="944" t="s">
        <v>3659</v>
      </c>
      <c r="B3" s="945"/>
      <c r="C3" s="945"/>
      <c r="D3" s="945"/>
      <c r="E3" s="945"/>
      <c r="F3" s="945"/>
      <c r="G3" s="945"/>
      <c r="H3" s="945"/>
      <c r="I3" s="945"/>
      <c r="J3" s="945"/>
      <c r="K3" s="945"/>
      <c r="L3" s="945"/>
      <c r="M3" s="945"/>
      <c r="N3" s="945"/>
      <c r="O3" s="945"/>
      <c r="P3" s="945"/>
      <c r="Q3" s="945"/>
      <c r="R3" s="945"/>
      <c r="S3" s="945"/>
      <c r="Z3" s="2246">
        <v>3</v>
      </c>
    </row>
    <row r="4" spans="1:27" s="315" customFormat="1" ht="13.25" customHeight="1" thickBot="1">
      <c r="A4" s="317" t="s">
        <v>573</v>
      </c>
      <c r="B4" s="321" t="s">
        <v>1722</v>
      </c>
      <c r="C4" s="321"/>
      <c r="E4" s="321"/>
      <c r="F4" s="321"/>
      <c r="G4" s="321"/>
      <c r="H4" s="1257" t="s">
        <v>3461</v>
      </c>
      <c r="O4" s="3473" t="str">
        <f>'Part I-Project Identification'!$A$6</f>
        <v>May 12 2022 Core Application</v>
      </c>
      <c r="P4" s="3474"/>
      <c r="Q4" s="3474"/>
      <c r="R4" s="3474"/>
      <c r="S4" s="3475"/>
      <c r="Z4" s="2246">
        <v>4</v>
      </c>
    </row>
    <row r="5" spans="1:27" s="315" customFormat="1" ht="8.5" customHeight="1">
      <c r="A5" s="317"/>
      <c r="B5" s="317"/>
      <c r="C5" s="317"/>
      <c r="D5" s="321"/>
      <c r="E5" s="321"/>
      <c r="F5" s="321"/>
      <c r="G5" s="321"/>
      <c r="H5" s="321"/>
      <c r="I5" s="321"/>
      <c r="J5" s="321"/>
      <c r="Z5" s="2246">
        <v>5</v>
      </c>
    </row>
    <row r="6" spans="1:27" s="315" customFormat="1" ht="11.25" customHeight="1">
      <c r="B6" s="317" t="s">
        <v>1842</v>
      </c>
      <c r="C6" s="321" t="s">
        <v>1718</v>
      </c>
      <c r="H6" s="3342" t="s">
        <v>87</v>
      </c>
      <c r="I6" s="3393"/>
      <c r="J6" s="3393"/>
      <c r="K6" s="3393"/>
      <c r="L6" s="3393"/>
      <c r="M6" s="3393"/>
      <c r="N6" s="3394"/>
      <c r="O6" s="343" t="s">
        <v>1848</v>
      </c>
      <c r="P6" s="343"/>
      <c r="Q6" s="3342"/>
      <c r="R6" s="3393"/>
      <c r="S6" s="3394"/>
      <c r="Y6" s="1066"/>
      <c r="Z6" s="2246">
        <v>6</v>
      </c>
      <c r="AA6" s="1065"/>
    </row>
    <row r="7" spans="1:27" s="315" customFormat="1" ht="11.25" customHeight="1">
      <c r="D7" s="344"/>
      <c r="E7" s="320" t="s">
        <v>958</v>
      </c>
      <c r="F7" s="328"/>
      <c r="H7" s="3460"/>
      <c r="I7" s="3461"/>
      <c r="J7" s="3461"/>
      <c r="K7" s="3462"/>
      <c r="L7" s="3461"/>
      <c r="M7" s="3461"/>
      <c r="N7" s="3463"/>
      <c r="O7" s="343" t="s">
        <v>1625</v>
      </c>
      <c r="P7" s="345"/>
      <c r="Q7" s="3332"/>
      <c r="R7" s="3464"/>
      <c r="S7" s="3465"/>
      <c r="V7" s="1066"/>
      <c r="W7" s="1066"/>
      <c r="X7" s="1066"/>
      <c r="Y7" s="1066"/>
      <c r="Z7" s="2246">
        <v>7</v>
      </c>
      <c r="AA7" s="1065"/>
    </row>
    <row r="8" spans="1:27" s="315" customFormat="1" ht="11.25" customHeight="1">
      <c r="D8" s="344"/>
      <c r="E8" s="320" t="s">
        <v>575</v>
      </c>
      <c r="H8" s="3460"/>
      <c r="I8" s="3462"/>
      <c r="J8" s="3389"/>
      <c r="K8" s="439" t="s">
        <v>710</v>
      </c>
      <c r="L8" s="3310"/>
      <c r="M8" s="3461"/>
      <c r="N8" s="3463"/>
      <c r="O8" s="343" t="s">
        <v>1601</v>
      </c>
      <c r="P8" s="345"/>
      <c r="Q8" s="3466"/>
      <c r="R8" s="3467"/>
      <c r="S8" s="3468"/>
      <c r="Z8" s="2246">
        <v>8</v>
      </c>
    </row>
    <row r="9" spans="1:27" s="315" customFormat="1" ht="11.25" customHeight="1">
      <c r="D9" s="344"/>
      <c r="E9" s="320" t="s">
        <v>1672</v>
      </c>
      <c r="H9" s="1270"/>
      <c r="I9" s="861" t="s">
        <v>2062</v>
      </c>
      <c r="J9" s="3476"/>
      <c r="K9" s="3477"/>
      <c r="L9" s="345" t="s">
        <v>3197</v>
      </c>
      <c r="M9" s="3478"/>
      <c r="N9" s="3479"/>
      <c r="O9" s="343" t="s">
        <v>1838</v>
      </c>
      <c r="P9" s="345"/>
      <c r="Q9" s="3466"/>
      <c r="R9" s="3467"/>
      <c r="S9" s="3468"/>
      <c r="Z9" s="2246">
        <v>9</v>
      </c>
    </row>
    <row r="10" spans="1:27" s="315" customFormat="1" ht="11.25" customHeight="1">
      <c r="D10" s="344"/>
      <c r="E10" s="320" t="s">
        <v>3462</v>
      </c>
      <c r="H10" s="3457"/>
      <c r="I10" s="3480"/>
      <c r="J10" s="909"/>
      <c r="K10" s="346" t="s">
        <v>1843</v>
      </c>
      <c r="L10" s="3390"/>
      <c r="M10" s="3391"/>
      <c r="N10" s="3391"/>
      <c r="O10" s="3351"/>
      <c r="P10" s="3351"/>
      <c r="Q10" s="3391"/>
      <c r="R10" s="3391"/>
      <c r="S10" s="3392"/>
      <c r="Z10" s="2245">
        <v>10</v>
      </c>
    </row>
    <row r="11" spans="1:27" s="315" customFormat="1" ht="11.25" customHeight="1">
      <c r="D11" s="344"/>
      <c r="E11" s="1257" t="s">
        <v>3461</v>
      </c>
      <c r="H11" s="347"/>
      <c r="I11" s="345"/>
      <c r="J11" s="345"/>
      <c r="K11" s="397"/>
      <c r="L11" s="345"/>
      <c r="M11" s="345"/>
      <c r="N11" s="440" t="s">
        <v>3139</v>
      </c>
      <c r="O11" s="345"/>
      <c r="P11" s="345"/>
      <c r="Q11" s="346"/>
      <c r="R11" s="345"/>
      <c r="S11" s="345"/>
      <c r="T11" s="345"/>
      <c r="Z11" s="2246">
        <v>11</v>
      </c>
    </row>
    <row r="12" spans="1:27" s="315" customFormat="1" ht="4.25"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42"/>
      <c r="I15" s="3393"/>
      <c r="J15" s="3393"/>
      <c r="K15" s="3393"/>
      <c r="L15" s="3393"/>
      <c r="M15" s="3393"/>
      <c r="N15" s="3394"/>
      <c r="O15" s="343" t="s">
        <v>1848</v>
      </c>
      <c r="P15" s="343"/>
      <c r="Q15" s="3342"/>
      <c r="R15" s="3393"/>
      <c r="S15" s="3394"/>
      <c r="Z15" s="2246">
        <v>15</v>
      </c>
    </row>
    <row r="16" spans="1:27" s="315" customFormat="1" ht="11.25" customHeight="1">
      <c r="D16" s="344"/>
      <c r="E16" s="320" t="s">
        <v>958</v>
      </c>
      <c r="F16" s="328"/>
      <c r="H16" s="3460"/>
      <c r="I16" s="3461"/>
      <c r="J16" s="3461"/>
      <c r="K16" s="3462"/>
      <c r="L16" s="3461"/>
      <c r="M16" s="3461"/>
      <c r="N16" s="3463"/>
      <c r="O16" s="343" t="s">
        <v>1625</v>
      </c>
      <c r="P16" s="345"/>
      <c r="Q16" s="3332"/>
      <c r="R16" s="3464"/>
      <c r="S16" s="3465"/>
      <c r="Z16" s="2246">
        <v>16</v>
      </c>
    </row>
    <row r="17" spans="4:26" s="315" customFormat="1" ht="11.25" customHeight="1">
      <c r="D17" s="344"/>
      <c r="E17" s="320" t="s">
        <v>575</v>
      </c>
      <c r="H17" s="3460"/>
      <c r="I17" s="3462"/>
      <c r="J17" s="3389"/>
      <c r="K17" s="519" t="s">
        <v>2459</v>
      </c>
      <c r="L17" s="3460"/>
      <c r="M17" s="3461"/>
      <c r="N17" s="3389"/>
      <c r="O17" s="343" t="s">
        <v>1601</v>
      </c>
      <c r="P17" s="345"/>
      <c r="Q17" s="3466"/>
      <c r="R17" s="3467"/>
      <c r="S17" s="3468"/>
      <c r="Z17" s="2246">
        <v>17</v>
      </c>
    </row>
    <row r="18" spans="4:26" s="315" customFormat="1" ht="11.25" customHeight="1">
      <c r="D18" s="317"/>
      <c r="E18" s="320" t="s">
        <v>1672</v>
      </c>
      <c r="H18" s="1270"/>
      <c r="I18" s="345"/>
      <c r="J18" s="345"/>
      <c r="K18" s="861" t="s">
        <v>2062</v>
      </c>
      <c r="L18" s="3335"/>
      <c r="M18" s="3469"/>
      <c r="N18" s="345"/>
      <c r="O18" s="343" t="s">
        <v>1838</v>
      </c>
      <c r="P18" s="345"/>
      <c r="Q18" s="3466"/>
      <c r="R18" s="3467"/>
      <c r="S18" s="3468"/>
      <c r="Z18" s="2246">
        <v>18</v>
      </c>
    </row>
    <row r="19" spans="4:26" s="315" customFormat="1" ht="11.25" customHeight="1">
      <c r="D19" s="344"/>
      <c r="E19" s="320" t="s">
        <v>3462</v>
      </c>
      <c r="H19" s="3457"/>
      <c r="I19" s="3458"/>
      <c r="J19" s="338"/>
      <c r="K19" s="346" t="s">
        <v>1843</v>
      </c>
      <c r="L19" s="3459"/>
      <c r="M19" s="3391"/>
      <c r="N19" s="3351"/>
      <c r="O19" s="3351"/>
      <c r="P19" s="3351"/>
      <c r="Q19" s="3391"/>
      <c r="R19" s="3391"/>
      <c r="S19" s="3392"/>
      <c r="Z19" s="2245">
        <v>19</v>
      </c>
    </row>
    <row r="20" spans="4:26" ht="4.25"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42"/>
      <c r="I21" s="3393"/>
      <c r="J21" s="3393"/>
      <c r="K21" s="3393"/>
      <c r="L21" s="3393"/>
      <c r="M21" s="3393"/>
      <c r="N21" s="3394"/>
      <c r="O21" s="343" t="s">
        <v>1848</v>
      </c>
      <c r="P21" s="343"/>
      <c r="Q21" s="3342"/>
      <c r="R21" s="3393"/>
      <c r="S21" s="3394"/>
      <c r="Z21" s="2246">
        <v>21</v>
      </c>
    </row>
    <row r="22" spans="4:26" s="315" customFormat="1" ht="11.25" customHeight="1">
      <c r="D22" s="344"/>
      <c r="E22" s="320" t="s">
        <v>958</v>
      </c>
      <c r="F22" s="328"/>
      <c r="H22" s="3460"/>
      <c r="I22" s="3461"/>
      <c r="J22" s="3461"/>
      <c r="K22" s="3462"/>
      <c r="L22" s="3461"/>
      <c r="M22" s="3461"/>
      <c r="N22" s="3463"/>
      <c r="O22" s="343" t="s">
        <v>1625</v>
      </c>
      <c r="P22" s="345"/>
      <c r="Q22" s="3332"/>
      <c r="R22" s="3464"/>
      <c r="S22" s="3465"/>
      <c r="Z22" s="2246">
        <v>22</v>
      </c>
    </row>
    <row r="23" spans="4:26" s="315" customFormat="1" ht="11.25" customHeight="1">
      <c r="D23" s="344"/>
      <c r="E23" s="320" t="s">
        <v>575</v>
      </c>
      <c r="H23" s="3460"/>
      <c r="I23" s="3462"/>
      <c r="J23" s="3389"/>
      <c r="K23" s="519" t="s">
        <v>2459</v>
      </c>
      <c r="L23" s="3460"/>
      <c r="M23" s="3461"/>
      <c r="N23" s="3389"/>
      <c r="O23" s="343" t="s">
        <v>1601</v>
      </c>
      <c r="P23" s="345"/>
      <c r="Q23" s="3466"/>
      <c r="R23" s="3467"/>
      <c r="S23" s="3468"/>
      <c r="Z23" s="2246">
        <v>23</v>
      </c>
    </row>
    <row r="24" spans="4:26" s="315" customFormat="1" ht="11.25" customHeight="1">
      <c r="E24" s="320" t="s">
        <v>1672</v>
      </c>
      <c r="H24" s="1270"/>
      <c r="I24" s="345"/>
      <c r="J24" s="345"/>
      <c r="K24" s="861" t="s">
        <v>2062</v>
      </c>
      <c r="L24" s="3335"/>
      <c r="M24" s="3469"/>
      <c r="N24" s="345"/>
      <c r="O24" s="343" t="s">
        <v>1838</v>
      </c>
      <c r="P24" s="345"/>
      <c r="Q24" s="3466"/>
      <c r="R24" s="3467"/>
      <c r="S24" s="3468"/>
      <c r="Z24" s="2246">
        <v>24</v>
      </c>
    </row>
    <row r="25" spans="4:26" s="315" customFormat="1" ht="11.25" customHeight="1">
      <c r="D25" s="344"/>
      <c r="E25" s="320" t="s">
        <v>3462</v>
      </c>
      <c r="H25" s="3457"/>
      <c r="I25" s="3458"/>
      <c r="J25" s="338"/>
      <c r="K25" s="346" t="s">
        <v>1843</v>
      </c>
      <c r="L25" s="3459"/>
      <c r="M25" s="3391"/>
      <c r="N25" s="3351"/>
      <c r="O25" s="3351"/>
      <c r="P25" s="3351"/>
      <c r="Q25" s="3391"/>
      <c r="R25" s="3391"/>
      <c r="S25" s="3392"/>
      <c r="Z25" s="2246">
        <v>25</v>
      </c>
    </row>
    <row r="26" spans="4:26" s="315" customFormat="1" ht="4.25"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42"/>
      <c r="I27" s="3393"/>
      <c r="J27" s="3393"/>
      <c r="K27" s="3393"/>
      <c r="L27" s="3393"/>
      <c r="M27" s="3393"/>
      <c r="N27" s="3394"/>
      <c r="O27" s="343" t="s">
        <v>1848</v>
      </c>
      <c r="P27" s="343"/>
      <c r="Q27" s="3342"/>
      <c r="R27" s="3393"/>
      <c r="S27" s="3394"/>
      <c r="Z27" s="2246">
        <v>27</v>
      </c>
    </row>
    <row r="28" spans="4:26" s="315" customFormat="1" ht="11.25" customHeight="1">
      <c r="D28" s="344"/>
      <c r="E28" s="320" t="s">
        <v>958</v>
      </c>
      <c r="F28" s="328"/>
      <c r="H28" s="3460"/>
      <c r="I28" s="3461"/>
      <c r="J28" s="3461"/>
      <c r="K28" s="3462"/>
      <c r="L28" s="3461"/>
      <c r="M28" s="3461"/>
      <c r="N28" s="3463"/>
      <c r="O28" s="343" t="s">
        <v>1625</v>
      </c>
      <c r="P28" s="345"/>
      <c r="Q28" s="3332"/>
      <c r="R28" s="3464"/>
      <c r="S28" s="3465"/>
      <c r="Z28" s="2246">
        <v>28</v>
      </c>
    </row>
    <row r="29" spans="4:26" s="315" customFormat="1" ht="11.25" customHeight="1">
      <c r="D29" s="344"/>
      <c r="E29" s="320" t="s">
        <v>575</v>
      </c>
      <c r="H29" s="3460"/>
      <c r="I29" s="3462"/>
      <c r="J29" s="3389"/>
      <c r="K29" s="519" t="s">
        <v>2459</v>
      </c>
      <c r="L29" s="3460"/>
      <c r="M29" s="3461"/>
      <c r="N29" s="3389"/>
      <c r="O29" s="343" t="s">
        <v>1601</v>
      </c>
      <c r="P29" s="345"/>
      <c r="Q29" s="3466"/>
      <c r="R29" s="3467"/>
      <c r="S29" s="3468"/>
      <c r="Z29" s="2246">
        <v>29</v>
      </c>
    </row>
    <row r="30" spans="4:26" s="315" customFormat="1" ht="11.25" customHeight="1">
      <c r="E30" s="320" t="s">
        <v>1672</v>
      </c>
      <c r="H30" s="1270"/>
      <c r="I30" s="345"/>
      <c r="J30" s="345"/>
      <c r="K30" s="861" t="s">
        <v>2062</v>
      </c>
      <c r="L30" s="3335"/>
      <c r="M30" s="3469"/>
      <c r="N30" s="345"/>
      <c r="O30" s="343" t="s">
        <v>1838</v>
      </c>
      <c r="P30" s="345"/>
      <c r="Q30" s="3466"/>
      <c r="R30" s="3467"/>
      <c r="S30" s="3468"/>
      <c r="Z30" s="2246">
        <v>30</v>
      </c>
    </row>
    <row r="31" spans="4:26" s="315" customFormat="1" ht="11.25" customHeight="1">
      <c r="D31" s="344"/>
      <c r="E31" s="320" t="s">
        <v>3462</v>
      </c>
      <c r="H31" s="3457"/>
      <c r="I31" s="3458"/>
      <c r="J31" s="338"/>
      <c r="K31" s="346" t="s">
        <v>1843</v>
      </c>
      <c r="L31" s="3459"/>
      <c r="M31" s="3391"/>
      <c r="N31" s="3351"/>
      <c r="O31" s="3351"/>
      <c r="P31" s="3351"/>
      <c r="Q31" s="3391"/>
      <c r="R31" s="3391"/>
      <c r="S31" s="3392"/>
      <c r="Z31" s="2246">
        <v>31</v>
      </c>
    </row>
    <row r="32" spans="4:26" ht="4.25"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3461</v>
      </c>
      <c r="L33" s="351"/>
      <c r="M33" s="351"/>
      <c r="N33" s="345"/>
      <c r="O33" s="345"/>
      <c r="P33" s="345"/>
      <c r="Q33" s="345"/>
      <c r="R33" s="345"/>
      <c r="S33" s="345"/>
      <c r="Z33" s="2246">
        <v>33</v>
      </c>
    </row>
    <row r="34" spans="3:26" s="315" customFormat="1" ht="11.25" customHeight="1">
      <c r="D34" s="317" t="s">
        <v>1964</v>
      </c>
      <c r="E34" s="315" t="s">
        <v>699</v>
      </c>
      <c r="H34" s="3342"/>
      <c r="I34" s="3393"/>
      <c r="J34" s="3393"/>
      <c r="K34" s="3393"/>
      <c r="L34" s="3393"/>
      <c r="M34" s="3393"/>
      <c r="N34" s="3394"/>
      <c r="O34" s="343" t="s">
        <v>1848</v>
      </c>
      <c r="P34" s="343"/>
      <c r="Q34" s="3342"/>
      <c r="R34" s="3393"/>
      <c r="S34" s="3394"/>
      <c r="Z34" s="2246">
        <v>34</v>
      </c>
    </row>
    <row r="35" spans="3:26" s="315" customFormat="1" ht="11.25" customHeight="1">
      <c r="D35" s="344"/>
      <c r="E35" s="320" t="s">
        <v>958</v>
      </c>
      <c r="F35" s="328"/>
      <c r="H35" s="3460"/>
      <c r="I35" s="3461"/>
      <c r="J35" s="3461"/>
      <c r="K35" s="3462"/>
      <c r="L35" s="3461"/>
      <c r="M35" s="3461"/>
      <c r="N35" s="3463"/>
      <c r="O35" s="343" t="s">
        <v>1625</v>
      </c>
      <c r="P35" s="345"/>
      <c r="Q35" s="3332"/>
      <c r="R35" s="3464"/>
      <c r="S35" s="3465"/>
      <c r="Z35" s="2245">
        <v>35</v>
      </c>
    </row>
    <row r="36" spans="3:26" s="315" customFormat="1" ht="11.25" customHeight="1">
      <c r="D36" s="344"/>
      <c r="E36" s="320" t="s">
        <v>575</v>
      </c>
      <c r="H36" s="3460"/>
      <c r="I36" s="3462"/>
      <c r="J36" s="3389"/>
      <c r="K36" s="519" t="s">
        <v>2459</v>
      </c>
      <c r="L36" s="3460"/>
      <c r="M36" s="3461"/>
      <c r="N36" s="3389"/>
      <c r="O36" s="343" t="s">
        <v>1601</v>
      </c>
      <c r="P36" s="345"/>
      <c r="Q36" s="3466"/>
      <c r="R36" s="3467"/>
      <c r="S36" s="3468"/>
      <c r="Z36" s="2246">
        <v>36</v>
      </c>
    </row>
    <row r="37" spans="3:26" s="315" customFormat="1" ht="11.25" customHeight="1">
      <c r="E37" s="320" t="s">
        <v>1672</v>
      </c>
      <c r="H37" s="1270"/>
      <c r="I37" s="345"/>
      <c r="J37" s="345"/>
      <c r="K37" s="861" t="s">
        <v>2062</v>
      </c>
      <c r="L37" s="3335"/>
      <c r="M37" s="3469"/>
      <c r="N37" s="345"/>
      <c r="O37" s="343" t="s">
        <v>1838</v>
      </c>
      <c r="P37" s="345"/>
      <c r="Q37" s="3466"/>
      <c r="R37" s="3467"/>
      <c r="S37" s="3468"/>
      <c r="Z37" s="2246">
        <v>37</v>
      </c>
    </row>
    <row r="38" spans="3:26" s="315" customFormat="1" ht="11.25" customHeight="1">
      <c r="D38" s="344"/>
      <c r="E38" s="320" t="s">
        <v>3462</v>
      </c>
      <c r="H38" s="3457"/>
      <c r="I38" s="3458"/>
      <c r="J38" s="338"/>
      <c r="K38" s="346" t="s">
        <v>1843</v>
      </c>
      <c r="L38" s="3459"/>
      <c r="M38" s="3391"/>
      <c r="N38" s="3351"/>
      <c r="O38" s="3351"/>
      <c r="P38" s="3351"/>
      <c r="Q38" s="3391"/>
      <c r="R38" s="3391"/>
      <c r="S38" s="3392"/>
      <c r="Z38" s="2246">
        <v>38</v>
      </c>
    </row>
    <row r="39" spans="3:26" ht="4.25"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42"/>
      <c r="I40" s="3393"/>
      <c r="J40" s="3393"/>
      <c r="K40" s="3393"/>
      <c r="L40" s="3393"/>
      <c r="M40" s="3393"/>
      <c r="N40" s="3394"/>
      <c r="O40" s="343" t="s">
        <v>1848</v>
      </c>
      <c r="P40" s="343"/>
      <c r="Q40" s="3342"/>
      <c r="R40" s="3393"/>
      <c r="S40" s="3394"/>
      <c r="Z40" s="2246">
        <v>40</v>
      </c>
    </row>
    <row r="41" spans="3:26" s="315" customFormat="1" ht="11.25" customHeight="1">
      <c r="D41" s="344"/>
      <c r="E41" s="320" t="s">
        <v>958</v>
      </c>
      <c r="F41" s="328"/>
      <c r="H41" s="3460"/>
      <c r="I41" s="3461"/>
      <c r="J41" s="3461"/>
      <c r="K41" s="3462"/>
      <c r="L41" s="3461"/>
      <c r="M41" s="3461"/>
      <c r="N41" s="3463"/>
      <c r="O41" s="343" t="s">
        <v>1625</v>
      </c>
      <c r="P41" s="345"/>
      <c r="Q41" s="3332"/>
      <c r="R41" s="3464"/>
      <c r="S41" s="3465"/>
      <c r="Z41" s="2246">
        <v>41</v>
      </c>
    </row>
    <row r="42" spans="3:26" s="315" customFormat="1" ht="11.25" customHeight="1">
      <c r="D42" s="344"/>
      <c r="E42" s="320" t="s">
        <v>575</v>
      </c>
      <c r="H42" s="3460"/>
      <c r="I42" s="3462"/>
      <c r="J42" s="3389"/>
      <c r="K42" s="519" t="s">
        <v>2459</v>
      </c>
      <c r="L42" s="3460"/>
      <c r="M42" s="3461"/>
      <c r="N42" s="3389"/>
      <c r="O42" s="343" t="s">
        <v>1601</v>
      </c>
      <c r="P42" s="345"/>
      <c r="Q42" s="3466"/>
      <c r="R42" s="3467"/>
      <c r="S42" s="3468"/>
      <c r="Z42" s="2246">
        <v>42</v>
      </c>
    </row>
    <row r="43" spans="3:26" s="315" customFormat="1" ht="11.25" customHeight="1">
      <c r="D43" s="317"/>
      <c r="E43" s="320" t="s">
        <v>1672</v>
      </c>
      <c r="H43" s="1270"/>
      <c r="I43" s="345"/>
      <c r="J43" s="345"/>
      <c r="K43" s="861" t="s">
        <v>2062</v>
      </c>
      <c r="L43" s="3335"/>
      <c r="M43" s="3469"/>
      <c r="N43" s="345"/>
      <c r="O43" s="343" t="s">
        <v>1838</v>
      </c>
      <c r="P43" s="345"/>
      <c r="Q43" s="3466"/>
      <c r="R43" s="3467"/>
      <c r="S43" s="3468"/>
      <c r="Z43" s="2246">
        <v>43</v>
      </c>
    </row>
    <row r="44" spans="3:26" s="315" customFormat="1" ht="11.25" customHeight="1">
      <c r="D44" s="344"/>
      <c r="E44" s="320" t="s">
        <v>3462</v>
      </c>
      <c r="H44" s="3457"/>
      <c r="I44" s="3458"/>
      <c r="J44" s="338"/>
      <c r="K44" s="346" t="s">
        <v>1843</v>
      </c>
      <c r="L44" s="3459"/>
      <c r="M44" s="3391"/>
      <c r="N44" s="3351"/>
      <c r="O44" s="3351"/>
      <c r="P44" s="3351"/>
      <c r="Q44" s="3391"/>
      <c r="R44" s="3391"/>
      <c r="S44" s="3392"/>
      <c r="Z44" s="2245">
        <v>44</v>
      </c>
    </row>
    <row r="45" spans="3:26" s="315" customFormat="1" ht="4.25"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3461</v>
      </c>
      <c r="L46" s="351"/>
      <c r="M46" s="351"/>
      <c r="N46" s="345"/>
      <c r="O46" s="345"/>
      <c r="P46" s="345"/>
      <c r="Q46" s="345"/>
      <c r="R46" s="345"/>
      <c r="S46" s="345"/>
      <c r="Z46" s="2246">
        <v>46</v>
      </c>
    </row>
    <row r="47" spans="3:26" s="315" customFormat="1" ht="11.25" customHeight="1">
      <c r="E47" s="315" t="s">
        <v>88</v>
      </c>
      <c r="H47" s="3342"/>
      <c r="I47" s="3393"/>
      <c r="J47" s="3393"/>
      <c r="K47" s="3393"/>
      <c r="L47" s="3393"/>
      <c r="M47" s="3393"/>
      <c r="N47" s="3394"/>
      <c r="O47" s="343" t="s">
        <v>1848</v>
      </c>
      <c r="P47" s="343"/>
      <c r="Q47" s="3342"/>
      <c r="R47" s="3393"/>
      <c r="S47" s="3394"/>
      <c r="Z47" s="2246">
        <v>47</v>
      </c>
    </row>
    <row r="48" spans="3:26" s="315" customFormat="1" ht="11.25" customHeight="1">
      <c r="D48" s="344"/>
      <c r="E48" s="320" t="s">
        <v>958</v>
      </c>
      <c r="F48" s="328"/>
      <c r="H48" s="3460"/>
      <c r="I48" s="3461"/>
      <c r="J48" s="3461"/>
      <c r="K48" s="3462"/>
      <c r="L48" s="3461"/>
      <c r="M48" s="3461"/>
      <c r="N48" s="3463"/>
      <c r="O48" s="343" t="s">
        <v>1625</v>
      </c>
      <c r="P48" s="345"/>
      <c r="Q48" s="3332"/>
      <c r="R48" s="3464"/>
      <c r="S48" s="3465"/>
      <c r="Z48" s="2246">
        <v>48</v>
      </c>
    </row>
    <row r="49" spans="1:26" s="315" customFormat="1" ht="11.25" customHeight="1">
      <c r="D49" s="344"/>
      <c r="E49" s="320" t="s">
        <v>575</v>
      </c>
      <c r="H49" s="3460"/>
      <c r="I49" s="3462"/>
      <c r="J49" s="3389"/>
      <c r="K49" s="519" t="s">
        <v>2459</v>
      </c>
      <c r="L49" s="3460"/>
      <c r="M49" s="3461"/>
      <c r="N49" s="3389"/>
      <c r="O49" s="343" t="s">
        <v>1601</v>
      </c>
      <c r="P49" s="345"/>
      <c r="Q49" s="3466"/>
      <c r="R49" s="3467"/>
      <c r="S49" s="3468"/>
      <c r="Z49" s="2246">
        <v>49</v>
      </c>
    </row>
    <row r="50" spans="1:26" s="315" customFormat="1" ht="11.25" customHeight="1">
      <c r="E50" s="320" t="s">
        <v>1672</v>
      </c>
      <c r="H50" s="1270"/>
      <c r="I50" s="345"/>
      <c r="J50" s="345"/>
      <c r="K50" s="861" t="s">
        <v>2062</v>
      </c>
      <c r="L50" s="3335"/>
      <c r="M50" s="3469"/>
      <c r="N50" s="345"/>
      <c r="O50" s="343" t="s">
        <v>1838</v>
      </c>
      <c r="P50" s="345"/>
      <c r="Q50" s="3466"/>
      <c r="R50" s="3467"/>
      <c r="S50" s="3468"/>
      <c r="Z50" s="2246">
        <v>50</v>
      </c>
    </row>
    <row r="51" spans="1:26" s="315" customFormat="1" ht="11.25" customHeight="1">
      <c r="D51" s="344"/>
      <c r="E51" s="320" t="s">
        <v>3462</v>
      </c>
      <c r="H51" s="3457"/>
      <c r="I51" s="3458"/>
      <c r="J51" s="338"/>
      <c r="K51" s="346" t="s">
        <v>1843</v>
      </c>
      <c r="L51" s="3459"/>
      <c r="M51" s="3391"/>
      <c r="N51" s="3351"/>
      <c r="O51" s="3351"/>
      <c r="P51" s="3351"/>
      <c r="Q51" s="3391"/>
      <c r="R51" s="3391"/>
      <c r="S51" s="3392"/>
      <c r="Z51" s="2246">
        <v>51</v>
      </c>
    </row>
    <row r="52" spans="1:26" ht="6.75" customHeight="1">
      <c r="H52" s="356"/>
      <c r="I52" s="356"/>
      <c r="J52" s="356"/>
      <c r="K52" s="356"/>
      <c r="L52" s="356"/>
      <c r="M52" s="356"/>
      <c r="N52" s="356"/>
      <c r="O52" s="356"/>
      <c r="P52" s="356"/>
      <c r="Q52" s="356"/>
      <c r="R52" s="356"/>
      <c r="S52" s="356"/>
      <c r="Z52" s="2246">
        <v>52</v>
      </c>
    </row>
    <row r="53" spans="1:26" s="315" customFormat="1" ht="13.25" customHeight="1">
      <c r="A53" s="317" t="s">
        <v>689</v>
      </c>
      <c r="B53" s="317" t="s">
        <v>606</v>
      </c>
      <c r="F53" s="317"/>
      <c r="G53" s="1046"/>
      <c r="H53" s="346"/>
      <c r="I53" s="346"/>
      <c r="J53" s="351"/>
      <c r="K53" s="1624" t="s">
        <v>3461</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42"/>
      <c r="I55" s="3393"/>
      <c r="J55" s="3393"/>
      <c r="K55" s="3393"/>
      <c r="L55" s="3393"/>
      <c r="M55" s="3393"/>
      <c r="N55" s="3394"/>
      <c r="O55" s="343" t="s">
        <v>1848</v>
      </c>
      <c r="P55" s="343"/>
      <c r="Q55" s="3342"/>
      <c r="R55" s="3393"/>
      <c r="S55" s="3394"/>
      <c r="Z55" s="2246">
        <v>55</v>
      </c>
    </row>
    <row r="56" spans="1:26" s="315" customFormat="1" ht="11.25" customHeight="1">
      <c r="D56" s="344"/>
      <c r="E56" s="320" t="s">
        <v>958</v>
      </c>
      <c r="F56" s="328"/>
      <c r="H56" s="3460"/>
      <c r="I56" s="3461"/>
      <c r="J56" s="3461"/>
      <c r="K56" s="3462"/>
      <c r="L56" s="3461"/>
      <c r="M56" s="3461"/>
      <c r="N56" s="3463"/>
      <c r="O56" s="343" t="s">
        <v>1625</v>
      </c>
      <c r="P56" s="345"/>
      <c r="Q56" s="3332"/>
      <c r="R56" s="3464"/>
      <c r="S56" s="3465"/>
      <c r="Z56" s="2246">
        <v>56</v>
      </c>
    </row>
    <row r="57" spans="1:26" s="315" customFormat="1" ht="11.25" customHeight="1">
      <c r="D57" s="344"/>
      <c r="E57" s="320" t="s">
        <v>575</v>
      </c>
      <c r="H57" s="3460"/>
      <c r="I57" s="3462"/>
      <c r="J57" s="3389"/>
      <c r="K57" s="519" t="s">
        <v>2459</v>
      </c>
      <c r="L57" s="3460"/>
      <c r="M57" s="3461"/>
      <c r="N57" s="3389"/>
      <c r="O57" s="343" t="s">
        <v>1601</v>
      </c>
      <c r="P57" s="345"/>
      <c r="Q57" s="3466"/>
      <c r="R57" s="3467"/>
      <c r="S57" s="3468"/>
      <c r="Z57" s="2246">
        <v>57</v>
      </c>
    </row>
    <row r="58" spans="1:26" s="315" customFormat="1" ht="11.25" customHeight="1">
      <c r="E58" s="320" t="s">
        <v>1672</v>
      </c>
      <c r="H58" s="1270"/>
      <c r="I58" s="345"/>
      <c r="J58" s="345"/>
      <c r="K58" s="861" t="s">
        <v>2062</v>
      </c>
      <c r="L58" s="3335"/>
      <c r="M58" s="3469"/>
      <c r="N58" s="345"/>
      <c r="O58" s="343" t="s">
        <v>1838</v>
      </c>
      <c r="P58" s="345"/>
      <c r="Q58" s="3466"/>
      <c r="R58" s="3467"/>
      <c r="S58" s="3468"/>
      <c r="Z58" s="2246">
        <v>58</v>
      </c>
    </row>
    <row r="59" spans="1:26" s="315" customFormat="1" ht="11.25" customHeight="1">
      <c r="D59" s="344"/>
      <c r="E59" s="320" t="s">
        <v>3462</v>
      </c>
      <c r="H59" s="3457"/>
      <c r="I59" s="3458"/>
      <c r="J59" s="338"/>
      <c r="K59" s="346" t="s">
        <v>1843</v>
      </c>
      <c r="L59" s="3459"/>
      <c r="M59" s="3391"/>
      <c r="N59" s="3351"/>
      <c r="O59" s="3351"/>
      <c r="P59" s="3351"/>
      <c r="Q59" s="3391"/>
      <c r="R59" s="3391"/>
      <c r="S59" s="3392"/>
      <c r="Z59" s="2246">
        <v>59</v>
      </c>
    </row>
    <row r="60" spans="1:26" s="315" customFormat="1" ht="6.5"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42"/>
      <c r="I61" s="3393"/>
      <c r="J61" s="3393"/>
      <c r="K61" s="3393"/>
      <c r="L61" s="3393"/>
      <c r="M61" s="3393"/>
      <c r="N61" s="3394"/>
      <c r="O61" s="343" t="s">
        <v>1848</v>
      </c>
      <c r="P61" s="343"/>
      <c r="Q61" s="3342"/>
      <c r="R61" s="3393"/>
      <c r="S61" s="3394"/>
      <c r="Z61" s="2246">
        <v>61</v>
      </c>
    </row>
    <row r="62" spans="1:26" s="315" customFormat="1" ht="11.25" customHeight="1">
      <c r="D62" s="344"/>
      <c r="E62" s="320" t="s">
        <v>958</v>
      </c>
      <c r="F62" s="328"/>
      <c r="H62" s="3460"/>
      <c r="I62" s="3461"/>
      <c r="J62" s="3461"/>
      <c r="K62" s="3462"/>
      <c r="L62" s="3461"/>
      <c r="M62" s="3461"/>
      <c r="N62" s="3463"/>
      <c r="O62" s="343" t="s">
        <v>1625</v>
      </c>
      <c r="P62" s="345"/>
      <c r="Q62" s="3332"/>
      <c r="R62" s="3464"/>
      <c r="S62" s="3465"/>
      <c r="Z62" s="2245">
        <v>62</v>
      </c>
    </row>
    <row r="63" spans="1:26" s="315" customFormat="1" ht="11.25" customHeight="1">
      <c r="D63" s="344"/>
      <c r="E63" s="320" t="s">
        <v>575</v>
      </c>
      <c r="H63" s="3460"/>
      <c r="I63" s="3462"/>
      <c r="J63" s="3389"/>
      <c r="K63" s="519" t="s">
        <v>2459</v>
      </c>
      <c r="L63" s="3460"/>
      <c r="M63" s="3461"/>
      <c r="N63" s="3389"/>
      <c r="O63" s="343" t="s">
        <v>1601</v>
      </c>
      <c r="P63" s="345"/>
      <c r="Q63" s="3466"/>
      <c r="R63" s="3467"/>
      <c r="S63" s="3468"/>
      <c r="Z63" s="2246">
        <v>63</v>
      </c>
    </row>
    <row r="64" spans="1:26" s="315" customFormat="1" ht="11.25" customHeight="1">
      <c r="E64" s="320" t="s">
        <v>1672</v>
      </c>
      <c r="H64" s="1270"/>
      <c r="I64" s="345"/>
      <c r="J64" s="345"/>
      <c r="K64" s="861" t="s">
        <v>2062</v>
      </c>
      <c r="L64" s="3335"/>
      <c r="M64" s="3469"/>
      <c r="N64" s="345"/>
      <c r="O64" s="343" t="s">
        <v>1838</v>
      </c>
      <c r="P64" s="345"/>
      <c r="Q64" s="3466"/>
      <c r="R64" s="3467"/>
      <c r="S64" s="3468"/>
      <c r="Z64" s="2246">
        <v>64</v>
      </c>
    </row>
    <row r="65" spans="1:26" s="315" customFormat="1" ht="11.25" customHeight="1">
      <c r="D65" s="344"/>
      <c r="E65" s="320" t="s">
        <v>3462</v>
      </c>
      <c r="H65" s="3457"/>
      <c r="I65" s="3458"/>
      <c r="J65" s="338"/>
      <c r="K65" s="346" t="s">
        <v>1843</v>
      </c>
      <c r="L65" s="3459"/>
      <c r="M65" s="3391"/>
      <c r="N65" s="3351"/>
      <c r="O65" s="3351"/>
      <c r="P65" s="3351"/>
      <c r="Q65" s="3391"/>
      <c r="R65" s="3391"/>
      <c r="S65" s="3392"/>
      <c r="Z65" s="2246">
        <v>65</v>
      </c>
    </row>
    <row r="66" spans="1:26" s="315" customFormat="1" ht="6.5"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2"/>
      <c r="I67" s="3393"/>
      <c r="J67" s="3393"/>
      <c r="K67" s="3393"/>
      <c r="L67" s="3393"/>
      <c r="M67" s="3393"/>
      <c r="N67" s="3394"/>
      <c r="O67" s="343" t="s">
        <v>1848</v>
      </c>
      <c r="P67" s="343"/>
      <c r="Q67" s="3342"/>
      <c r="R67" s="3393"/>
      <c r="S67" s="3394"/>
      <c r="Z67" s="2246">
        <v>67</v>
      </c>
    </row>
    <row r="68" spans="1:26" s="315" customFormat="1" ht="11.25" customHeight="1">
      <c r="D68" s="344"/>
      <c r="E68" s="320" t="s">
        <v>958</v>
      </c>
      <c r="F68" s="328"/>
      <c r="H68" s="3460"/>
      <c r="I68" s="3461"/>
      <c r="J68" s="3461"/>
      <c r="K68" s="3462"/>
      <c r="L68" s="3461"/>
      <c r="M68" s="3461"/>
      <c r="N68" s="3463"/>
      <c r="O68" s="343" t="s">
        <v>1625</v>
      </c>
      <c r="P68" s="345"/>
      <c r="Q68" s="3332"/>
      <c r="R68" s="3464"/>
      <c r="S68" s="3465"/>
      <c r="Z68" s="2246">
        <v>68</v>
      </c>
    </row>
    <row r="69" spans="1:26" s="315" customFormat="1" ht="11.25" customHeight="1">
      <c r="D69" s="344"/>
      <c r="E69" s="320" t="s">
        <v>575</v>
      </c>
      <c r="H69" s="3460"/>
      <c r="I69" s="3462"/>
      <c r="J69" s="3389"/>
      <c r="K69" s="519" t="s">
        <v>2459</v>
      </c>
      <c r="L69" s="3460"/>
      <c r="M69" s="3461"/>
      <c r="N69" s="3389"/>
      <c r="O69" s="343" t="s">
        <v>1601</v>
      </c>
      <c r="P69" s="345"/>
      <c r="Q69" s="3466"/>
      <c r="R69" s="3467"/>
      <c r="S69" s="3468"/>
      <c r="Z69" s="2245">
        <v>69</v>
      </c>
    </row>
    <row r="70" spans="1:26" s="315" customFormat="1" ht="11.25" customHeight="1">
      <c r="E70" s="320" t="s">
        <v>1672</v>
      </c>
      <c r="H70" s="1270"/>
      <c r="I70" s="345"/>
      <c r="J70" s="345"/>
      <c r="K70" s="861" t="s">
        <v>2062</v>
      </c>
      <c r="L70" s="3335"/>
      <c r="M70" s="3469"/>
      <c r="N70" s="345"/>
      <c r="O70" s="343" t="s">
        <v>1838</v>
      </c>
      <c r="P70" s="345"/>
      <c r="Q70" s="3466"/>
      <c r="R70" s="3467"/>
      <c r="S70" s="3468"/>
      <c r="Z70" s="2246">
        <v>70</v>
      </c>
    </row>
    <row r="71" spans="1:26" s="315" customFormat="1" ht="11.25" customHeight="1">
      <c r="D71" s="344"/>
      <c r="E71" s="320" t="s">
        <v>3462</v>
      </c>
      <c r="H71" s="3457"/>
      <c r="I71" s="3458"/>
      <c r="J71" s="338"/>
      <c r="K71" s="346" t="s">
        <v>1843</v>
      </c>
      <c r="L71" s="3459"/>
      <c r="M71" s="3391"/>
      <c r="N71" s="3351"/>
      <c r="O71" s="3351"/>
      <c r="P71" s="3351"/>
      <c r="Q71" s="3391"/>
      <c r="R71" s="3391"/>
      <c r="S71" s="3392"/>
      <c r="Z71" s="2246">
        <v>71</v>
      </c>
    </row>
    <row r="72" spans="1:26" ht="6.5"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42"/>
      <c r="I73" s="3393"/>
      <c r="J73" s="3393"/>
      <c r="K73" s="3393"/>
      <c r="L73" s="3393"/>
      <c r="M73" s="3393"/>
      <c r="N73" s="3394"/>
      <c r="O73" s="343" t="s">
        <v>1848</v>
      </c>
      <c r="P73" s="343"/>
      <c r="Q73" s="3342"/>
      <c r="R73" s="3393"/>
      <c r="S73" s="3394"/>
      <c r="Z73" s="2246">
        <v>73</v>
      </c>
    </row>
    <row r="74" spans="1:26" s="315" customFormat="1" ht="11.25" customHeight="1">
      <c r="D74" s="344"/>
      <c r="E74" s="320" t="s">
        <v>958</v>
      </c>
      <c r="F74" s="328"/>
      <c r="H74" s="3460"/>
      <c r="I74" s="3461"/>
      <c r="J74" s="3461"/>
      <c r="K74" s="3462"/>
      <c r="L74" s="3461"/>
      <c r="M74" s="3461"/>
      <c r="N74" s="3463"/>
      <c r="O74" s="343" t="s">
        <v>1625</v>
      </c>
      <c r="P74" s="345"/>
      <c r="Q74" s="3332"/>
      <c r="R74" s="3464"/>
      <c r="S74" s="3465"/>
      <c r="Z74" s="2246">
        <v>74</v>
      </c>
    </row>
    <row r="75" spans="1:26" s="315" customFormat="1" ht="11.25" customHeight="1">
      <c r="D75" s="344"/>
      <c r="E75" s="320" t="s">
        <v>575</v>
      </c>
      <c r="H75" s="3460"/>
      <c r="I75" s="3462"/>
      <c r="J75" s="3389"/>
      <c r="K75" s="519" t="s">
        <v>2459</v>
      </c>
      <c r="L75" s="3460"/>
      <c r="M75" s="3461"/>
      <c r="N75" s="3389"/>
      <c r="O75" s="343" t="s">
        <v>1601</v>
      </c>
      <c r="P75" s="345"/>
      <c r="Q75" s="3466"/>
      <c r="R75" s="3467"/>
      <c r="S75" s="3468"/>
      <c r="Z75" s="2246">
        <v>75</v>
      </c>
    </row>
    <row r="76" spans="1:26" s="315" customFormat="1" ht="11.25" customHeight="1">
      <c r="E76" s="320" t="s">
        <v>1672</v>
      </c>
      <c r="H76" s="1270"/>
      <c r="I76" s="345"/>
      <c r="J76" s="345"/>
      <c r="K76" s="861" t="s">
        <v>2062</v>
      </c>
      <c r="L76" s="3335"/>
      <c r="M76" s="3469"/>
      <c r="N76" s="345"/>
      <c r="O76" s="343" t="s">
        <v>1838</v>
      </c>
      <c r="P76" s="345"/>
      <c r="Q76" s="3466"/>
      <c r="R76" s="3467"/>
      <c r="S76" s="3468"/>
      <c r="Z76" s="2246">
        <v>76</v>
      </c>
    </row>
    <row r="77" spans="1:26" s="315" customFormat="1" ht="11.25" customHeight="1">
      <c r="D77" s="344"/>
      <c r="E77" s="320" t="s">
        <v>3462</v>
      </c>
      <c r="H77" s="3457"/>
      <c r="I77" s="3458"/>
      <c r="J77" s="338"/>
      <c r="K77" s="346" t="s">
        <v>1843</v>
      </c>
      <c r="L77" s="3459"/>
      <c r="M77" s="3391"/>
      <c r="N77" s="3351"/>
      <c r="O77" s="3351"/>
      <c r="P77" s="3351"/>
      <c r="Q77" s="3391"/>
      <c r="R77" s="3391"/>
      <c r="S77" s="3392"/>
      <c r="Z77" s="2246">
        <v>77</v>
      </c>
    </row>
    <row r="78" spans="1:26" ht="6.75" customHeight="1">
      <c r="H78" s="356"/>
      <c r="I78" s="356"/>
      <c r="J78" s="356"/>
      <c r="K78" s="356"/>
      <c r="L78" s="356"/>
      <c r="M78" s="356"/>
      <c r="N78" s="356"/>
      <c r="O78" s="356"/>
      <c r="P78" s="356"/>
      <c r="Q78" s="356"/>
      <c r="R78" s="356"/>
      <c r="S78" s="356"/>
      <c r="Z78" s="2245">
        <v>78</v>
      </c>
    </row>
    <row r="79" spans="1:26" s="320" customFormat="1" ht="13.25" customHeight="1">
      <c r="A79" s="321" t="s">
        <v>691</v>
      </c>
      <c r="B79" s="321" t="s">
        <v>273</v>
      </c>
      <c r="D79" s="321"/>
      <c r="E79" s="1034"/>
      <c r="F79" s="290"/>
      <c r="G79" s="290"/>
      <c r="H79" s="359"/>
      <c r="I79" s="359"/>
      <c r="J79" s="359"/>
      <c r="K79" s="1624" t="s">
        <v>3461</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42"/>
      <c r="I81" s="3393"/>
      <c r="J81" s="3393"/>
      <c r="K81" s="3393"/>
      <c r="L81" s="3393"/>
      <c r="M81" s="3393"/>
      <c r="N81" s="3394"/>
      <c r="O81" s="343" t="s">
        <v>1848</v>
      </c>
      <c r="P81" s="343"/>
      <c r="Q81" s="3342"/>
      <c r="R81" s="3393"/>
      <c r="S81" s="3394"/>
      <c r="Z81" s="2246">
        <v>81</v>
      </c>
    </row>
    <row r="82" spans="2:26" s="315" customFormat="1" ht="11.25" customHeight="1">
      <c r="D82" s="344"/>
      <c r="E82" s="320" t="s">
        <v>958</v>
      </c>
      <c r="F82" s="328"/>
      <c r="H82" s="3460"/>
      <c r="I82" s="3461"/>
      <c r="J82" s="3461"/>
      <c r="K82" s="3462"/>
      <c r="L82" s="3461"/>
      <c r="M82" s="3461"/>
      <c r="N82" s="3463"/>
      <c r="O82" s="343" t="s">
        <v>1625</v>
      </c>
      <c r="P82" s="345"/>
      <c r="Q82" s="3332"/>
      <c r="R82" s="3464"/>
      <c r="S82" s="3465"/>
      <c r="Z82" s="2246">
        <v>82</v>
      </c>
    </row>
    <row r="83" spans="2:26" s="315" customFormat="1" ht="11.25" customHeight="1">
      <c r="D83" s="344"/>
      <c r="E83" s="320" t="s">
        <v>575</v>
      </c>
      <c r="H83" s="3460"/>
      <c r="I83" s="3462"/>
      <c r="J83" s="3389"/>
      <c r="K83" s="519" t="s">
        <v>2459</v>
      </c>
      <c r="L83" s="3460"/>
      <c r="M83" s="3461"/>
      <c r="N83" s="3389"/>
      <c r="O83" s="343" t="s">
        <v>1601</v>
      </c>
      <c r="P83" s="345"/>
      <c r="Q83" s="3466"/>
      <c r="R83" s="3467"/>
      <c r="S83" s="3468"/>
      <c r="Z83" s="2246">
        <v>83</v>
      </c>
    </row>
    <row r="84" spans="2:26" s="315" customFormat="1" ht="11.25" customHeight="1">
      <c r="E84" s="320" t="s">
        <v>1672</v>
      </c>
      <c r="H84" s="1270"/>
      <c r="I84" s="345"/>
      <c r="J84" s="345"/>
      <c r="K84" s="861" t="s">
        <v>2062</v>
      </c>
      <c r="L84" s="3335"/>
      <c r="M84" s="3469"/>
      <c r="N84" s="345"/>
      <c r="O84" s="343" t="s">
        <v>1838</v>
      </c>
      <c r="P84" s="345"/>
      <c r="Q84" s="3466"/>
      <c r="R84" s="3467"/>
      <c r="S84" s="3468"/>
      <c r="Z84" s="2246">
        <v>84</v>
      </c>
    </row>
    <row r="85" spans="2:26" s="315" customFormat="1" ht="11.25" customHeight="1">
      <c r="D85" s="344"/>
      <c r="E85" s="320" t="s">
        <v>3462</v>
      </c>
      <c r="H85" s="3457"/>
      <c r="I85" s="3458"/>
      <c r="J85" s="338"/>
      <c r="K85" s="346" t="s">
        <v>1843</v>
      </c>
      <c r="L85" s="3459"/>
      <c r="M85" s="3391"/>
      <c r="N85" s="3351"/>
      <c r="O85" s="3351"/>
      <c r="P85" s="3351"/>
      <c r="Q85" s="3391"/>
      <c r="R85" s="3391"/>
      <c r="S85" s="3392"/>
      <c r="Z85" s="2246">
        <v>85</v>
      </c>
    </row>
    <row r="86" spans="2:26" ht="6.5"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42"/>
      <c r="I87" s="3393"/>
      <c r="J87" s="3393"/>
      <c r="K87" s="3393"/>
      <c r="L87" s="3393"/>
      <c r="M87" s="3393"/>
      <c r="N87" s="3394"/>
      <c r="O87" s="343" t="s">
        <v>1848</v>
      </c>
      <c r="P87" s="343"/>
      <c r="Q87" s="3342"/>
      <c r="R87" s="3393"/>
      <c r="S87" s="3394"/>
      <c r="Z87" s="2245">
        <v>87</v>
      </c>
    </row>
    <row r="88" spans="2:26" s="315" customFormat="1" ht="11.25" customHeight="1">
      <c r="D88" s="344"/>
      <c r="E88" s="320" t="s">
        <v>958</v>
      </c>
      <c r="F88" s="328"/>
      <c r="H88" s="3460"/>
      <c r="I88" s="3461"/>
      <c r="J88" s="3461"/>
      <c r="K88" s="3462"/>
      <c r="L88" s="3461"/>
      <c r="M88" s="3461"/>
      <c r="N88" s="3463"/>
      <c r="O88" s="343" t="s">
        <v>1625</v>
      </c>
      <c r="P88" s="345"/>
      <c r="Q88" s="3332"/>
      <c r="R88" s="3464"/>
      <c r="S88" s="3465"/>
      <c r="Z88" s="2246">
        <v>88</v>
      </c>
    </row>
    <row r="89" spans="2:26" s="315" customFormat="1" ht="11.25" customHeight="1">
      <c r="D89" s="344"/>
      <c r="E89" s="320" t="s">
        <v>575</v>
      </c>
      <c r="H89" s="3460"/>
      <c r="I89" s="3462"/>
      <c r="J89" s="3389"/>
      <c r="K89" s="519" t="s">
        <v>2459</v>
      </c>
      <c r="L89" s="3460"/>
      <c r="M89" s="3461"/>
      <c r="N89" s="3389"/>
      <c r="O89" s="343" t="s">
        <v>1601</v>
      </c>
      <c r="P89" s="345"/>
      <c r="Q89" s="3466"/>
      <c r="R89" s="3467"/>
      <c r="S89" s="3468"/>
      <c r="Z89" s="2246">
        <v>89</v>
      </c>
    </row>
    <row r="90" spans="2:26" s="315" customFormat="1" ht="11.25" customHeight="1">
      <c r="E90" s="320" t="s">
        <v>1672</v>
      </c>
      <c r="H90" s="1270"/>
      <c r="I90" s="345"/>
      <c r="J90" s="345"/>
      <c r="K90" s="861" t="s">
        <v>2062</v>
      </c>
      <c r="L90" s="3335"/>
      <c r="M90" s="3469"/>
      <c r="N90" s="345"/>
      <c r="O90" s="343" t="s">
        <v>1838</v>
      </c>
      <c r="P90" s="345"/>
      <c r="Q90" s="3466"/>
      <c r="R90" s="3467"/>
      <c r="S90" s="3468"/>
      <c r="Z90" s="2246">
        <v>90</v>
      </c>
    </row>
    <row r="91" spans="2:26" s="315" customFormat="1" ht="11.25" customHeight="1">
      <c r="D91" s="344"/>
      <c r="E91" s="320" t="s">
        <v>3462</v>
      </c>
      <c r="H91" s="3457"/>
      <c r="I91" s="3458"/>
      <c r="J91" s="338"/>
      <c r="K91" s="346" t="s">
        <v>1843</v>
      </c>
      <c r="L91" s="3459"/>
      <c r="M91" s="3391"/>
      <c r="N91" s="3351"/>
      <c r="O91" s="3351"/>
      <c r="P91" s="3351"/>
      <c r="Q91" s="3391"/>
      <c r="R91" s="3391"/>
      <c r="S91" s="3392"/>
      <c r="Z91" s="2246">
        <v>91</v>
      </c>
    </row>
    <row r="92" spans="2:26" ht="6.5"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2"/>
      <c r="I93" s="3393"/>
      <c r="J93" s="3393"/>
      <c r="K93" s="3393"/>
      <c r="L93" s="3393"/>
      <c r="M93" s="3393"/>
      <c r="N93" s="3394"/>
      <c r="O93" s="343" t="s">
        <v>1848</v>
      </c>
      <c r="P93" s="343"/>
      <c r="Q93" s="3342"/>
      <c r="R93" s="3393"/>
      <c r="S93" s="3394"/>
      <c r="Z93" s="2245">
        <v>93</v>
      </c>
    </row>
    <row r="94" spans="2:26" s="315" customFormat="1" ht="11.25" customHeight="1">
      <c r="D94" s="344"/>
      <c r="E94" s="320" t="s">
        <v>958</v>
      </c>
      <c r="F94" s="328"/>
      <c r="H94" s="3460"/>
      <c r="I94" s="3461"/>
      <c r="J94" s="3461"/>
      <c r="K94" s="3462"/>
      <c r="L94" s="3461"/>
      <c r="M94" s="3461"/>
      <c r="N94" s="3463"/>
      <c r="O94" s="343" t="s">
        <v>1625</v>
      </c>
      <c r="P94" s="345"/>
      <c r="Q94" s="3332"/>
      <c r="R94" s="3464"/>
      <c r="S94" s="3465"/>
      <c r="Z94" s="2246">
        <v>94</v>
      </c>
    </row>
    <row r="95" spans="2:26" s="315" customFormat="1" ht="11.25" customHeight="1">
      <c r="D95" s="344"/>
      <c r="E95" s="320" t="s">
        <v>575</v>
      </c>
      <c r="H95" s="3460"/>
      <c r="I95" s="3462"/>
      <c r="J95" s="3389"/>
      <c r="K95" s="519" t="s">
        <v>2459</v>
      </c>
      <c r="L95" s="3460"/>
      <c r="M95" s="3461"/>
      <c r="N95" s="3389"/>
      <c r="O95" s="343" t="s">
        <v>1601</v>
      </c>
      <c r="P95" s="345"/>
      <c r="Q95" s="3466"/>
      <c r="R95" s="3467"/>
      <c r="S95" s="3468"/>
      <c r="Z95" s="2246">
        <v>95</v>
      </c>
    </row>
    <row r="96" spans="2:26" s="315" customFormat="1" ht="11.25" customHeight="1">
      <c r="D96" s="344"/>
      <c r="E96" s="320" t="s">
        <v>1672</v>
      </c>
      <c r="H96" s="1270"/>
      <c r="I96" s="345"/>
      <c r="J96" s="345"/>
      <c r="K96" s="861" t="s">
        <v>2062</v>
      </c>
      <c r="L96" s="3335"/>
      <c r="M96" s="3469"/>
      <c r="N96" s="345"/>
      <c r="O96" s="343" t="s">
        <v>1838</v>
      </c>
      <c r="P96" s="345"/>
      <c r="Q96" s="3466"/>
      <c r="R96" s="3467"/>
      <c r="S96" s="3468"/>
      <c r="Z96" s="2246">
        <v>96</v>
      </c>
    </row>
    <row r="97" spans="2:26" s="315" customFormat="1" ht="11.25" customHeight="1">
      <c r="D97" s="344"/>
      <c r="E97" s="320" t="s">
        <v>3462</v>
      </c>
      <c r="H97" s="3457"/>
      <c r="I97" s="3458"/>
      <c r="J97" s="338"/>
      <c r="K97" s="346" t="s">
        <v>1843</v>
      </c>
      <c r="L97" s="3459"/>
      <c r="M97" s="3391"/>
      <c r="N97" s="3351"/>
      <c r="O97" s="3351"/>
      <c r="P97" s="3351"/>
      <c r="Q97" s="3391"/>
      <c r="R97" s="3391"/>
      <c r="S97" s="3392"/>
      <c r="Z97" s="2246">
        <v>97</v>
      </c>
    </row>
    <row r="98" spans="2:26" ht="6.5"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42"/>
      <c r="I99" s="3393"/>
      <c r="J99" s="3393"/>
      <c r="K99" s="3393"/>
      <c r="L99" s="3393"/>
      <c r="M99" s="3393"/>
      <c r="N99" s="3394"/>
      <c r="O99" s="343" t="s">
        <v>1848</v>
      </c>
      <c r="P99" s="343"/>
      <c r="Q99" s="3342"/>
      <c r="R99" s="3393"/>
      <c r="S99" s="3394"/>
      <c r="Z99" s="2246">
        <v>99</v>
      </c>
    </row>
    <row r="100" spans="2:26" s="315" customFormat="1" ht="11.25" customHeight="1">
      <c r="D100" s="344"/>
      <c r="E100" s="320" t="s">
        <v>958</v>
      </c>
      <c r="F100" s="328"/>
      <c r="H100" s="3460"/>
      <c r="I100" s="3461"/>
      <c r="J100" s="3461"/>
      <c r="K100" s="3462"/>
      <c r="L100" s="3461"/>
      <c r="M100" s="3461"/>
      <c r="N100" s="3463"/>
      <c r="O100" s="343" t="s">
        <v>1625</v>
      </c>
      <c r="P100" s="345"/>
      <c r="Q100" s="3332"/>
      <c r="R100" s="3464"/>
      <c r="S100" s="3465"/>
      <c r="Z100" s="2246">
        <v>100</v>
      </c>
    </row>
    <row r="101" spans="2:26" s="315" customFormat="1" ht="11.25" customHeight="1">
      <c r="D101" s="344"/>
      <c r="E101" s="320" t="s">
        <v>575</v>
      </c>
      <c r="H101" s="3460"/>
      <c r="I101" s="3462"/>
      <c r="J101" s="3389"/>
      <c r="K101" s="519" t="s">
        <v>2459</v>
      </c>
      <c r="L101" s="3460"/>
      <c r="M101" s="3461"/>
      <c r="N101" s="3389"/>
      <c r="O101" s="343" t="s">
        <v>1601</v>
      </c>
      <c r="P101" s="345"/>
      <c r="Q101" s="3466"/>
      <c r="R101" s="3467"/>
      <c r="S101" s="3468"/>
      <c r="Z101" s="2246">
        <v>101</v>
      </c>
    </row>
    <row r="102" spans="2:26" s="315" customFormat="1" ht="11.25" customHeight="1">
      <c r="D102" s="344"/>
      <c r="E102" s="320" t="s">
        <v>1672</v>
      </c>
      <c r="H102" s="1270"/>
      <c r="I102" s="345"/>
      <c r="J102" s="345"/>
      <c r="K102" s="861" t="s">
        <v>2062</v>
      </c>
      <c r="L102" s="3335"/>
      <c r="M102" s="3469"/>
      <c r="N102" s="345"/>
      <c r="O102" s="343" t="s">
        <v>1838</v>
      </c>
      <c r="P102" s="345"/>
      <c r="Q102" s="3466"/>
      <c r="R102" s="3467"/>
      <c r="S102" s="3468"/>
      <c r="Z102" s="2245">
        <v>102</v>
      </c>
    </row>
    <row r="103" spans="2:26" ht="11.25" customHeight="1">
      <c r="E103" s="320" t="s">
        <v>3462</v>
      </c>
      <c r="F103" s="315"/>
      <c r="G103" s="315"/>
      <c r="H103" s="3457"/>
      <c r="I103" s="3458"/>
      <c r="J103" s="338"/>
      <c r="K103" s="346" t="s">
        <v>1843</v>
      </c>
      <c r="L103" s="3459"/>
      <c r="M103" s="3391"/>
      <c r="N103" s="3351"/>
      <c r="O103" s="3351"/>
      <c r="P103" s="3351"/>
      <c r="Q103" s="3391"/>
      <c r="R103" s="3391"/>
      <c r="S103" s="3392"/>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2"/>
      <c r="I105" s="3393"/>
      <c r="J105" s="3393"/>
      <c r="K105" s="3393"/>
      <c r="L105" s="3393"/>
      <c r="M105" s="3393"/>
      <c r="N105" s="3394"/>
      <c r="O105" s="343" t="s">
        <v>1848</v>
      </c>
      <c r="P105" s="343"/>
      <c r="Q105" s="3342"/>
      <c r="R105" s="3393"/>
      <c r="S105" s="3394"/>
      <c r="Z105" s="2246">
        <v>105</v>
      </c>
    </row>
    <row r="106" spans="2:26" s="315" customFormat="1" ht="11.25" customHeight="1">
      <c r="D106" s="344"/>
      <c r="E106" s="320" t="s">
        <v>958</v>
      </c>
      <c r="F106" s="328"/>
      <c r="H106" s="3460"/>
      <c r="I106" s="3461"/>
      <c r="J106" s="3461"/>
      <c r="K106" s="3462"/>
      <c r="L106" s="3461"/>
      <c r="M106" s="3461"/>
      <c r="N106" s="3463"/>
      <c r="O106" s="343" t="s">
        <v>1625</v>
      </c>
      <c r="P106" s="345"/>
      <c r="Q106" s="3332"/>
      <c r="R106" s="3464"/>
      <c r="S106" s="3465"/>
      <c r="Z106" s="2246">
        <v>106</v>
      </c>
    </row>
    <row r="107" spans="2:26" s="315" customFormat="1" ht="11.25" customHeight="1">
      <c r="D107" s="344"/>
      <c r="E107" s="320" t="s">
        <v>575</v>
      </c>
      <c r="H107" s="3460"/>
      <c r="I107" s="3462"/>
      <c r="J107" s="3389"/>
      <c r="K107" s="519" t="s">
        <v>2459</v>
      </c>
      <c r="L107" s="3460"/>
      <c r="M107" s="3461"/>
      <c r="N107" s="3389"/>
      <c r="O107" s="343" t="s">
        <v>1601</v>
      </c>
      <c r="P107" s="345"/>
      <c r="Q107" s="3466"/>
      <c r="R107" s="3467"/>
      <c r="S107" s="3468"/>
      <c r="Z107" s="2246">
        <v>107</v>
      </c>
    </row>
    <row r="108" spans="2:26" s="315" customFormat="1" ht="11.25" customHeight="1">
      <c r="D108" s="344"/>
      <c r="E108" s="320" t="s">
        <v>1672</v>
      </c>
      <c r="H108" s="1270"/>
      <c r="I108" s="345"/>
      <c r="J108" s="345"/>
      <c r="K108" s="861" t="s">
        <v>2062</v>
      </c>
      <c r="L108" s="3335"/>
      <c r="M108" s="3469"/>
      <c r="N108" s="345"/>
      <c r="O108" s="343" t="s">
        <v>1838</v>
      </c>
      <c r="P108" s="345"/>
      <c r="Q108" s="3466"/>
      <c r="R108" s="3467"/>
      <c r="S108" s="3468"/>
      <c r="Z108" s="2246">
        <v>108</v>
      </c>
    </row>
    <row r="109" spans="2:26" ht="11.25" customHeight="1">
      <c r="E109" s="320" t="s">
        <v>3462</v>
      </c>
      <c r="F109" s="315"/>
      <c r="G109" s="315"/>
      <c r="H109" s="3457"/>
      <c r="I109" s="3458"/>
      <c r="J109" s="338"/>
      <c r="K109" s="346" t="s">
        <v>1843</v>
      </c>
      <c r="L109" s="3459"/>
      <c r="M109" s="3391"/>
      <c r="N109" s="3351"/>
      <c r="O109" s="3351"/>
      <c r="P109" s="3351"/>
      <c r="Q109" s="3391"/>
      <c r="R109" s="3391"/>
      <c r="S109" s="3392"/>
      <c r="Z109" s="2246">
        <v>109</v>
      </c>
    </row>
    <row r="110" spans="2:26" ht="6.5"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2"/>
      <c r="I111" s="3393"/>
      <c r="J111" s="3393"/>
      <c r="K111" s="3393"/>
      <c r="L111" s="3393"/>
      <c r="M111" s="3393"/>
      <c r="N111" s="3394"/>
      <c r="O111" s="343" t="s">
        <v>1848</v>
      </c>
      <c r="P111" s="343"/>
      <c r="Q111" s="3342"/>
      <c r="R111" s="3393"/>
      <c r="S111" s="3394"/>
      <c r="Z111" s="2245">
        <v>111</v>
      </c>
    </row>
    <row r="112" spans="2:26" s="315" customFormat="1" ht="11.25" customHeight="1">
      <c r="D112" s="344"/>
      <c r="E112" s="320" t="s">
        <v>958</v>
      </c>
      <c r="F112" s="328"/>
      <c r="H112" s="3460"/>
      <c r="I112" s="3461"/>
      <c r="J112" s="3461"/>
      <c r="K112" s="3462"/>
      <c r="L112" s="3461"/>
      <c r="M112" s="3461"/>
      <c r="N112" s="3463"/>
      <c r="O112" s="343" t="s">
        <v>1625</v>
      </c>
      <c r="P112" s="345"/>
      <c r="Q112" s="3332"/>
      <c r="R112" s="3464"/>
      <c r="S112" s="3465"/>
      <c r="Z112" s="2246">
        <v>112</v>
      </c>
    </row>
    <row r="113" spans="1:26" s="315" customFormat="1" ht="11.25" customHeight="1">
      <c r="D113" s="344"/>
      <c r="E113" s="320" t="s">
        <v>575</v>
      </c>
      <c r="H113" s="3460"/>
      <c r="I113" s="3462"/>
      <c r="J113" s="3389"/>
      <c r="K113" s="519" t="s">
        <v>2459</v>
      </c>
      <c r="L113" s="3460"/>
      <c r="M113" s="3461"/>
      <c r="N113" s="3389"/>
      <c r="O113" s="343" t="s">
        <v>1601</v>
      </c>
      <c r="P113" s="345"/>
      <c r="Q113" s="3466"/>
      <c r="R113" s="3467"/>
      <c r="S113" s="3468"/>
      <c r="Z113" s="2246">
        <v>113</v>
      </c>
    </row>
    <row r="114" spans="1:26" s="315" customFormat="1" ht="11.25" customHeight="1">
      <c r="D114" s="361"/>
      <c r="E114" s="320" t="s">
        <v>1672</v>
      </c>
      <c r="H114" s="1270"/>
      <c r="I114" s="345"/>
      <c r="J114" s="345"/>
      <c r="K114" s="861" t="s">
        <v>2062</v>
      </c>
      <c r="L114" s="3335"/>
      <c r="M114" s="3469"/>
      <c r="N114" s="345"/>
      <c r="O114" s="343" t="s">
        <v>1838</v>
      </c>
      <c r="P114" s="345"/>
      <c r="Q114" s="3466"/>
      <c r="R114" s="3467"/>
      <c r="S114" s="3468"/>
      <c r="Z114" s="2246">
        <v>114</v>
      </c>
    </row>
    <row r="115" spans="1:26" s="315" customFormat="1" ht="11.25" customHeight="1">
      <c r="D115" s="361"/>
      <c r="E115" s="320" t="s">
        <v>3462</v>
      </c>
      <c r="H115" s="3457"/>
      <c r="I115" s="3458"/>
      <c r="J115" s="338"/>
      <c r="K115" s="346" t="s">
        <v>1843</v>
      </c>
      <c r="L115" s="3459"/>
      <c r="M115" s="3391"/>
      <c r="N115" s="3351"/>
      <c r="O115" s="3351"/>
      <c r="P115" s="3351"/>
      <c r="Q115" s="3391"/>
      <c r="R115" s="3391"/>
      <c r="S115" s="3392"/>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6226</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6471</v>
      </c>
      <c r="H120" s="3342"/>
      <c r="I120" s="3343"/>
      <c r="J120" s="3344"/>
      <c r="K120" s="346" t="s">
        <v>1671</v>
      </c>
      <c r="L120" s="3342"/>
      <c r="M120" s="3393"/>
      <c r="N120" s="3394"/>
      <c r="O120" s="360" t="s">
        <v>3143</v>
      </c>
      <c r="P120" s="345"/>
      <c r="Q120" s="3340"/>
      <c r="R120" s="3395"/>
      <c r="S120" s="3396"/>
      <c r="Z120" s="2246">
        <v>120</v>
      </c>
    </row>
    <row r="121" spans="1:26" s="315" customFormat="1" ht="11.25" customHeight="1">
      <c r="C121" s="317"/>
      <c r="D121" s="344"/>
      <c r="E121" s="320" t="s">
        <v>6227</v>
      </c>
      <c r="F121" s="328"/>
      <c r="H121" s="3328"/>
      <c r="I121" s="3381"/>
      <c r="J121" s="3382"/>
      <c r="K121" s="3383"/>
      <c r="L121" s="3381"/>
      <c r="M121" s="3381"/>
      <c r="N121" s="3384"/>
      <c r="O121" s="360" t="s">
        <v>575</v>
      </c>
      <c r="P121" s="345"/>
      <c r="Q121" s="3385"/>
      <c r="R121" s="3386"/>
      <c r="S121" s="3387"/>
      <c r="Z121" s="2246">
        <v>121</v>
      </c>
    </row>
    <row r="122" spans="1:26" s="315" customFormat="1" ht="11.25" customHeight="1">
      <c r="C122" s="317"/>
      <c r="D122" s="344"/>
      <c r="E122" s="320" t="s">
        <v>1672</v>
      </c>
      <c r="H122" s="1594"/>
      <c r="I122" s="861" t="s">
        <v>2062</v>
      </c>
      <c r="J122" s="3388"/>
      <c r="K122" s="3389"/>
      <c r="L122" s="346" t="s">
        <v>1843</v>
      </c>
      <c r="M122" s="3390"/>
      <c r="N122" s="3351"/>
      <c r="O122" s="3351"/>
      <c r="P122" s="3351"/>
      <c r="Q122" s="3391"/>
      <c r="R122" s="3391"/>
      <c r="S122" s="3392"/>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6472</v>
      </c>
      <c r="H124" s="3342"/>
      <c r="I124" s="3343"/>
      <c r="J124" s="3344"/>
      <c r="K124" s="346" t="s">
        <v>1671</v>
      </c>
      <c r="L124" s="3342"/>
      <c r="M124" s="3393"/>
      <c r="N124" s="3394"/>
      <c r="O124" s="360" t="s">
        <v>3143</v>
      </c>
      <c r="P124" s="345"/>
      <c r="Q124" s="3340"/>
      <c r="R124" s="3395"/>
      <c r="S124" s="3396"/>
      <c r="Z124" s="2246">
        <v>124</v>
      </c>
    </row>
    <row r="125" spans="1:26" s="315" customFormat="1" ht="11.25" hidden="1" customHeight="1">
      <c r="C125" s="317"/>
      <c r="D125" s="344"/>
      <c r="E125" s="2193" t="s">
        <v>6227</v>
      </c>
      <c r="F125" s="328"/>
      <c r="H125" s="3328"/>
      <c r="I125" s="3381"/>
      <c r="J125" s="3382"/>
      <c r="K125" s="3383"/>
      <c r="L125" s="3381"/>
      <c r="M125" s="3381"/>
      <c r="N125" s="3384"/>
      <c r="O125" s="360" t="s">
        <v>575</v>
      </c>
      <c r="P125" s="345"/>
      <c r="Q125" s="3385"/>
      <c r="R125" s="3386"/>
      <c r="S125" s="3387"/>
      <c r="Z125" s="2246">
        <v>125</v>
      </c>
    </row>
    <row r="126" spans="1:26" s="315" customFormat="1" ht="11.25" hidden="1" customHeight="1">
      <c r="C126" s="317"/>
      <c r="D126" s="344"/>
      <c r="E126" s="2193" t="s">
        <v>1672</v>
      </c>
      <c r="H126" s="1594"/>
      <c r="I126" s="861" t="s">
        <v>2062</v>
      </c>
      <c r="J126" s="3388"/>
      <c r="K126" s="3389"/>
      <c r="L126" s="346" t="s">
        <v>1843</v>
      </c>
      <c r="M126" s="3390"/>
      <c r="N126" s="3351"/>
      <c r="O126" s="3351"/>
      <c r="P126" s="3351"/>
      <c r="Q126" s="3391"/>
      <c r="R126" s="3391"/>
      <c r="S126" s="3392"/>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6307</v>
      </c>
      <c r="H128" s="3342"/>
      <c r="I128" s="3343"/>
      <c r="J128" s="3344"/>
      <c r="K128" s="346" t="s">
        <v>1671</v>
      </c>
      <c r="L128" s="3342"/>
      <c r="M128" s="3393"/>
      <c r="N128" s="3394"/>
      <c r="O128" s="360" t="s">
        <v>3143</v>
      </c>
      <c r="P128" s="345"/>
      <c r="Q128" s="3340"/>
      <c r="R128" s="3395"/>
      <c r="S128" s="3396"/>
      <c r="Z128" s="2246">
        <v>128</v>
      </c>
    </row>
    <row r="129" spans="3:26" s="315" customFormat="1" ht="11.25" hidden="1" customHeight="1">
      <c r="C129" s="317"/>
      <c r="D129" s="344"/>
      <c r="E129" s="2193" t="s">
        <v>6227</v>
      </c>
      <c r="F129" s="328"/>
      <c r="H129" s="3328"/>
      <c r="I129" s="3381"/>
      <c r="J129" s="3382"/>
      <c r="K129" s="3383"/>
      <c r="L129" s="3381"/>
      <c r="M129" s="3381"/>
      <c r="N129" s="3384"/>
      <c r="O129" s="360" t="s">
        <v>575</v>
      </c>
      <c r="P129" s="345"/>
      <c r="Q129" s="3385"/>
      <c r="R129" s="3386"/>
      <c r="S129" s="3387"/>
      <c r="Z129" s="2246">
        <v>129</v>
      </c>
    </row>
    <row r="130" spans="3:26" s="315" customFormat="1" ht="11.25" hidden="1" customHeight="1">
      <c r="C130" s="317"/>
      <c r="D130" s="344"/>
      <c r="E130" s="2193" t="s">
        <v>1672</v>
      </c>
      <c r="H130" s="1594"/>
      <c r="I130" s="861" t="s">
        <v>2062</v>
      </c>
      <c r="J130" s="3388"/>
      <c r="K130" s="3389"/>
      <c r="L130" s="346" t="s">
        <v>1843</v>
      </c>
      <c r="M130" s="3390"/>
      <c r="N130" s="3351"/>
      <c r="O130" s="3351"/>
      <c r="P130" s="3351"/>
      <c r="Q130" s="3391"/>
      <c r="R130" s="3391"/>
      <c r="S130" s="3392"/>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6473</v>
      </c>
      <c r="H132" s="3342"/>
      <c r="I132" s="3343"/>
      <c r="J132" s="3344"/>
      <c r="K132" s="346" t="s">
        <v>1671</v>
      </c>
      <c r="L132" s="3342"/>
      <c r="M132" s="3393"/>
      <c r="N132" s="3394"/>
      <c r="O132" s="360" t="s">
        <v>3143</v>
      </c>
      <c r="P132" s="345"/>
      <c r="Q132" s="3340"/>
      <c r="R132" s="3395"/>
      <c r="S132" s="3396"/>
      <c r="Z132" s="2246">
        <v>132</v>
      </c>
    </row>
    <row r="133" spans="3:26" s="315" customFormat="1" ht="11.25" hidden="1" customHeight="1">
      <c r="C133" s="317"/>
      <c r="D133" s="344"/>
      <c r="E133" s="2193" t="s">
        <v>6227</v>
      </c>
      <c r="F133" s="328"/>
      <c r="H133" s="3328"/>
      <c r="I133" s="3381"/>
      <c r="J133" s="3382"/>
      <c r="K133" s="3383"/>
      <c r="L133" s="3381"/>
      <c r="M133" s="3381"/>
      <c r="N133" s="3384"/>
      <c r="O133" s="360" t="s">
        <v>575</v>
      </c>
      <c r="P133" s="345"/>
      <c r="Q133" s="3385"/>
      <c r="R133" s="3386"/>
      <c r="S133" s="3387"/>
      <c r="Z133" s="2246">
        <v>133</v>
      </c>
    </row>
    <row r="134" spans="3:26" s="315" customFormat="1" ht="11.25" hidden="1" customHeight="1">
      <c r="C134" s="317"/>
      <c r="D134" s="344"/>
      <c r="E134" s="2193" t="s">
        <v>1672</v>
      </c>
      <c r="H134" s="1594"/>
      <c r="I134" s="861" t="s">
        <v>2062</v>
      </c>
      <c r="J134" s="3388"/>
      <c r="K134" s="3389"/>
      <c r="L134" s="346" t="s">
        <v>1843</v>
      </c>
      <c r="M134" s="3390"/>
      <c r="N134" s="3351"/>
      <c r="O134" s="3351"/>
      <c r="P134" s="3351"/>
      <c r="Q134" s="3391"/>
      <c r="R134" s="3391"/>
      <c r="S134" s="3392"/>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6474</v>
      </c>
      <c r="H136" s="3342"/>
      <c r="I136" s="3343"/>
      <c r="J136" s="3344"/>
      <c r="K136" s="346" t="s">
        <v>1671</v>
      </c>
      <c r="L136" s="3342"/>
      <c r="M136" s="3393"/>
      <c r="N136" s="3394"/>
      <c r="O136" s="360" t="s">
        <v>3143</v>
      </c>
      <c r="P136" s="345"/>
      <c r="Q136" s="3340"/>
      <c r="R136" s="3395"/>
      <c r="S136" s="3396"/>
      <c r="Z136" s="2245">
        <v>136</v>
      </c>
    </row>
    <row r="137" spans="3:26" s="315" customFormat="1" ht="11.25" hidden="1" customHeight="1">
      <c r="C137" s="317"/>
      <c r="D137" s="344"/>
      <c r="E137" s="2193" t="s">
        <v>6227</v>
      </c>
      <c r="F137" s="328"/>
      <c r="H137" s="3328"/>
      <c r="I137" s="3381"/>
      <c r="J137" s="3382"/>
      <c r="K137" s="3383"/>
      <c r="L137" s="3381"/>
      <c r="M137" s="3381"/>
      <c r="N137" s="3384"/>
      <c r="O137" s="360" t="s">
        <v>575</v>
      </c>
      <c r="P137" s="345"/>
      <c r="Q137" s="3385"/>
      <c r="R137" s="3386"/>
      <c r="S137" s="3387"/>
      <c r="Z137" s="2246">
        <v>137</v>
      </c>
    </row>
    <row r="138" spans="3:26" s="315" customFormat="1" ht="11.25" hidden="1" customHeight="1">
      <c r="C138" s="317"/>
      <c r="D138" s="344"/>
      <c r="E138" s="2193" t="s">
        <v>1672</v>
      </c>
      <c r="H138" s="1594"/>
      <c r="I138" s="861" t="s">
        <v>2062</v>
      </c>
      <c r="J138" s="3388"/>
      <c r="K138" s="3389"/>
      <c r="L138" s="346" t="s">
        <v>1843</v>
      </c>
      <c r="M138" s="3390"/>
      <c r="N138" s="3351"/>
      <c r="O138" s="3351"/>
      <c r="P138" s="3351"/>
      <c r="Q138" s="3391"/>
      <c r="R138" s="3391"/>
      <c r="S138" s="3392"/>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6475</v>
      </c>
      <c r="H140" s="3342"/>
      <c r="I140" s="3343"/>
      <c r="J140" s="3344"/>
      <c r="K140" s="346" t="s">
        <v>1671</v>
      </c>
      <c r="L140" s="3342"/>
      <c r="M140" s="3393"/>
      <c r="N140" s="3394"/>
      <c r="O140" s="360" t="s">
        <v>3143</v>
      </c>
      <c r="P140" s="345"/>
      <c r="Q140" s="3340"/>
      <c r="R140" s="3395"/>
      <c r="S140" s="3396"/>
      <c r="Z140" s="2246">
        <v>140</v>
      </c>
    </row>
    <row r="141" spans="3:26" s="315" customFormat="1" ht="11.25" hidden="1" customHeight="1">
      <c r="C141" s="317"/>
      <c r="D141" s="344"/>
      <c r="E141" s="2193" t="s">
        <v>6227</v>
      </c>
      <c r="F141" s="328"/>
      <c r="H141" s="3328"/>
      <c r="I141" s="3381"/>
      <c r="J141" s="3382"/>
      <c r="K141" s="3383"/>
      <c r="L141" s="3381"/>
      <c r="M141" s="3381"/>
      <c r="N141" s="3384"/>
      <c r="O141" s="360" t="s">
        <v>575</v>
      </c>
      <c r="P141" s="345"/>
      <c r="Q141" s="3385"/>
      <c r="R141" s="3386"/>
      <c r="S141" s="3387"/>
      <c r="Z141" s="2246">
        <v>141</v>
      </c>
    </row>
    <row r="142" spans="3:26" s="315" customFormat="1" ht="11.25" hidden="1" customHeight="1">
      <c r="C142" s="317"/>
      <c r="D142" s="344"/>
      <c r="E142" s="2193" t="s">
        <v>1672</v>
      </c>
      <c r="H142" s="1594"/>
      <c r="I142" s="861" t="s">
        <v>2062</v>
      </c>
      <c r="J142" s="3388"/>
      <c r="K142" s="3389"/>
      <c r="L142" s="346" t="s">
        <v>1843</v>
      </c>
      <c r="M142" s="3390"/>
      <c r="N142" s="3351"/>
      <c r="O142" s="3351"/>
      <c r="P142" s="3351"/>
      <c r="Q142" s="3391"/>
      <c r="R142" s="3391"/>
      <c r="S142" s="3392"/>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6469</v>
      </c>
      <c r="H144" s="3342"/>
      <c r="I144" s="3343"/>
      <c r="J144" s="3344"/>
      <c r="K144" s="346" t="s">
        <v>1671</v>
      </c>
      <c r="L144" s="3342"/>
      <c r="M144" s="3393"/>
      <c r="N144" s="3394"/>
      <c r="O144" s="360" t="s">
        <v>3143</v>
      </c>
      <c r="P144" s="345"/>
      <c r="Q144" s="3340"/>
      <c r="R144" s="3395"/>
      <c r="S144" s="3396"/>
      <c r="Z144" s="2246">
        <v>144</v>
      </c>
    </row>
    <row r="145" spans="1:26" s="315" customFormat="1" ht="11.25" customHeight="1">
      <c r="C145" s="317"/>
      <c r="D145" s="344"/>
      <c r="E145" s="2074" t="s">
        <v>6227</v>
      </c>
      <c r="F145" s="328"/>
      <c r="H145" s="3328"/>
      <c r="I145" s="3381"/>
      <c r="J145" s="3382"/>
      <c r="K145" s="3383"/>
      <c r="L145" s="3381"/>
      <c r="M145" s="3381"/>
      <c r="N145" s="3384"/>
      <c r="O145" s="360" t="s">
        <v>575</v>
      </c>
      <c r="P145" s="345"/>
      <c r="Q145" s="3385"/>
      <c r="R145" s="3386"/>
      <c r="S145" s="3387"/>
      <c r="Z145" s="2245">
        <v>145</v>
      </c>
    </row>
    <row r="146" spans="1:26" s="315" customFormat="1" ht="11.25" customHeight="1">
      <c r="C146" s="317"/>
      <c r="D146" s="344"/>
      <c r="E146" s="2074" t="s">
        <v>1672</v>
      </c>
      <c r="H146" s="1594"/>
      <c r="I146" s="861" t="s">
        <v>2062</v>
      </c>
      <c r="J146" s="3388"/>
      <c r="K146" s="3389"/>
      <c r="L146" s="346" t="s">
        <v>1843</v>
      </c>
      <c r="M146" s="3390"/>
      <c r="N146" s="3351"/>
      <c r="O146" s="3351"/>
      <c r="P146" s="3351"/>
      <c r="Q146" s="3391"/>
      <c r="R146" s="3391"/>
      <c r="S146" s="3392"/>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6470</v>
      </c>
      <c r="H148" s="3342"/>
      <c r="I148" s="3343"/>
      <c r="J148" s="3344"/>
      <c r="K148" s="346" t="s">
        <v>1671</v>
      </c>
      <c r="L148" s="3342"/>
      <c r="M148" s="3393"/>
      <c r="N148" s="3394"/>
      <c r="O148" s="360" t="s">
        <v>3143</v>
      </c>
      <c r="P148" s="345"/>
      <c r="Q148" s="3340"/>
      <c r="R148" s="3395"/>
      <c r="S148" s="3396"/>
      <c r="Z148" s="2246">
        <v>148</v>
      </c>
    </row>
    <row r="149" spans="1:26" s="315" customFormat="1" ht="11.25" customHeight="1">
      <c r="D149" s="344"/>
      <c r="E149" s="2074" t="s">
        <v>6227</v>
      </c>
      <c r="F149" s="328"/>
      <c r="H149" s="3328"/>
      <c r="I149" s="3381"/>
      <c r="J149" s="3382"/>
      <c r="K149" s="3383"/>
      <c r="L149" s="3381"/>
      <c r="M149" s="3381"/>
      <c r="N149" s="3384"/>
      <c r="O149" s="360" t="s">
        <v>575</v>
      </c>
      <c r="P149" s="345"/>
      <c r="Q149" s="3385"/>
      <c r="R149" s="3386"/>
      <c r="S149" s="3387"/>
      <c r="Z149" s="2246">
        <v>149</v>
      </c>
    </row>
    <row r="150" spans="1:26" s="315" customFormat="1" ht="11.25" customHeight="1">
      <c r="D150" s="344"/>
      <c r="E150" s="2074" t="s">
        <v>1672</v>
      </c>
      <c r="H150" s="1594"/>
      <c r="I150" s="861" t="s">
        <v>2062</v>
      </c>
      <c r="J150" s="3388"/>
      <c r="K150" s="3389"/>
      <c r="L150" s="346" t="s">
        <v>1843</v>
      </c>
      <c r="M150" s="3390"/>
      <c r="N150" s="3351"/>
      <c r="O150" s="3351"/>
      <c r="P150" s="3351"/>
      <c r="Q150" s="3391"/>
      <c r="R150" s="3391"/>
      <c r="S150" s="3392"/>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3883</v>
      </c>
      <c r="H152" s="620"/>
      <c r="I152" s="620"/>
      <c r="J152" s="620"/>
      <c r="K152" s="620"/>
      <c r="L152" s="620"/>
      <c r="M152" s="620"/>
      <c r="N152" s="620"/>
      <c r="O152" s="620"/>
      <c r="P152" s="620"/>
      <c r="Q152" s="620"/>
      <c r="R152" s="620"/>
      <c r="S152" s="620"/>
      <c r="Z152" s="2246">
        <v>152</v>
      </c>
    </row>
    <row r="153" spans="1:26" ht="14" thickBot="1">
      <c r="A153" s="3397" t="s">
        <v>3298</v>
      </c>
      <c r="B153" s="3397"/>
      <c r="C153" s="3397"/>
      <c r="D153" s="3397"/>
      <c r="E153" s="3397"/>
      <c r="H153" s="1598" t="s">
        <v>2309</v>
      </c>
      <c r="I153" s="3375" t="s">
        <v>6521</v>
      </c>
      <c r="J153" s="3376"/>
      <c r="K153" s="3376"/>
      <c r="L153" s="3376"/>
      <c r="M153" s="3376"/>
      <c r="N153" s="3376"/>
      <c r="O153" s="3376"/>
      <c r="P153" s="3376"/>
      <c r="Q153" s="3376"/>
      <c r="R153" s="3376"/>
      <c r="S153" s="3377"/>
      <c r="Z153" s="2246">
        <v>153</v>
      </c>
    </row>
    <row r="154" spans="1:26" s="315" customFormat="1" ht="15" customHeight="1" thickBot="1">
      <c r="B154" s="2218" t="s">
        <v>1845</v>
      </c>
      <c r="C154" s="339" t="s">
        <v>2522</v>
      </c>
      <c r="E154" s="339"/>
      <c r="H154" s="1539" t="s">
        <v>3841</v>
      </c>
      <c r="I154" s="3483"/>
      <c r="J154" s="3402"/>
      <c r="K154" s="3402"/>
      <c r="L154" s="3402"/>
      <c r="M154" s="3402"/>
      <c r="N154" s="3402"/>
      <c r="O154" s="3402"/>
      <c r="P154" s="3402"/>
      <c r="Q154" s="3402"/>
      <c r="R154" s="3402"/>
      <c r="S154" s="3404"/>
      <c r="U154" s="3299" t="s">
        <v>1884</v>
      </c>
      <c r="V154" s="3299"/>
      <c r="Z154" s="2246">
        <v>154</v>
      </c>
    </row>
    <row r="155" spans="1:26" s="315" customFormat="1" ht="15" customHeight="1" thickBot="1">
      <c r="B155" s="616" t="s">
        <v>1847</v>
      </c>
      <c r="C155" s="511" t="s">
        <v>6225</v>
      </c>
      <c r="E155" s="339"/>
      <c r="H155" s="1539" t="s">
        <v>3841</v>
      </c>
      <c r="I155" s="3482"/>
      <c r="J155" s="3409"/>
      <c r="K155" s="3409"/>
      <c r="L155" s="3409"/>
      <c r="M155" s="3409"/>
      <c r="N155" s="3409"/>
      <c r="O155" s="3409"/>
      <c r="P155" s="3409"/>
      <c r="Q155" s="3409"/>
      <c r="R155" s="3409"/>
      <c r="S155" s="3411"/>
      <c r="U155" s="3299"/>
      <c r="V155" s="3299"/>
      <c r="Z155" s="2245">
        <v>155</v>
      </c>
    </row>
    <row r="156" spans="1:26" s="315" customFormat="1" ht="15" customHeight="1" thickBot="1">
      <c r="B156" s="616" t="s">
        <v>2333</v>
      </c>
      <c r="C156" s="511" t="s">
        <v>2558</v>
      </c>
      <c r="E156" s="339"/>
      <c r="H156" s="1539" t="s">
        <v>3841</v>
      </c>
      <c r="I156" s="3482"/>
      <c r="J156" s="3409"/>
      <c r="K156" s="3409"/>
      <c r="L156" s="3409"/>
      <c r="M156" s="3409"/>
      <c r="N156" s="3409"/>
      <c r="O156" s="3409"/>
      <c r="P156" s="3409"/>
      <c r="Q156" s="3409"/>
      <c r="R156" s="3409"/>
      <c r="S156" s="3411"/>
      <c r="U156" s="3299"/>
      <c r="V156" s="3299"/>
      <c r="Z156" s="2246">
        <v>156</v>
      </c>
    </row>
    <row r="157" spans="1:26" s="315" customFormat="1" ht="15" customHeight="1" thickBot="1">
      <c r="B157" s="616" t="s">
        <v>1151</v>
      </c>
      <c r="C157" s="511" t="s">
        <v>2523</v>
      </c>
      <c r="E157" s="339"/>
      <c r="H157" s="1539" t="s">
        <v>3841</v>
      </c>
      <c r="I157" s="3482"/>
      <c r="J157" s="3409"/>
      <c r="K157" s="3409"/>
      <c r="L157" s="3409"/>
      <c r="M157" s="3409"/>
      <c r="N157" s="3409"/>
      <c r="O157" s="3409"/>
      <c r="P157" s="3409"/>
      <c r="Q157" s="3409"/>
      <c r="R157" s="3409"/>
      <c r="S157" s="3411"/>
      <c r="U157" s="3299"/>
      <c r="V157" s="3299"/>
      <c r="Z157" s="2246">
        <v>157</v>
      </c>
    </row>
    <row r="158" spans="1:26" s="315" customFormat="1" ht="15" customHeight="1" thickBot="1">
      <c r="B158" s="616" t="s">
        <v>1152</v>
      </c>
      <c r="C158" s="511" t="s">
        <v>3077</v>
      </c>
      <c r="E158" s="339"/>
      <c r="H158" s="1539" t="s">
        <v>3841</v>
      </c>
      <c r="I158" s="3482"/>
      <c r="J158" s="3409"/>
      <c r="K158" s="3409"/>
      <c r="L158" s="3409"/>
      <c r="M158" s="3409"/>
      <c r="N158" s="3409"/>
      <c r="O158" s="3409"/>
      <c r="P158" s="3409"/>
      <c r="Q158" s="3409"/>
      <c r="R158" s="3409"/>
      <c r="S158" s="3411"/>
      <c r="U158" s="3299"/>
      <c r="V158" s="3299"/>
      <c r="Z158" s="2246">
        <v>158</v>
      </c>
    </row>
    <row r="159" spans="1:26" s="315" customFormat="1" ht="15" customHeight="1" thickBot="1">
      <c r="B159" s="616" t="s">
        <v>1742</v>
      </c>
      <c r="C159" s="511" t="s">
        <v>3078</v>
      </c>
      <c r="E159" s="339"/>
      <c r="H159" s="1539" t="s">
        <v>3841</v>
      </c>
      <c r="I159" s="3482"/>
      <c r="J159" s="3409"/>
      <c r="K159" s="3409"/>
      <c r="L159" s="3409"/>
      <c r="M159" s="3409"/>
      <c r="N159" s="3409"/>
      <c r="O159" s="3409"/>
      <c r="P159" s="3409"/>
      <c r="Q159" s="3409"/>
      <c r="R159" s="3409"/>
      <c r="S159" s="3411"/>
      <c r="U159" s="3299"/>
      <c r="V159" s="3299"/>
      <c r="Z159" s="2246">
        <v>159</v>
      </c>
    </row>
    <row r="160" spans="1:26" s="315" customFormat="1" ht="15" customHeight="1" thickBot="1">
      <c r="B160" s="616" t="s">
        <v>473</v>
      </c>
      <c r="C160" s="511" t="s">
        <v>2524</v>
      </c>
      <c r="E160" s="339"/>
      <c r="H160" s="1539" t="s">
        <v>3841</v>
      </c>
      <c r="I160" s="3482"/>
      <c r="J160" s="3409"/>
      <c r="K160" s="3409"/>
      <c r="L160" s="3409"/>
      <c r="M160" s="3409"/>
      <c r="N160" s="3409"/>
      <c r="O160" s="3409"/>
      <c r="P160" s="3409"/>
      <c r="Q160" s="3409"/>
      <c r="R160" s="3409"/>
      <c r="S160" s="3411"/>
      <c r="Z160" s="2246">
        <v>160</v>
      </c>
    </row>
    <row r="161" spans="1:26" s="315" customFormat="1" ht="15" customHeight="1" thickBot="1">
      <c r="B161" s="616" t="s">
        <v>474</v>
      </c>
      <c r="C161" s="511" t="s">
        <v>3892</v>
      </c>
      <c r="E161" s="339"/>
      <c r="H161" s="1539" t="s">
        <v>3841</v>
      </c>
      <c r="I161" s="3482"/>
      <c r="J161" s="3409"/>
      <c r="K161" s="3409"/>
      <c r="L161" s="3409"/>
      <c r="M161" s="3409"/>
      <c r="N161" s="3409"/>
      <c r="O161" s="3409"/>
      <c r="P161" s="3409"/>
      <c r="Q161" s="3409"/>
      <c r="R161" s="3409"/>
      <c r="S161" s="3411"/>
      <c r="Z161" s="2246">
        <v>161</v>
      </c>
    </row>
    <row r="162" spans="1:26" s="315" customFormat="1" ht="15" customHeight="1" thickBot="1">
      <c r="B162" s="616" t="s">
        <v>3891</v>
      </c>
      <c r="C162" s="3378" t="s">
        <v>6476</v>
      </c>
      <c r="D162" s="3379"/>
      <c r="E162" s="3379"/>
      <c r="F162" s="3379"/>
      <c r="G162" s="3380"/>
      <c r="H162" s="1539" t="s">
        <v>3841</v>
      </c>
      <c r="I162" s="3481"/>
      <c r="J162" s="3448"/>
      <c r="K162" s="3448"/>
      <c r="L162" s="3448"/>
      <c r="M162" s="3448"/>
      <c r="N162" s="3448"/>
      <c r="O162" s="3448"/>
      <c r="P162" s="3448"/>
      <c r="Q162" s="3448"/>
      <c r="R162" s="3448"/>
      <c r="S162" s="3450"/>
      <c r="Z162" s="2246">
        <v>162</v>
      </c>
    </row>
    <row r="163" spans="1:26" s="315" customFormat="1" ht="13.2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25" customHeight="1">
      <c r="B165" s="317" t="s">
        <v>698</v>
      </c>
      <c r="C165" s="317" t="s">
        <v>3884</v>
      </c>
      <c r="Z165" s="2246">
        <v>165</v>
      </c>
    </row>
    <row r="166" spans="1:26" s="315" customFormat="1" ht="12.75" customHeight="1">
      <c r="A166" s="3412" t="s">
        <v>594</v>
      </c>
      <c r="B166" s="3413"/>
      <c r="C166" s="3413"/>
      <c r="D166" s="3413"/>
      <c r="E166" s="3418" t="s">
        <v>3066</v>
      </c>
      <c r="F166" s="3419"/>
      <c r="G166" s="3419"/>
      <c r="H166" s="3419"/>
      <c r="I166" s="3420"/>
      <c r="J166" s="3424" t="s">
        <v>3067</v>
      </c>
      <c r="K166" s="3427" t="s">
        <v>2580</v>
      </c>
      <c r="L166" s="3427" t="s">
        <v>2581</v>
      </c>
      <c r="M166" s="3430" t="s">
        <v>6477</v>
      </c>
      <c r="N166" s="3431"/>
      <c r="O166" s="3431"/>
      <c r="P166" s="3431"/>
      <c r="Q166" s="3431"/>
      <c r="R166" s="3431"/>
      <c r="S166" s="3432"/>
      <c r="Z166" s="2246">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6">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6">
        <v>168</v>
      </c>
    </row>
    <row r="169" spans="1:26" s="315" customFormat="1" ht="12.75" customHeight="1">
      <c r="A169" s="3414"/>
      <c r="B169" s="3415"/>
      <c r="C169" s="3415"/>
      <c r="D169" s="3415"/>
      <c r="E169" s="3436" t="s">
        <v>3219</v>
      </c>
      <c r="F169" s="3437"/>
      <c r="G169" s="3437"/>
      <c r="H169" s="3438"/>
      <c r="I169" s="621"/>
      <c r="J169" s="3425"/>
      <c r="K169" s="3428"/>
      <c r="L169" s="3428"/>
      <c r="M169" s="3433"/>
      <c r="N169" s="3434"/>
      <c r="O169" s="3434"/>
      <c r="P169" s="3434"/>
      <c r="Q169" s="3434"/>
      <c r="R169" s="3434"/>
      <c r="S169" s="3435"/>
      <c r="Z169" s="2246">
        <v>169</v>
      </c>
    </row>
    <row r="170" spans="1:26" s="315" customFormat="1" ht="13.5" customHeight="1">
      <c r="A170" s="3416"/>
      <c r="B170" s="3417"/>
      <c r="C170" s="3417"/>
      <c r="D170" s="3417"/>
      <c r="E170" s="3439"/>
      <c r="F170" s="3440"/>
      <c r="G170" s="3440"/>
      <c r="H170" s="3441"/>
      <c r="I170" s="1540" t="s">
        <v>2309</v>
      </c>
      <c r="J170" s="3426"/>
      <c r="K170" s="3429"/>
      <c r="L170" s="3428"/>
      <c r="M170" s="1541" t="s">
        <v>2309</v>
      </c>
      <c r="N170" s="3442" t="s">
        <v>2579</v>
      </c>
      <c r="O170" s="3442"/>
      <c r="P170" s="3442"/>
      <c r="Q170" s="3442"/>
      <c r="R170" s="3442"/>
      <c r="S170" s="3443"/>
      <c r="Z170" s="2246">
        <v>170</v>
      </c>
    </row>
    <row r="171" spans="1:26" s="315" customFormat="1" ht="23.25" customHeight="1">
      <c r="A171" s="3398" t="s">
        <v>3061</v>
      </c>
      <c r="B171" s="3399"/>
      <c r="C171" s="3399"/>
      <c r="D171" s="3400"/>
      <c r="E171" s="3401"/>
      <c r="F171" s="3402"/>
      <c r="G171" s="3402"/>
      <c r="H171" s="3402"/>
      <c r="I171" s="828" t="s">
        <v>3841</v>
      </c>
      <c r="J171" s="617" t="s">
        <v>3841</v>
      </c>
      <c r="K171" s="622"/>
      <c r="L171" s="831"/>
      <c r="M171" s="623" t="s">
        <v>3841</v>
      </c>
      <c r="N171" s="3403"/>
      <c r="O171" s="3402"/>
      <c r="P171" s="3402"/>
      <c r="Q171" s="3402"/>
      <c r="R171" s="3402"/>
      <c r="S171" s="3404"/>
      <c r="Z171" s="2245">
        <v>171</v>
      </c>
    </row>
    <row r="172" spans="1:26" s="315" customFormat="1" ht="23.25" customHeight="1">
      <c r="A172" s="3405" t="s">
        <v>3062</v>
      </c>
      <c r="B172" s="3406"/>
      <c r="C172" s="3406"/>
      <c r="D172" s="3407"/>
      <c r="E172" s="3408"/>
      <c r="F172" s="3409"/>
      <c r="G172" s="3409"/>
      <c r="H172" s="3409"/>
      <c r="I172" s="829" t="s">
        <v>3841</v>
      </c>
      <c r="J172" s="618" t="s">
        <v>3841</v>
      </c>
      <c r="K172" s="624"/>
      <c r="L172" s="832"/>
      <c r="M172" s="625" t="s">
        <v>3841</v>
      </c>
      <c r="N172" s="3410"/>
      <c r="O172" s="3409"/>
      <c r="P172" s="3409"/>
      <c r="Q172" s="3409"/>
      <c r="R172" s="3409"/>
      <c r="S172" s="3411"/>
      <c r="U172" s="3299" t="s">
        <v>1884</v>
      </c>
      <c r="V172" s="3299"/>
      <c r="Z172" s="2246">
        <v>172</v>
      </c>
    </row>
    <row r="173" spans="1:26" s="315" customFormat="1" ht="23.25" customHeight="1">
      <c r="A173" s="3405" t="s">
        <v>3063</v>
      </c>
      <c r="B173" s="3406"/>
      <c r="C173" s="3406"/>
      <c r="D173" s="3407"/>
      <c r="E173" s="3408"/>
      <c r="F173" s="3409"/>
      <c r="G173" s="3409"/>
      <c r="H173" s="3409"/>
      <c r="I173" s="829" t="s">
        <v>3841</v>
      </c>
      <c r="J173" s="618" t="s">
        <v>3841</v>
      </c>
      <c r="K173" s="624"/>
      <c r="L173" s="832"/>
      <c r="M173" s="625" t="s">
        <v>3841</v>
      </c>
      <c r="N173" s="3410"/>
      <c r="O173" s="3409"/>
      <c r="P173" s="3409"/>
      <c r="Q173" s="3409"/>
      <c r="R173" s="3409"/>
      <c r="S173" s="3411"/>
      <c r="U173" s="3299"/>
      <c r="V173" s="3299"/>
      <c r="Z173" s="2246">
        <v>173</v>
      </c>
    </row>
    <row r="174" spans="1:26" s="315" customFormat="1" ht="23.25" customHeight="1">
      <c r="A174" s="3405" t="s">
        <v>3064</v>
      </c>
      <c r="B174" s="3406"/>
      <c r="C174" s="3406"/>
      <c r="D174" s="3407"/>
      <c r="E174" s="3408"/>
      <c r="F174" s="3409"/>
      <c r="G174" s="3409"/>
      <c r="H174" s="3409"/>
      <c r="I174" s="829" t="s">
        <v>3841</v>
      </c>
      <c r="J174" s="618" t="s">
        <v>3841</v>
      </c>
      <c r="K174" s="624"/>
      <c r="L174" s="832"/>
      <c r="M174" s="625" t="s">
        <v>3841</v>
      </c>
      <c r="N174" s="3410"/>
      <c r="O174" s="3409"/>
      <c r="P174" s="3409"/>
      <c r="Q174" s="3409"/>
      <c r="R174" s="3409"/>
      <c r="S174" s="3411"/>
      <c r="U174" s="3299"/>
      <c r="V174" s="3299"/>
      <c r="Z174" s="2246">
        <v>174</v>
      </c>
    </row>
    <row r="175" spans="1:26" s="315" customFormat="1" ht="23.25" customHeight="1">
      <c r="A175" s="3405" t="s">
        <v>3065</v>
      </c>
      <c r="B175" s="3406"/>
      <c r="C175" s="3406"/>
      <c r="D175" s="3407"/>
      <c r="E175" s="3408"/>
      <c r="F175" s="3409"/>
      <c r="G175" s="3409"/>
      <c r="H175" s="3409"/>
      <c r="I175" s="829" t="s">
        <v>3841</v>
      </c>
      <c r="J175" s="618" t="s">
        <v>3841</v>
      </c>
      <c r="K175" s="624"/>
      <c r="L175" s="832"/>
      <c r="M175" s="625" t="s">
        <v>3841</v>
      </c>
      <c r="N175" s="3410"/>
      <c r="O175" s="3409"/>
      <c r="P175" s="3409"/>
      <c r="Q175" s="3409"/>
      <c r="R175" s="3409"/>
      <c r="S175" s="3411"/>
      <c r="U175" s="3299"/>
      <c r="V175" s="3299"/>
      <c r="Z175" s="2246">
        <v>175</v>
      </c>
    </row>
    <row r="176" spans="1:26" s="315" customFormat="1" ht="23.25" customHeight="1">
      <c r="A176" s="3405" t="s">
        <v>2570</v>
      </c>
      <c r="B176" s="3406"/>
      <c r="C176" s="3406"/>
      <c r="D176" s="3407"/>
      <c r="E176" s="3408"/>
      <c r="F176" s="3409"/>
      <c r="G176" s="3409"/>
      <c r="H176" s="3409"/>
      <c r="I176" s="829" t="s">
        <v>3841</v>
      </c>
      <c r="J176" s="618" t="s">
        <v>3841</v>
      </c>
      <c r="K176" s="624"/>
      <c r="L176" s="832"/>
      <c r="M176" s="625" t="s">
        <v>3841</v>
      </c>
      <c r="N176" s="3410"/>
      <c r="O176" s="3409"/>
      <c r="P176" s="3409"/>
      <c r="Q176" s="3409"/>
      <c r="R176" s="3409"/>
      <c r="S176" s="3411"/>
      <c r="U176" s="3299"/>
      <c r="V176" s="3299"/>
      <c r="Z176" s="2246">
        <v>176</v>
      </c>
    </row>
    <row r="177" spans="1:26" s="315" customFormat="1" ht="23.25" customHeight="1">
      <c r="A177" s="3405" t="s">
        <v>607</v>
      </c>
      <c r="B177" s="3406"/>
      <c r="C177" s="3406"/>
      <c r="D177" s="3407"/>
      <c r="E177" s="3408"/>
      <c r="F177" s="3409"/>
      <c r="G177" s="3409"/>
      <c r="H177" s="3409"/>
      <c r="I177" s="829" t="s">
        <v>3841</v>
      </c>
      <c r="J177" s="618" t="s">
        <v>3841</v>
      </c>
      <c r="K177" s="624"/>
      <c r="L177" s="832"/>
      <c r="M177" s="625" t="s">
        <v>3841</v>
      </c>
      <c r="N177" s="3410"/>
      <c r="O177" s="3409"/>
      <c r="P177" s="3409"/>
      <c r="Q177" s="3409"/>
      <c r="R177" s="3409"/>
      <c r="S177" s="3411"/>
      <c r="U177" s="3299"/>
      <c r="V177" s="3299"/>
      <c r="Z177" s="2246">
        <v>177</v>
      </c>
    </row>
    <row r="178" spans="1:26" s="315" customFormat="1" ht="23.25" customHeight="1">
      <c r="A178" s="3405" t="s">
        <v>2571</v>
      </c>
      <c r="B178" s="3406"/>
      <c r="C178" s="3406"/>
      <c r="D178" s="3407"/>
      <c r="E178" s="3408"/>
      <c r="F178" s="3409"/>
      <c r="G178" s="3409"/>
      <c r="H178" s="3409"/>
      <c r="I178" s="829" t="s">
        <v>3841</v>
      </c>
      <c r="J178" s="618" t="s">
        <v>3841</v>
      </c>
      <c r="K178" s="624"/>
      <c r="L178" s="832"/>
      <c r="M178" s="625" t="s">
        <v>3841</v>
      </c>
      <c r="N178" s="3410"/>
      <c r="O178" s="3409"/>
      <c r="P178" s="3409"/>
      <c r="Q178" s="3409"/>
      <c r="R178" s="3409"/>
      <c r="S178" s="3411"/>
      <c r="Z178" s="2245">
        <v>178</v>
      </c>
    </row>
    <row r="179" spans="1:26" s="315" customFormat="1" ht="23.25" customHeight="1">
      <c r="A179" s="3405" t="s">
        <v>2572</v>
      </c>
      <c r="B179" s="3406"/>
      <c r="C179" s="3406"/>
      <c r="D179" s="3407"/>
      <c r="E179" s="3408"/>
      <c r="F179" s="3409"/>
      <c r="G179" s="3409"/>
      <c r="H179" s="3409"/>
      <c r="I179" s="829" t="s">
        <v>3841</v>
      </c>
      <c r="J179" s="618" t="s">
        <v>3841</v>
      </c>
      <c r="K179" s="624"/>
      <c r="L179" s="832"/>
      <c r="M179" s="625" t="s">
        <v>3841</v>
      </c>
      <c r="N179" s="3410"/>
      <c r="O179" s="3409"/>
      <c r="P179" s="3409"/>
      <c r="Q179" s="3409"/>
      <c r="R179" s="3409"/>
      <c r="S179" s="3411"/>
      <c r="Z179" s="2246">
        <v>179</v>
      </c>
    </row>
    <row r="180" spans="1:26" s="315" customFormat="1" ht="23.25" customHeight="1">
      <c r="A180" s="3405" t="s">
        <v>2574</v>
      </c>
      <c r="B180" s="3406"/>
      <c r="C180" s="3406"/>
      <c r="D180" s="3407"/>
      <c r="E180" s="3408"/>
      <c r="F180" s="3409"/>
      <c r="G180" s="3409"/>
      <c r="H180" s="3409"/>
      <c r="I180" s="829" t="s">
        <v>3841</v>
      </c>
      <c r="J180" s="618" t="s">
        <v>3841</v>
      </c>
      <c r="K180" s="624"/>
      <c r="L180" s="832"/>
      <c r="M180" s="625" t="s">
        <v>3841</v>
      </c>
      <c r="N180" s="3410"/>
      <c r="O180" s="3409"/>
      <c r="P180" s="3409"/>
      <c r="Q180" s="3409"/>
      <c r="R180" s="3409"/>
      <c r="S180" s="3411"/>
      <c r="Z180" s="2246">
        <v>180</v>
      </c>
    </row>
    <row r="181" spans="1:26" s="315" customFormat="1" ht="23.25" customHeight="1">
      <c r="A181" s="3405" t="s">
        <v>2573</v>
      </c>
      <c r="B181" s="3406"/>
      <c r="C181" s="3406"/>
      <c r="D181" s="3407"/>
      <c r="E181" s="3408"/>
      <c r="F181" s="3409"/>
      <c r="G181" s="3409"/>
      <c r="H181" s="3409"/>
      <c r="I181" s="829" t="s">
        <v>3841</v>
      </c>
      <c r="J181" s="618" t="s">
        <v>3841</v>
      </c>
      <c r="K181" s="624"/>
      <c r="L181" s="832"/>
      <c r="M181" s="625" t="s">
        <v>3841</v>
      </c>
      <c r="N181" s="3410"/>
      <c r="O181" s="3409"/>
      <c r="P181" s="3409"/>
      <c r="Q181" s="3409"/>
      <c r="R181" s="3409"/>
      <c r="S181" s="3411"/>
      <c r="Z181" s="2246">
        <v>181</v>
      </c>
    </row>
    <row r="182" spans="1:26" s="315" customFormat="1" ht="23.25" customHeight="1">
      <c r="A182" s="3405" t="s">
        <v>1432</v>
      </c>
      <c r="B182" s="3406"/>
      <c r="C182" s="3406"/>
      <c r="D182" s="3407"/>
      <c r="E182" s="3408"/>
      <c r="F182" s="3409"/>
      <c r="G182" s="3409"/>
      <c r="H182" s="3409"/>
      <c r="I182" s="829" t="s">
        <v>3841</v>
      </c>
      <c r="J182" s="618" t="s">
        <v>3841</v>
      </c>
      <c r="K182" s="624"/>
      <c r="L182" s="832"/>
      <c r="M182" s="625" t="s">
        <v>3841</v>
      </c>
      <c r="N182" s="3410"/>
      <c r="O182" s="3409"/>
      <c r="P182" s="3409"/>
      <c r="Q182" s="3409"/>
      <c r="R182" s="3409"/>
      <c r="S182" s="3411"/>
      <c r="Z182" s="2246">
        <v>182</v>
      </c>
    </row>
    <row r="183" spans="1:26" s="315" customFormat="1" ht="23.25" customHeight="1">
      <c r="A183" s="3444" t="s">
        <v>2575</v>
      </c>
      <c r="B183" s="3445"/>
      <c r="C183" s="3445"/>
      <c r="D183" s="3446"/>
      <c r="E183" s="3447"/>
      <c r="F183" s="3448"/>
      <c r="G183" s="3448"/>
      <c r="H183" s="3448"/>
      <c r="I183" s="830" t="s">
        <v>3841</v>
      </c>
      <c r="J183" s="619" t="s">
        <v>3841</v>
      </c>
      <c r="K183" s="626"/>
      <c r="L183" s="833"/>
      <c r="M183" s="627" t="s">
        <v>3841</v>
      </c>
      <c r="N183" s="3449"/>
      <c r="O183" s="3448"/>
      <c r="P183" s="3448"/>
      <c r="Q183" s="3448"/>
      <c r="R183" s="3448"/>
      <c r="S183" s="3450"/>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baseColWidth="10" defaultColWidth="9.1640625" defaultRowHeight="13"/>
  <cols>
    <col min="1" max="8" width="9.33203125" style="2751" bestFit="1" customWidth="1"/>
    <col min="9" max="9" width="14.5" style="2751" bestFit="1" customWidth="1"/>
    <col min="10" max="10" width="9.33203125" style="2751" bestFit="1" customWidth="1"/>
    <col min="11" max="11" width="12.1640625" style="2751" bestFit="1" customWidth="1"/>
    <col min="12" max="20" width="9.33203125" style="2751" bestFit="1" customWidth="1"/>
    <col min="21" max="21" width="9.1640625" style="2751"/>
    <col min="22" max="22" width="9.33203125" style="2751" bestFit="1" customWidth="1"/>
    <col min="23" max="23" width="9.1640625" style="2751"/>
    <col min="24" max="359" width="9.33203125" style="2751" bestFit="1" customWidth="1"/>
    <col min="360" max="16384" width="9.1640625" style="2751"/>
  </cols>
  <sheetData>
    <row r="1" spans="1:26" s="652" customFormat="1" ht="15" customHeight="1">
      <c r="A1" s="2674" t="s">
        <v>916</v>
      </c>
    </row>
    <row r="2" spans="1:26" s="652" customFormat="1" ht="15" customHeight="1">
      <c r="A2" s="2675" t="str">
        <f>'Project Narrative'!A2</f>
        <v>Cave Spring Townhomes</v>
      </c>
    </row>
    <row r="3" spans="1:26" s="652" customFormat="1" ht="15" customHeight="1">
      <c r="A3" s="2676" t="str">
        <f>CONCATENATE('Part I-Project Identification'!F30,", ", 'Part I-Project Identification'!J30," County")</f>
        <v>Cave Spring, Floyd County</v>
      </c>
    </row>
    <row r="4" spans="1:26" s="652" customFormat="1" ht="12" customHeight="1"/>
    <row r="5" spans="1:26" s="652" customFormat="1" ht="16">
      <c r="A5" s="2677" t="str">
        <f>'Project Narrative'!A5</f>
        <v xml:space="preserve">&lt;&lt; Enter paragraphs here.  Press and hold Alt-Enter to start new paragraphs. Please do NOT use space lines between paragraphs - use indentation instead.&gt;&gt; </v>
      </c>
      <c r="B5" s="2678" t="s">
        <v>3898</v>
      </c>
      <c r="C5" s="2679"/>
      <c r="D5" s="2679"/>
      <c r="E5" s="2679"/>
      <c r="F5" s="2679"/>
    </row>
    <row r="6" spans="1:26" s="652" customFormat="1" ht="6.5" customHeight="1">
      <c r="A6" s="2680"/>
      <c r="B6" s="2679"/>
      <c r="C6" s="2679"/>
      <c r="D6" s="2679"/>
      <c r="E6" s="2679"/>
      <c r="F6" s="2679"/>
    </row>
    <row r="7" spans="1:26" s="652" customFormat="1" ht="16">
      <c r="A7" s="2680"/>
      <c r="B7" s="2679"/>
      <c r="C7" s="2679"/>
      <c r="D7" s="2679"/>
      <c r="E7" s="2679"/>
      <c r="F7" s="2679"/>
    </row>
    <row r="8" spans="1:26" s="652" customFormat="1">
      <c r="A8" s="2680"/>
    </row>
    <row r="9" spans="1:26" s="2681" customFormat="1" ht="14" customHeight="1">
      <c r="A9" s="2681" t="str">
        <f>CONCATENATE("PART ONE - PROJECT INFORMATION"," - ",$O$7," ",$F$29,", ",'Part I-Project Identification'!F37,", ",'Part I-Project Identification'!J37," County")</f>
        <v>PART ONE - PROJECT INFORMATION -  326 West 9th Street,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4">
      <c r="A11" s="2681" t="s">
        <v>6817</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6818</v>
      </c>
      <c r="L13" s="2682"/>
      <c r="P13" s="2687" t="s">
        <v>3292</v>
      </c>
      <c r="Z13" s="2682">
        <v>6</v>
      </c>
    </row>
    <row r="14" spans="1:26" s="2681" customFormat="1" ht="12" customHeight="1">
      <c r="A14" s="2685"/>
      <c r="B14" s="2685"/>
      <c r="C14" s="2685"/>
      <c r="D14" s="2685"/>
      <c r="E14" s="2688"/>
      <c r="F14" s="2682"/>
      <c r="G14" s="2686" t="s">
        <v>6819</v>
      </c>
      <c r="H14" s="2682"/>
      <c r="I14" s="2682"/>
      <c r="J14" s="2682"/>
      <c r="O14" s="2689" t="str">
        <f>'Part I-Project Identification'!O7</f>
        <v>2022-0</v>
      </c>
      <c r="P14" s="2689"/>
      <c r="Q14" s="2690" t="s">
        <v>6642</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25" customHeight="1">
      <c r="A17" s="2681" t="s">
        <v>573</v>
      </c>
      <c r="B17" s="2681" t="s">
        <v>2193</v>
      </c>
      <c r="D17" s="2693"/>
      <c r="E17" s="2682"/>
      <c r="F17" s="2694" t="s">
        <v>3268</v>
      </c>
      <c r="I17" s="2695">
        <f>'Part III-A-Uses of Funds'!$J$191</f>
        <v>1035000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25" customHeight="1">
      <c r="A19" s="2694" t="s">
        <v>689</v>
      </c>
      <c r="B19" s="2681" t="s">
        <v>1892</v>
      </c>
      <c r="F19" s="2698" t="str">
        <f>'Part I-Project Identification'!F12</f>
        <v>9% Credit Competitive Round only</v>
      </c>
      <c r="G19" s="2698"/>
      <c r="H19" s="2698"/>
      <c r="I19" s="2699" t="s">
        <v>6820</v>
      </c>
      <c r="J19" s="2681" t="s">
        <v>6821</v>
      </c>
      <c r="L19" s="2682"/>
      <c r="O19" s="2689" t="str">
        <f>'Part I-Project Identification'!O12</f>
        <v>2022PA-038</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3673</v>
      </c>
      <c r="D21" s="2701"/>
      <c r="E21" s="2697"/>
      <c r="G21" s="2697"/>
      <c r="H21" s="2697"/>
      <c r="I21" s="2697"/>
      <c r="L21" s="2703"/>
      <c r="Q21" s="2691"/>
      <c r="R21" s="2691"/>
      <c r="S21" s="2691"/>
      <c r="Z21" s="2682">
        <v>14</v>
      </c>
    </row>
    <row r="22" spans="1:26" s="2702" customFormat="1" ht="12.75" customHeight="1">
      <c r="B22" s="2702" t="s">
        <v>3297</v>
      </c>
      <c r="F22" s="2689" t="str">
        <f>'Part I-Project Identification'!F15</f>
        <v>Northwest Georgia Housing Authority</v>
      </c>
      <c r="G22" s="2689"/>
      <c r="H22" s="2689"/>
      <c r="I22" s="2702" t="s">
        <v>1671</v>
      </c>
      <c r="J22" s="2689" t="str">
        <f>'Part I-Project Identification'!J15</f>
        <v>Sandra Hudson</v>
      </c>
      <c r="K22" s="2689"/>
      <c r="L22" s="2689"/>
      <c r="M22" s="2701" t="s">
        <v>1839</v>
      </c>
      <c r="N22" s="2689" t="str">
        <f>'Part I-Project Identification'!N15</f>
        <v>Executive Director</v>
      </c>
      <c r="O22" s="2689"/>
      <c r="P22" s="2689"/>
      <c r="Q22" s="2691"/>
      <c r="R22" s="2691"/>
      <c r="S22" s="2691"/>
      <c r="Z22" s="2682">
        <v>15</v>
      </c>
    </row>
    <row r="23" spans="1:26" s="2702" customFormat="1" ht="12.75" customHeight="1">
      <c r="B23" s="2701" t="s">
        <v>1840</v>
      </c>
      <c r="F23" s="2689" t="str">
        <f>'Part I-Project Identification'!F16</f>
        <v>326 West 9th Street</v>
      </c>
      <c r="G23" s="2689"/>
      <c r="H23" s="2689"/>
      <c r="I23" s="2689"/>
      <c r="J23" s="2689"/>
      <c r="K23" s="2689"/>
      <c r="L23" s="2689"/>
      <c r="M23" s="2704" t="s">
        <v>3296</v>
      </c>
      <c r="N23" s="2704"/>
      <c r="O23" s="2704"/>
      <c r="P23" s="2704"/>
      <c r="Q23" s="2691"/>
      <c r="R23" s="2691"/>
      <c r="S23" s="2691"/>
      <c r="Z23" s="2682">
        <v>16</v>
      </c>
    </row>
    <row r="24" spans="1:26" s="2702" customFormat="1" ht="12.75" customHeight="1">
      <c r="B24" s="2701" t="s">
        <v>575</v>
      </c>
      <c r="F24" s="2689" t="str">
        <f>'Part I-Project Identification'!F17</f>
        <v>Rome</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301652764</v>
      </c>
      <c r="G25" s="2705"/>
      <c r="H25" s="2705"/>
      <c r="I25" s="2701" t="s">
        <v>1600</v>
      </c>
      <c r="J25" s="2706">
        <f>'Part I-Project Identification'!J18</f>
        <v>7062910780</v>
      </c>
      <c r="K25" s="2706"/>
      <c r="L25" s="2697" t="s">
        <v>1599</v>
      </c>
      <c r="M25" s="2707">
        <f>'Part I-Project Identification'!M18</f>
        <v>1100</v>
      </c>
      <c r="N25" s="2701" t="s">
        <v>1601</v>
      </c>
      <c r="O25" s="2706">
        <f>'Part I-Project Identification'!O18</f>
        <v>7063783940</v>
      </c>
      <c r="P25" s="2706"/>
      <c r="Q25" s="2691"/>
      <c r="R25" s="2691"/>
      <c r="S25" s="2691"/>
      <c r="Z25" s="2682">
        <v>18</v>
      </c>
    </row>
    <row r="26" spans="1:26" s="2702" customFormat="1" ht="12.75" customHeight="1">
      <c r="B26" s="2701" t="s">
        <v>1843</v>
      </c>
      <c r="F26" s="2689" t="str">
        <f>'Part I-Project Identification'!F19</f>
        <v>shudson@nwgha.com</v>
      </c>
      <c r="G26" s="2689"/>
      <c r="H26" s="2689"/>
      <c r="I26" s="2689"/>
      <c r="J26" s="2689"/>
      <c r="K26" s="2689"/>
      <c r="N26" s="2701" t="s">
        <v>1838</v>
      </c>
      <c r="O26" s="2706">
        <f>'Part I-Project Identification'!O19</f>
        <v>7062524635</v>
      </c>
      <c r="P26" s="2706"/>
      <c r="Q26" s="2691"/>
      <c r="R26" s="2691"/>
      <c r="S26" s="2691"/>
      <c r="Z26" s="2682">
        <v>19</v>
      </c>
    </row>
    <row r="27" spans="1:26" s="2702" customFormat="1" ht="12.75" customHeight="1">
      <c r="A27" s="2697"/>
      <c r="B27" s="2702" t="s">
        <v>3672</v>
      </c>
      <c r="C27" s="2708"/>
      <c r="H27" s="2697"/>
      <c r="J27" s="2708"/>
      <c r="P27" s="2697"/>
      <c r="Q27" s="2691"/>
      <c r="R27" s="2691"/>
      <c r="S27" s="2691"/>
      <c r="Z27" s="2682">
        <v>20</v>
      </c>
    </row>
    <row r="28" spans="1:26" s="2702" customFormat="1" ht="12.75" customHeight="1">
      <c r="B28" s="2702" t="s">
        <v>3297</v>
      </c>
      <c r="F28" s="2689" t="str">
        <f>'Part I-Project Identification'!F21</f>
        <v>Northwest Georgia Housing Authority</v>
      </c>
      <c r="G28" s="2689"/>
      <c r="H28" s="2689"/>
      <c r="I28" s="2702" t="s">
        <v>1671</v>
      </c>
      <c r="J28" s="2689" t="str">
        <f>'Part I-Project Identification'!J21</f>
        <v>Hannah Phillips</v>
      </c>
      <c r="K28" s="2689"/>
      <c r="L28" s="2689"/>
      <c r="M28" s="2701" t="s">
        <v>1839</v>
      </c>
      <c r="N28" s="2689" t="str">
        <f>'Part I-Project Identification'!N21</f>
        <v>Development Coordinator</v>
      </c>
      <c r="O28" s="2689"/>
      <c r="P28" s="2689"/>
      <c r="Q28" s="2691"/>
      <c r="R28" s="2691"/>
      <c r="S28" s="2691"/>
      <c r="Z28" s="2697">
        <v>21</v>
      </c>
    </row>
    <row r="29" spans="1:26" s="2702" customFormat="1" ht="12.75" customHeight="1">
      <c r="B29" s="2701" t="s">
        <v>1840</v>
      </c>
      <c r="F29" s="2689" t="str">
        <f>'Part I-Project Identification'!F22</f>
        <v>326 West 9th Street</v>
      </c>
      <c r="G29" s="2689"/>
      <c r="H29" s="2689"/>
      <c r="I29" s="2689"/>
      <c r="J29" s="2689"/>
      <c r="K29" s="2689"/>
      <c r="L29" s="2689"/>
      <c r="M29" s="2709" t="s">
        <v>3296</v>
      </c>
      <c r="N29" s="2709"/>
      <c r="O29" s="2709"/>
      <c r="P29" s="2709"/>
      <c r="Q29" s="2691"/>
      <c r="R29" s="2691"/>
      <c r="S29" s="2691"/>
      <c r="Z29" s="2682">
        <v>22</v>
      </c>
    </row>
    <row r="30" spans="1:26" s="2702" customFormat="1" ht="12.75" customHeight="1">
      <c r="B30" s="2701" t="s">
        <v>575</v>
      </c>
      <c r="F30" s="2689" t="str">
        <f>'Part I-Project Identification'!F23</f>
        <v>Rome</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301652764</v>
      </c>
      <c r="G31" s="2705"/>
      <c r="H31" s="2705"/>
      <c r="I31" s="2701" t="s">
        <v>1600</v>
      </c>
      <c r="J31" s="2706">
        <f>'Part I-Project Identification'!J24</f>
        <v>7062910780</v>
      </c>
      <c r="K31" s="2706"/>
      <c r="L31" s="2697" t="s">
        <v>1599</v>
      </c>
      <c r="M31" s="2707">
        <f>'Part I-Project Identification'!M24</f>
        <v>1126</v>
      </c>
      <c r="N31" s="2701" t="s">
        <v>1601</v>
      </c>
      <c r="O31" s="2706">
        <f>'Part I-Project Identification'!O24</f>
        <v>7063685726</v>
      </c>
      <c r="P31" s="2706"/>
      <c r="Q31" s="2691"/>
      <c r="R31" s="2691"/>
      <c r="S31" s="2691"/>
      <c r="Z31" s="2682">
        <v>24</v>
      </c>
    </row>
    <row r="32" spans="1:26" s="2702" customFormat="1" ht="12.75" customHeight="1">
      <c r="B32" s="2701" t="s">
        <v>1843</v>
      </c>
      <c r="F32" s="2689" t="str">
        <f>'Part I-Project Identification'!F25</f>
        <v>hphillips@nwgha.com</v>
      </c>
      <c r="G32" s="2689"/>
      <c r="H32" s="2689"/>
      <c r="I32" s="2689"/>
      <c r="J32" s="2689"/>
      <c r="K32" s="2689"/>
      <c r="N32" s="2701" t="s">
        <v>1838</v>
      </c>
      <c r="O32" s="2706">
        <f>'Part I-Project Identification'!O25</f>
        <v>7063685726</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2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25" customHeight="1">
      <c r="B36" s="2681" t="s">
        <v>574</v>
      </c>
      <c r="F36" s="2689" t="str">
        <f>'Part I-Project Identification'!F29</f>
        <v>Cave Spring Townhomes</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Cave Spring</v>
      </c>
      <c r="G37" s="2689"/>
      <c r="H37" s="2689"/>
      <c r="I37" s="2712" t="s">
        <v>576</v>
      </c>
      <c r="J37" s="2689" t="str">
        <f>'Part I-Project Identification'!J30</f>
        <v>Floyd</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3909</v>
      </c>
      <c r="C38" s="2713"/>
      <c r="D38" s="2713"/>
      <c r="E38" s="2713"/>
      <c r="F38" s="2689" t="str">
        <f>'Part I-Project Identification'!F31</f>
        <v>City Limits</v>
      </c>
      <c r="G38" s="2689"/>
      <c r="H38" s="2689"/>
      <c r="I38" s="2682"/>
      <c r="J38" s="499" t="s">
        <v>6729</v>
      </c>
      <c r="K38" s="2682"/>
      <c r="M38" s="2701" t="s">
        <v>6674</v>
      </c>
      <c r="N38" s="2702"/>
      <c r="O38" s="2689">
        <f>'Part I-Project Identification'!O31</f>
        <v>6.12</v>
      </c>
      <c r="P38" s="2714"/>
      <c r="Q38" s="2691"/>
      <c r="R38" s="2691"/>
      <c r="S38" s="2691"/>
      <c r="Z38" s="2682">
        <v>31</v>
      </c>
    </row>
    <row r="39" spans="1:26" s="2681" customFormat="1" ht="12.75" customHeight="1">
      <c r="A39" s="2682"/>
      <c r="B39" s="2681" t="s">
        <v>1456</v>
      </c>
      <c r="F39" s="2689" t="str">
        <f>'Part I-Project Identification'!F32</f>
        <v>Yes</v>
      </c>
      <c r="I39" s="2682"/>
      <c r="J39" s="2682" t="s">
        <v>2501</v>
      </c>
      <c r="K39" s="2682" t="str">
        <f>IF(F39="Yes","Rural","Urban")</f>
        <v>Rural</v>
      </c>
      <c r="M39" s="2694" t="s">
        <v>2400</v>
      </c>
      <c r="N39" s="2682" t="str">
        <f>'Part I-Project Identification'!N32</f>
        <v>MSA</v>
      </c>
      <c r="O39" s="2689" t="str">
        <f>'Part I-Project Identification'!O32</f>
        <v>Rome</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6661</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6660</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3935</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5"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6">
      <c r="A52" s="2722" t="str">
        <f>'Part I-Project Identification'!A45</f>
        <v>Northwest Georgia Housing Authority received Qualified qualification determination on April 25, 2022. There have been no changes to the project team since pre-application. All development team members are experienced in multifamily LIHTC housing. A RAD CHAP award has been issued for twenty (20) public housing units existing on the site. The remaining thirty-two (32) units currently have HUD PBRA with a HAP contract that expires in year 2041. HUD will continue to provide the PBRA to these thirty-two (32) units after new construction.</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 customHeight="1">
      <c r="A56" s="2681" t="str">
        <f>CONCATENATE("PART TWO - DEVELOPMENT TEAM INFORMATION","  -  ",'Part I-Project Identification'!$O$7," ",'Part I-Project Identification'!$F$29,", ",'Part I-Project Identification'!F84,", ",'Part I-Project Identification'!J84," County")</f>
        <v>PART TWO - DEVELOPMENT TEAM INFORMATION  -  2022-0 Cave Spring Townhomes, ,  County</v>
      </c>
      <c r="Z56" s="2682">
        <v>2</v>
      </c>
    </row>
    <row r="57" spans="1:26" s="2693" customFormat="1" ht="12" customHeight="1">
      <c r="A57" s="2694" t="s">
        <v>3659</v>
      </c>
      <c r="Z57" s="2682">
        <v>3</v>
      </c>
    </row>
    <row r="58" spans="1:26" s="2681" customFormat="1" ht="13.25" customHeight="1">
      <c r="A58" s="2681" t="s">
        <v>573</v>
      </c>
      <c r="B58" s="2694" t="s">
        <v>1722</v>
      </c>
      <c r="C58" s="2694"/>
      <c r="E58" s="2694"/>
      <c r="F58" s="2694"/>
      <c r="G58" s="2694"/>
      <c r="H58" s="2686" t="s">
        <v>3461</v>
      </c>
      <c r="O58" s="2724" t="str">
        <f>'Part I-Project Identification'!$A$6</f>
        <v>May 12 2022 Core Application</v>
      </c>
      <c r="P58" s="2724"/>
      <c r="Q58" s="2724"/>
      <c r="R58" s="2724"/>
      <c r="S58" s="2724"/>
      <c r="Z58" s="2682">
        <v>4</v>
      </c>
    </row>
    <row r="59" spans="1:26" s="2681" customFormat="1" ht="8.5"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3462</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3461</v>
      </c>
      <c r="H65" s="2728"/>
      <c r="I65" s="2689"/>
      <c r="J65" s="2689"/>
      <c r="K65" s="2698"/>
      <c r="L65" s="2689"/>
      <c r="M65" s="2689"/>
      <c r="N65" s="2689" t="s">
        <v>6795</v>
      </c>
      <c r="O65" s="2689"/>
      <c r="P65" s="2689"/>
      <c r="Q65" s="2707"/>
      <c r="R65" s="2689"/>
      <c r="S65" s="2689"/>
      <c r="T65" s="2689"/>
      <c r="Z65" s="2682">
        <v>11</v>
      </c>
    </row>
    <row r="66" spans="2:26" s="2681" customFormat="1" ht="4.25"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3462</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25"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3462</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25"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3462</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25"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3461</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3462</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25"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3462</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25"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3461</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3462</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25" customHeight="1">
      <c r="A107" s="2681" t="s">
        <v>689</v>
      </c>
      <c r="B107" s="2681" t="s">
        <v>606</v>
      </c>
      <c r="G107" s="2682"/>
      <c r="H107" s="2707"/>
      <c r="I107" s="2707"/>
      <c r="J107" s="2689"/>
      <c r="K107" s="2734" t="s">
        <v>3461</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3462</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5"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3462</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5"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3462</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5"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3462</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25" customHeight="1">
      <c r="A133" s="2694" t="s">
        <v>691</v>
      </c>
      <c r="B133" s="2694" t="s">
        <v>273</v>
      </c>
      <c r="H133" s="2726"/>
      <c r="I133" s="2726"/>
      <c r="J133" s="2726"/>
      <c r="K133" s="2734" t="s">
        <v>3461</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3462</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5"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3462</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5"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3462</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5"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3462</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3462</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5"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3462</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6753</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6822</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6227</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6823</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6227</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6796</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6227</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6824</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6227</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6797</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6227</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6825</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6227</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6798</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6227</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6799</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6227</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6800</v>
      </c>
      <c r="H206" s="2680"/>
      <c r="I206" s="2680"/>
      <c r="J206" s="2680"/>
      <c r="K206" s="2680"/>
      <c r="L206" s="2680"/>
      <c r="M206" s="2680"/>
      <c r="N206" s="2680"/>
      <c r="O206" s="2680"/>
      <c r="P206" s="2680"/>
      <c r="Q206" s="2680"/>
      <c r="R206" s="2680"/>
      <c r="S206" s="2680"/>
      <c r="Z206" s="2682">
        <v>152</v>
      </c>
    </row>
    <row r="207" spans="1:26" s="2693" customFormat="1" ht="13.5" customHeight="1">
      <c r="A207" s="2683" t="s">
        <v>3298</v>
      </c>
      <c r="B207" s="2683"/>
      <c r="C207" s="2683"/>
      <c r="D207" s="2683"/>
      <c r="E207" s="2683"/>
      <c r="H207" s="2707" t="s">
        <v>2309</v>
      </c>
      <c r="I207" s="2689" t="s">
        <v>6521</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6225</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3892</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3891</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25" customHeight="1">
      <c r="A217" s="2681" t="s">
        <v>1667</v>
      </c>
      <c r="B217" s="2681" t="s">
        <v>6826</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25" customHeight="1">
      <c r="B219" s="2681" t="s">
        <v>698</v>
      </c>
      <c r="C219" s="2681" t="s">
        <v>6801</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6754</v>
      </c>
      <c r="L220" s="2741" t="s">
        <v>6755</v>
      </c>
      <c r="M220" s="2746" t="s">
        <v>6756</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6827</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6">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6">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6">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6">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6">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 customHeight="1">
      <c r="A244" s="2681" t="str">
        <f>CONCATENATE("PART TWO - SOURCES OF FUNDS (Proposed)","  -  ",'Part I-Project Identification'!$O$7," ",'Part I-Project Identification'!$F$29,", ",'Part I-Project Identification'!$F$30,", ",'Part I-Project Identification'!$J$30," County")</f>
        <v>PART TWO - SOURCES OF FUNDS (Proposed)  -  2022-0 Cave Spring Townhomes, Cave Spring, Floyd County</v>
      </c>
      <c r="B244" s="2681"/>
      <c r="C244" s="2681"/>
      <c r="D244" s="2681"/>
      <c r="E244" s="2681"/>
      <c r="F244" s="2681"/>
      <c r="G244" s="2681"/>
      <c r="H244" s="2681"/>
      <c r="I244" s="2681"/>
      <c r="J244" s="2681"/>
      <c r="K244" s="2681"/>
      <c r="L244" s="2681"/>
      <c r="M244" s="2681"/>
      <c r="N244" s="2681"/>
      <c r="O244" s="2681"/>
      <c r="P244" s="2681"/>
      <c r="Q244" s="2681"/>
      <c r="S244" s="2719" t="str">
        <f>$A$2</f>
        <v>Cave Spring Townhomes</v>
      </c>
      <c r="Y244" s="2752"/>
      <c r="Z244" s="2682">
        <v>2</v>
      </c>
      <c r="AZ244" s="2752"/>
    </row>
    <row r="245" spans="1:52" s="2753" customFormat="1" ht="17.5" customHeight="1">
      <c r="A245" s="2693"/>
      <c r="B245" s="2693"/>
      <c r="C245" s="2693"/>
      <c r="D245" s="2693"/>
      <c r="E245" s="2693"/>
      <c r="F245" s="2693"/>
      <c r="G245" s="2550"/>
      <c r="H245" s="2550"/>
      <c r="I245" s="2550"/>
      <c r="J245" s="2550"/>
      <c r="K245" s="2550"/>
      <c r="L245" s="2550"/>
      <c r="Y245" s="2752"/>
      <c r="Z245" s="2682">
        <v>3</v>
      </c>
      <c r="AZ245" s="2752"/>
    </row>
    <row r="246" spans="1:52" s="2719" customFormat="1" ht="13.2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6081</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3879</v>
      </c>
      <c r="D249" s="2681"/>
      <c r="E249" s="2707" t="str">
        <f>'Part II-Sources of Funds'!E7</f>
        <v>No</v>
      </c>
      <c r="F249" s="2686" t="s">
        <v>6082</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6668</v>
      </c>
      <c r="F250" s="2719" t="s">
        <v>6671</v>
      </c>
      <c r="H250" s="2698" t="str">
        <f>'Part II-Sources of Funds'!H8</f>
        <v>Specify Other HOME Source here</v>
      </c>
      <c r="I250" s="2698"/>
      <c r="J250" s="2698"/>
      <c r="L250" s="2707" t="str">
        <f>'Part II-Sources of Funds'!L8</f>
        <v>No</v>
      </c>
      <c r="M250" s="2686" t="s">
        <v>6673</v>
      </c>
      <c r="P250" s="2758"/>
      <c r="Q250" s="2758"/>
      <c r="S250" s="2723"/>
      <c r="T250" s="2723"/>
      <c r="Y250" s="2752"/>
      <c r="Z250" s="2682">
        <v>8</v>
      </c>
      <c r="AZ250" s="2752"/>
    </row>
    <row r="251" spans="1:52" s="2719" customFormat="1" ht="16.5" customHeight="1">
      <c r="A251" s="2682"/>
      <c r="B251" s="2707" t="str">
        <f>'Part II-Sources of Funds'!B9</f>
        <v>No</v>
      </c>
      <c r="C251" s="2719" t="s">
        <v>3302</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3880</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3221</v>
      </c>
      <c r="S254" s="2723"/>
      <c r="T254" s="2723"/>
      <c r="Y254" s="2752"/>
      <c r="Z254" s="2682">
        <v>12</v>
      </c>
      <c r="AZ254" s="2752"/>
    </row>
    <row r="255" spans="1:52" s="2719" customFormat="1" ht="16.5" customHeight="1">
      <c r="A255" s="2682"/>
      <c r="B255" s="2707" t="str">
        <f>'Part II-Sources of Funds'!B13</f>
        <v>Yes</v>
      </c>
      <c r="C255" s="2686" t="s">
        <v>6670</v>
      </c>
      <c r="E255" s="2707" t="str">
        <f>'Part II-Sources of Funds'!E13</f>
        <v>Yes</v>
      </c>
      <c r="F255" s="2686" t="s">
        <v>6672</v>
      </c>
      <c r="H255" s="2698" t="str">
        <f>'Part II-Sources of Funds'!H13</f>
        <v>RAD</v>
      </c>
      <c r="I255" s="2698"/>
      <c r="J255" s="2698"/>
      <c r="L255" s="2707" t="str">
        <f>'Part II-Sources of Funds'!L13</f>
        <v>No</v>
      </c>
      <c r="M255" s="2719" t="s">
        <v>6080</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3301</v>
      </c>
      <c r="L256" s="2707" t="str">
        <f>'Part II-Sources of Funds'!L14</f>
        <v>Yes</v>
      </c>
      <c r="M256" s="2719" t="s">
        <v>6718</v>
      </c>
      <c r="S256" s="2723"/>
      <c r="T256" s="2723"/>
      <c r="Y256" s="2752"/>
      <c r="Z256" s="2682">
        <v>14</v>
      </c>
      <c r="AZ256" s="2752"/>
    </row>
    <row r="257" spans="1:52" s="2719" customFormat="1" ht="16.5" customHeight="1">
      <c r="A257" s="2682"/>
      <c r="B257" s="2707" t="str">
        <f>'Part II-Sources of Funds'!B15</f>
        <v>No</v>
      </c>
      <c r="C257" s="2719" t="s">
        <v>3220</v>
      </c>
      <c r="E257" s="2707" t="str">
        <f>'Part II-Sources of Funds'!E15</f>
        <v>No</v>
      </c>
      <c r="F257" s="2686" t="s">
        <v>6083</v>
      </c>
      <c r="L257" s="2707" t="str">
        <f>'Part II-Sources of Funds'!L15</f>
        <v>No</v>
      </c>
      <c r="M257" s="2759" t="s">
        <v>6084</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6502</v>
      </c>
      <c r="I258" s="2756">
        <f>'Part II-Sources of Funds'!I16</f>
        <v>0</v>
      </c>
      <c r="J258" s="2760"/>
      <c r="L258" s="2707" t="str">
        <f>'Part II-Sources of Funds'!L16</f>
        <v>No</v>
      </c>
      <c r="M258" s="2759" t="s">
        <v>6079</v>
      </c>
      <c r="Y258" s="2752"/>
      <c r="Z258" s="2682">
        <v>16</v>
      </c>
      <c r="AZ258" s="2752"/>
    </row>
    <row r="259" spans="1:52" s="2719" customFormat="1" ht="17" customHeight="1">
      <c r="A259" s="2682"/>
      <c r="B259" s="2719" t="s">
        <v>3881</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 customHeight="1">
      <c r="A263" s="2681"/>
      <c r="B263" s="2694" t="s">
        <v>1734</v>
      </c>
      <c r="C263" s="2681"/>
      <c r="D263" s="2681"/>
      <c r="E263" s="2681"/>
      <c r="F263" s="2681"/>
      <c r="G263" s="2681"/>
      <c r="H263" s="2681" t="s">
        <v>1221</v>
      </c>
      <c r="I263" s="2681"/>
      <c r="J263" s="2681"/>
      <c r="K263" s="2681"/>
      <c r="L263" s="2681" t="s">
        <v>3847</v>
      </c>
      <c r="M263" s="2681"/>
      <c r="N263" s="2681" t="s">
        <v>1411</v>
      </c>
      <c r="O263" s="2681"/>
      <c r="P263" s="2681" t="s">
        <v>1524</v>
      </c>
      <c r="Q263" s="2681"/>
      <c r="S263" s="2755" t="s">
        <v>2449</v>
      </c>
      <c r="T263" s="2755"/>
      <c r="Y263" s="2752"/>
      <c r="Z263" s="2682">
        <v>21</v>
      </c>
      <c r="AZ263" s="2752" t="s">
        <v>6345</v>
      </c>
    </row>
    <row r="264" spans="1:52" s="2719" customFormat="1" ht="15.75" customHeight="1">
      <c r="A264" s="2681"/>
      <c r="B264" s="2681" t="s">
        <v>1487</v>
      </c>
      <c r="C264" s="2681"/>
      <c r="D264" s="2681"/>
      <c r="E264" s="2681"/>
      <c r="F264" s="2681"/>
      <c r="G264" s="2681"/>
      <c r="H264" s="2739" t="str">
        <f>'Part II-Sources of Funds'!H22</f>
        <v>Churchill Stateside</v>
      </c>
      <c r="I264" s="2739"/>
      <c r="J264" s="2739"/>
      <c r="K264" s="2739"/>
      <c r="L264" s="2762">
        <f>'Part II-Sources of Funds'!L22</f>
        <v>12600000</v>
      </c>
      <c r="M264" s="2762"/>
      <c r="N264" s="2763">
        <f>'Part II-Sources of Funds'!N22</f>
        <v>5.5E-2</v>
      </c>
      <c r="O264" s="2763"/>
      <c r="P264" s="2764">
        <f>'Part II-Sources of Funds'!P22</f>
        <v>24</v>
      </c>
      <c r="Q264" s="2764"/>
      <c r="S264" s="2723"/>
      <c r="T264" s="2723"/>
      <c r="Y264" s="2752" t="s">
        <v>6345</v>
      </c>
      <c r="Z264" s="2682">
        <v>22</v>
      </c>
      <c r="AZ264" s="2752" t="s">
        <v>6346</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6346</v>
      </c>
      <c r="Z265" s="2682">
        <v>23</v>
      </c>
      <c r="AZ265" s="2752" t="s">
        <v>6347</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6347</v>
      </c>
      <c r="Z266" s="2682">
        <v>24</v>
      </c>
      <c r="AZ266" s="2752" t="s">
        <v>6348</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6348</v>
      </c>
      <c r="Z267" s="2682">
        <v>25</v>
      </c>
      <c r="AZ267" s="2752" t="s">
        <v>6349</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6349</v>
      </c>
      <c r="Z268" s="2697">
        <v>26</v>
      </c>
      <c r="AZ268" s="2752" t="s">
        <v>6350</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6350</v>
      </c>
      <c r="Z269" s="2682">
        <v>27</v>
      </c>
      <c r="AZ269" s="2752" t="s">
        <v>6351</v>
      </c>
    </row>
    <row r="270" spans="1:52" s="2719" customFormat="1" ht="15.75" customHeight="1">
      <c r="A270" s="2681"/>
      <c r="B270" s="2681" t="s">
        <v>746</v>
      </c>
      <c r="C270" s="2681"/>
      <c r="D270" s="2681"/>
      <c r="E270" s="2681"/>
      <c r="H270" s="2739" t="str">
        <f>'Part II-Sources of Funds'!H28</f>
        <v>US Bank</v>
      </c>
      <c r="I270" s="2739"/>
      <c r="J270" s="2739"/>
      <c r="K270" s="2739"/>
      <c r="L270" s="2762">
        <f>'Part II-Sources of Funds'!L28</f>
        <v>1367770</v>
      </c>
      <c r="M270" s="2762"/>
      <c r="N270" s="2681"/>
      <c r="Q270" s="2681"/>
      <c r="S270" s="2723"/>
      <c r="T270" s="2723"/>
      <c r="Y270" s="2752" t="s">
        <v>6351</v>
      </c>
      <c r="Z270" s="2682">
        <v>28</v>
      </c>
      <c r="AZ270" s="2752" t="s">
        <v>6352</v>
      </c>
    </row>
    <row r="271" spans="1:52" s="2719" customFormat="1" ht="15.75" customHeight="1">
      <c r="A271" s="2681"/>
      <c r="B271" s="2681" t="s">
        <v>747</v>
      </c>
      <c r="C271" s="2681"/>
      <c r="D271" s="2681"/>
      <c r="E271" s="2681"/>
      <c r="H271" s="2739" t="str">
        <f>'Part II-Sources of Funds'!H29</f>
        <v>US Bank</v>
      </c>
      <c r="I271" s="2739"/>
      <c r="J271" s="2739"/>
      <c r="K271" s="2739"/>
      <c r="L271" s="2762">
        <f>'Part II-Sources of Funds'!L29</f>
        <v>898742</v>
      </c>
      <c r="M271" s="2762"/>
      <c r="N271" s="2681"/>
      <c r="Q271" s="2681"/>
      <c r="S271" s="2723"/>
      <c r="T271" s="2723"/>
      <c r="Y271" s="2752" t="s">
        <v>6352</v>
      </c>
      <c r="Z271" s="2682">
        <v>29</v>
      </c>
      <c r="AZ271" s="2752" t="s">
        <v>6353</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6353</v>
      </c>
      <c r="Z272" s="2682">
        <v>30</v>
      </c>
      <c r="AZ272" s="2752" t="s">
        <v>6354</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6354</v>
      </c>
      <c r="Z273" s="2682">
        <v>31</v>
      </c>
      <c r="AZ273" s="2752" t="s">
        <v>6355</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6355</v>
      </c>
      <c r="Z274" s="2682">
        <v>32</v>
      </c>
      <c r="AZ274" s="2752"/>
    </row>
    <row r="275" spans="1:52" s="2719" customFormat="1" ht="16.5" customHeight="1">
      <c r="A275" s="2681"/>
      <c r="B275" s="2694" t="s">
        <v>1222</v>
      </c>
      <c r="C275" s="2681"/>
      <c r="D275" s="2681"/>
      <c r="E275" s="2681"/>
      <c r="F275" s="2681"/>
      <c r="G275" s="2681"/>
      <c r="H275" s="2681"/>
      <c r="I275" s="2681"/>
      <c r="L275" s="2766">
        <f>SUM(L264:L274)</f>
        <v>14866512</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14746344</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120168</v>
      </c>
      <c r="M277" s="2769"/>
      <c r="N277" s="2768"/>
      <c r="S277" s="2723"/>
      <c r="T277" s="2723"/>
      <c r="Y277" s="2752"/>
      <c r="Z277" s="2697">
        <v>35</v>
      </c>
      <c r="AZ277" s="2770"/>
    </row>
    <row r="278" spans="1:52" s="2753" customFormat="1" ht="9.5"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5"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2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25" customHeight="1">
      <c r="A281" s="2681"/>
      <c r="B281" s="2694" t="s">
        <v>1734</v>
      </c>
      <c r="C281" s="2681"/>
      <c r="D281" s="2681"/>
      <c r="E281" s="2681" t="s">
        <v>1221</v>
      </c>
      <c r="F281" s="2681"/>
      <c r="G281" s="2681"/>
      <c r="H281" s="2681"/>
      <c r="I281" s="2681" t="s">
        <v>3846</v>
      </c>
      <c r="J281" s="2681"/>
      <c r="K281" s="2682" t="s">
        <v>1676</v>
      </c>
      <c r="L281" s="2682" t="s">
        <v>2047</v>
      </c>
      <c r="M281" s="2682" t="s">
        <v>2047</v>
      </c>
      <c r="N281" s="2681" t="s">
        <v>69</v>
      </c>
      <c r="O281" s="2681"/>
      <c r="P281" s="2771"/>
      <c r="Q281" s="2771"/>
      <c r="S281" s="2755" t="s">
        <v>2449</v>
      </c>
      <c r="T281" s="2755"/>
      <c r="Y281" s="2752"/>
      <c r="Z281" s="2682">
        <v>39</v>
      </c>
      <c r="AZ281" s="2752" t="s">
        <v>6356</v>
      </c>
    </row>
    <row r="282" spans="1:52" s="2719" customFormat="1" ht="15" customHeight="1">
      <c r="A282" s="2681"/>
      <c r="B282" s="2681" t="s">
        <v>2403</v>
      </c>
      <c r="C282" s="2681"/>
      <c r="D282" s="2681"/>
      <c r="E282" s="2739" t="str">
        <f>'Part II-Sources of Funds'!E40</f>
        <v>Churchill Stateside</v>
      </c>
      <c r="F282" s="2739"/>
      <c r="G282" s="2739"/>
      <c r="H282" s="2739"/>
      <c r="I282" s="2762">
        <f>'Part II-Sources of Funds'!I40</f>
        <v>1320000</v>
      </c>
      <c r="J282" s="2689"/>
      <c r="K282" s="2763">
        <f>'Part II-Sources of Funds'!K40</f>
        <v>6.5000000000000002E-2</v>
      </c>
      <c r="L282" s="2707">
        <f>'Part II-Sources of Funds'!L40</f>
        <v>18</v>
      </c>
      <c r="M282" s="2707">
        <f>'Part II-Sources of Funds'!M40</f>
        <v>30</v>
      </c>
      <c r="N282" s="2689" t="str">
        <f>'Part II-Sources of Funds'!N40</f>
        <v>Amortizing</v>
      </c>
      <c r="O282" s="2689"/>
      <c r="P282" s="2767">
        <f>'Part II-Sources of Funds'!P40</f>
        <v>100119.57492128546</v>
      </c>
      <c r="Q282" s="2767"/>
      <c r="S282" s="2723"/>
      <c r="T282" s="2723"/>
      <c r="Y282" s="2752" t="s">
        <v>6356</v>
      </c>
      <c r="Z282" s="2682">
        <v>40</v>
      </c>
      <c r="AZ282" s="2752" t="s">
        <v>6357</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6357</v>
      </c>
      <c r="Z283" s="2682">
        <v>41</v>
      </c>
      <c r="AZ283" s="2752" t="s">
        <v>6358</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6358</v>
      </c>
      <c r="Z284" s="2682">
        <v>42</v>
      </c>
      <c r="AZ284" s="2752" t="s">
        <v>6359</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6359</v>
      </c>
      <c r="Z285" s="2682">
        <v>43</v>
      </c>
      <c r="AZ285" s="2752" t="s">
        <v>6360</v>
      </c>
    </row>
    <row r="286" spans="1:52" s="2719" customFormat="1" ht="15" customHeight="1">
      <c r="A286" s="2681"/>
      <c r="B286" s="2681" t="s">
        <v>3946</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6360</v>
      </c>
      <c r="Z286" s="2697">
        <v>44</v>
      </c>
      <c r="AZ286" s="2752" t="s">
        <v>6361</v>
      </c>
    </row>
    <row r="287" spans="1:52" s="2719" customFormat="1" ht="15" customHeight="1">
      <c r="A287" s="2681"/>
      <c r="B287" s="2681" t="s">
        <v>220</v>
      </c>
      <c r="C287" s="2681"/>
      <c r="D287" s="2774">
        <f>'Part II-Sources of Funds'!D45</f>
        <v>5.7949260042283297E-2</v>
      </c>
      <c r="E287" s="2739" t="str">
        <f>'Part II-Sources of Funds'!E45</f>
        <v>Deferred Dev Fee-NWGHA</v>
      </c>
      <c r="F287" s="2739"/>
      <c r="G287" s="2739"/>
      <c r="H287" s="2739"/>
      <c r="I287" s="2762">
        <f>'Part II-Sources of Funds'!I45</f>
        <v>82230</v>
      </c>
      <c r="J287" s="2760"/>
      <c r="K287" s="2763">
        <f>'Part II-Sources of Funds'!K45</f>
        <v>0</v>
      </c>
      <c r="L287" s="2707">
        <f>'Part II-Sources of Funds'!L45</f>
        <v>13</v>
      </c>
      <c r="M287" s="2707">
        <f>'Part II-Sources of Funds'!M45</f>
        <v>13</v>
      </c>
      <c r="N287" s="2689" t="str">
        <f>'Part II-Sources of Funds'!N45</f>
        <v>Cash Flow</v>
      </c>
      <c r="O287" s="2689"/>
      <c r="P287" s="2767">
        <f>'Part II-Sources of Funds'!P45</f>
        <v>0</v>
      </c>
      <c r="Q287" s="2767"/>
      <c r="S287" s="2723"/>
      <c r="T287" s="2723"/>
      <c r="Y287" s="2752" t="s">
        <v>6361</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3407</v>
      </c>
      <c r="C289" s="2681"/>
      <c r="E289" s="2719" t="s">
        <v>3365</v>
      </c>
      <c r="F289" s="2779">
        <f>'Part II-Sources of Funds'!F47</f>
        <v>305016.86303321488</v>
      </c>
      <c r="H289" s="2780" t="s">
        <v>3406</v>
      </c>
      <c r="I289" s="2779">
        <f>'Part II-Sources of Funds'!I47</f>
        <v>15000</v>
      </c>
      <c r="K289" s="2780" t="s">
        <v>3408</v>
      </c>
      <c r="L289" s="2781">
        <f>'Part II-Sources of Funds'!L47</f>
        <v>4.9177608906057671E-2</v>
      </c>
      <c r="M289" s="2781"/>
      <c r="N289" s="2767" t="s">
        <v>3850</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6362</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6362</v>
      </c>
      <c r="Z291" s="2682">
        <v>49</v>
      </c>
      <c r="AZ291" s="2752" t="s">
        <v>6363</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6363</v>
      </c>
      <c r="Z292" s="2682">
        <v>50</v>
      </c>
      <c r="AZ292" s="2752" t="s">
        <v>6364</v>
      </c>
    </row>
    <row r="293" spans="1:52" s="2719" customFormat="1" ht="15" customHeight="1">
      <c r="A293" s="2681"/>
      <c r="B293" s="2681" t="s">
        <v>746</v>
      </c>
      <c r="C293" s="2681"/>
      <c r="D293" s="2681"/>
      <c r="E293" s="2739" t="str">
        <f>'Part II-Sources of Funds'!E51</f>
        <v>US Bank</v>
      </c>
      <c r="F293" s="2739"/>
      <c r="G293" s="2739"/>
      <c r="H293" s="2739"/>
      <c r="I293" s="2762">
        <f>'Part II-Sources of Funds'!I51</f>
        <v>9211500</v>
      </c>
      <c r="J293" s="2772"/>
      <c r="L293" s="2786">
        <f>'Part III-A-Uses of Funds'!$J$191*10*'Part III-A-Uses of Funds'!$N$182</f>
        <v>9211500</v>
      </c>
      <c r="M293" s="2786"/>
      <c r="N293" s="2787">
        <f>I293-L293</f>
        <v>0</v>
      </c>
      <c r="O293" s="2787"/>
      <c r="P293" s="2788">
        <f>I293/I303</f>
        <v>0.55782545268248551</v>
      </c>
      <c r="Q293" s="2681"/>
      <c r="S293" s="2723"/>
      <c r="T293" s="2723"/>
      <c r="Y293" s="2752" t="s">
        <v>6364</v>
      </c>
      <c r="Z293" s="2697">
        <v>51</v>
      </c>
      <c r="AZ293" s="2752" t="s">
        <v>6365</v>
      </c>
    </row>
    <row r="294" spans="1:52" s="2719" customFormat="1" ht="15" customHeight="1">
      <c r="A294" s="2681"/>
      <c r="B294" s="2681" t="s">
        <v>747</v>
      </c>
      <c r="C294" s="2681"/>
      <c r="D294" s="2681"/>
      <c r="E294" s="2739" t="str">
        <f>'Part II-Sources of Funds'!E52</f>
        <v>US Bank</v>
      </c>
      <c r="F294" s="2739"/>
      <c r="G294" s="2739"/>
      <c r="H294" s="2739"/>
      <c r="I294" s="2762">
        <f>'Part II-Sources of Funds'!I52</f>
        <v>5899500</v>
      </c>
      <c r="J294" s="2772"/>
      <c r="L294" s="2786">
        <f>'Part III-A-Uses of Funds'!$J$191*10*'Part III-A-Uses of Funds'!$Q$182</f>
        <v>5899499.9999999991</v>
      </c>
      <c r="M294" s="2786"/>
      <c r="N294" s="2787">
        <f>I294-L294</f>
        <v>0</v>
      </c>
      <c r="O294" s="2787"/>
      <c r="P294" s="2788">
        <f>I294/I303</f>
        <v>0.35725899778541204</v>
      </c>
      <c r="Q294" s="2681"/>
      <c r="S294" s="2723"/>
      <c r="T294" s="2723"/>
      <c r="Y294" s="2752" t="s">
        <v>6365</v>
      </c>
      <c r="Z294" s="2682">
        <v>52</v>
      </c>
      <c r="AZ294" s="2752" t="s">
        <v>6366</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0.91508445046789755</v>
      </c>
      <c r="Q295" s="2681"/>
      <c r="S295" s="2723"/>
      <c r="T295" s="2723"/>
      <c r="Y295" s="2752" t="s">
        <v>6366</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6367</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6367</v>
      </c>
      <c r="Z299" s="2682">
        <v>57</v>
      </c>
      <c r="AZ299" s="2752" t="s">
        <v>6368</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6368</v>
      </c>
      <c r="Z300" s="2682">
        <v>58</v>
      </c>
      <c r="AZ300" s="2752" t="s">
        <v>6369</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6369</v>
      </c>
      <c r="Z301" s="2682">
        <v>59</v>
      </c>
      <c r="AZ301" s="2752"/>
    </row>
    <row r="302" spans="1:52" s="2719" customFormat="1" ht="14.25" customHeight="1">
      <c r="A302" s="2681"/>
      <c r="B302" s="2694" t="s">
        <v>2049</v>
      </c>
      <c r="C302" s="2681"/>
      <c r="D302" s="2681"/>
      <c r="E302" s="2681"/>
      <c r="F302" s="2681"/>
      <c r="G302" s="2681"/>
      <c r="I302" s="2766">
        <f>SUM(I282:J287)+SUM(I291:J301)</f>
        <v>16513230</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16513230</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25" customHeight="1">
      <c r="A305" s="2681" t="s">
        <v>3947</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6">
      <c r="A308" s="2722" t="str">
        <f>'Part II-Sources of Funds'!A66</f>
        <v>Churchill Stateside has committed to the perm mortgage.
US Bank will be supplying the tax credits for the property.  .89 federal pricing and .59 state pricing. Deferred Developer Fee commitment has been provided by NWGHA. They agree to commit up to half of the fee if needed to fill a gap of funding as allowed by the QAP.</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Cave Spring Townhomes, ,  County</v>
      </c>
      <c r="W312" s="2681" t="str">
        <f>A312</f>
        <v>PART THREE (A):  USES OF FUNDS  -  2022-0 Cave Spring Townhomes,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0</v>
      </c>
      <c r="H319" s="2762"/>
      <c r="J319" s="2762">
        <f>'Part III-A-Uses of Funds'!J9</f>
        <v>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6000</v>
      </c>
      <c r="H320" s="2762"/>
      <c r="J320" s="2762">
        <f>'Part III-A-Uses of Funds'!J10</f>
        <v>6000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25000</v>
      </c>
      <c r="H321" s="2762"/>
      <c r="J321" s="2762">
        <f>'Part III-A-Uses of Funds'!J11</f>
        <v>25000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15000</v>
      </c>
      <c r="H322" s="2762"/>
      <c r="J322" s="2762">
        <f>'Part III-A-Uses of Funds'!J12</f>
        <v>15000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7500</v>
      </c>
      <c r="H323" s="2762"/>
      <c r="J323" s="2762">
        <f>'Part III-A-Uses of Funds'!J13</f>
        <v>7500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6276</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6370</v>
      </c>
      <c r="BA325" s="2682">
        <v>15</v>
      </c>
    </row>
    <row r="326" spans="1:53" s="2681" customFormat="1" ht="11.25" customHeight="1">
      <c r="A326" s="2798" t="str">
        <f>IF(AND(G326&gt;0,OR(C326="",C326="&lt;Enter detailed description here; use Comments section if needed&gt;")),"X","")</f>
        <v/>
      </c>
      <c r="B326" s="2692" t="s">
        <v>6277</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6371</v>
      </c>
      <c r="BA326" s="2682">
        <v>16</v>
      </c>
    </row>
    <row r="327" spans="1:53" s="2681" customFormat="1" ht="11.25" customHeight="1">
      <c r="A327" s="2798" t="str">
        <f>IF(AND(G327&gt;0,OR(C327="",C327="&lt;Enter detailed description here; use Comments section if needed&gt;")),"X","")</f>
        <v/>
      </c>
      <c r="B327" s="2692" t="s">
        <v>6278</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6372</v>
      </c>
      <c r="BA327" s="2682">
        <v>17</v>
      </c>
    </row>
    <row r="328" spans="1:53" s="2681" customFormat="1" ht="12.5" customHeight="1">
      <c r="F328" s="2800" t="s">
        <v>184</v>
      </c>
      <c r="G328" s="2792">
        <f>SUM(G319:G327)</f>
        <v>53500</v>
      </c>
      <c r="H328" s="2792"/>
      <c r="J328" s="2792">
        <f>SUM(J319:J327)</f>
        <v>53500</v>
      </c>
      <c r="K328" s="2792"/>
      <c r="L328" s="2795"/>
      <c r="M328" s="2792">
        <f>SUM(M319:M327)</f>
        <v>0</v>
      </c>
      <c r="N328" s="2792"/>
      <c r="P328" s="2792">
        <f>SUM(P319:P327)</f>
        <v>0</v>
      </c>
      <c r="Q328" s="2792"/>
      <c r="S328" s="2792">
        <f>SUM(S319:S327)</f>
        <v>0</v>
      </c>
      <c r="T328" s="2792"/>
      <c r="V328" s="2796">
        <f>SUM(V319:V327)</f>
        <v>0</v>
      </c>
      <c r="W328" s="2797"/>
      <c r="X328" s="2797"/>
      <c r="AZ328" s="2702" t="s">
        <v>6373</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3222</v>
      </c>
      <c r="F330" s="2803">
        <f>IF('Part I-Project Identification'!$O$31="","",G330/'Part I-Project Identification'!$O$31)</f>
        <v>122.54901960784314</v>
      </c>
      <c r="G330" s="2762">
        <f>'Part III-A-Uses of Funds'!G20</f>
        <v>750</v>
      </c>
      <c r="H330" s="2762"/>
      <c r="J330" s="2795"/>
      <c r="K330" s="2792"/>
      <c r="L330" s="2795"/>
      <c r="M330" s="2795"/>
      <c r="N330" s="2792"/>
      <c r="P330" s="2795"/>
      <c r="Q330" s="2792"/>
      <c r="S330" s="2762">
        <f>'Part III-A-Uses of Funds'!S20</f>
        <v>750</v>
      </c>
      <c r="T330" s="2762"/>
      <c r="V330" s="2796"/>
      <c r="W330" s="2797"/>
      <c r="X330" s="2797"/>
      <c r="AZ330" s="2702"/>
      <c r="BA330" s="2682">
        <v>20</v>
      </c>
    </row>
    <row r="331" spans="1:53" s="2681" customFormat="1" ht="11.25" customHeight="1">
      <c r="B331" s="2681" t="s">
        <v>1055</v>
      </c>
      <c r="G331" s="2762">
        <f>'Part III-A-Uses of Funds'!G21</f>
        <v>774200</v>
      </c>
      <c r="H331" s="2762"/>
      <c r="J331" s="2795"/>
      <c r="K331" s="2792"/>
      <c r="L331" s="2795"/>
      <c r="M331" s="2795"/>
      <c r="N331" s="2792"/>
      <c r="P331" s="2795"/>
      <c r="Q331" s="2792"/>
      <c r="S331" s="2762">
        <f>'Part III-A-Uses of Funds'!S21</f>
        <v>774200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5" customHeight="1">
      <c r="F334" s="2800" t="s">
        <v>184</v>
      </c>
      <c r="G334" s="2792">
        <f>SUM(G330:G333)</f>
        <v>774950</v>
      </c>
      <c r="H334" s="2792"/>
      <c r="J334" s="2795"/>
      <c r="K334" s="2792"/>
      <c r="L334" s="2795"/>
      <c r="M334" s="2792">
        <f>SUM(M332:M333)</f>
        <v>0</v>
      </c>
      <c r="N334" s="2792"/>
      <c r="P334" s="2795"/>
      <c r="Q334" s="2792"/>
      <c r="S334" s="2792">
        <f>SUM(S330:S333)</f>
        <v>774950</v>
      </c>
      <c r="T334" s="2792"/>
      <c r="V334" s="2796">
        <f>SUM(V330:V333)</f>
        <v>0</v>
      </c>
      <c r="W334" s="2797"/>
      <c r="X334" s="2797"/>
      <c r="AZ334" s="2702" t="s">
        <v>6374</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3222</v>
      </c>
      <c r="F336" s="2803">
        <f>IF('Part I-Project Identification'!$O$31="","",G336/'Part I-Project Identification'!$O$31)</f>
        <v>152941.17647058822</v>
      </c>
      <c r="G336" s="2762">
        <f>'Part III-A-Uses of Funds'!G26</f>
        <v>936000</v>
      </c>
      <c r="H336" s="2762"/>
      <c r="J336" s="2762">
        <f>'Part III-A-Uses of Funds'!J26</f>
        <v>936000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5" customHeight="1">
      <c r="F338" s="2800" t="s">
        <v>184</v>
      </c>
      <c r="G338" s="2792">
        <f>SUM(G336:G337)</f>
        <v>936000</v>
      </c>
      <c r="H338" s="2792"/>
      <c r="J338" s="2792">
        <f>SUM(J336:J337)</f>
        <v>936000</v>
      </c>
      <c r="K338" s="2792"/>
      <c r="L338" s="2795"/>
      <c r="M338" s="2792">
        <f>M336</f>
        <v>0</v>
      </c>
      <c r="N338" s="2792"/>
      <c r="P338" s="2792">
        <f>P336</f>
        <v>0</v>
      </c>
      <c r="Q338" s="2792"/>
      <c r="S338" s="2792">
        <f>SUM(S336:S337)</f>
        <v>0</v>
      </c>
      <c r="T338" s="2792"/>
      <c r="V338" s="2796">
        <f>SUM(V336:V337)</f>
        <v>0</v>
      </c>
      <c r="W338" s="2797"/>
      <c r="X338" s="2797"/>
      <c r="AZ338" s="2702" t="s">
        <v>6375</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8587083</v>
      </c>
      <c r="H340" s="2762"/>
      <c r="J340" s="2762">
        <f>'Part III-A-Uses of Funds'!J30</f>
        <v>8587083</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6090</v>
      </c>
      <c r="G342" s="2762">
        <f>'Part III-A-Uses of Funds'!G32</f>
        <v>500000</v>
      </c>
      <c r="H342" s="2762"/>
      <c r="J342" s="2762">
        <f>'Part III-A-Uses of Funds'!J32</f>
        <v>500000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6088</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6089</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5" customHeight="1">
      <c r="C346" s="2805"/>
      <c r="D346" s="2805"/>
      <c r="E346" s="2806"/>
      <c r="F346" s="2800" t="s">
        <v>184</v>
      </c>
      <c r="G346" s="2792">
        <f>SUM(G340:G345)</f>
        <v>9087083</v>
      </c>
      <c r="H346" s="2792"/>
      <c r="J346" s="2792">
        <f>SUM(J340:J345)</f>
        <v>9087083</v>
      </c>
      <c r="K346" s="2792"/>
      <c r="L346" s="2795"/>
      <c r="M346" s="2792">
        <f>SUM(M340:M345)</f>
        <v>0</v>
      </c>
      <c r="N346" s="2792"/>
      <c r="P346" s="2792">
        <f>SUM(P340:P345)</f>
        <v>0</v>
      </c>
      <c r="Q346" s="2792"/>
      <c r="S346" s="2792">
        <f>SUM(S340:S345)</f>
        <v>0</v>
      </c>
      <c r="T346" s="2792"/>
      <c r="V346" s="2796">
        <f>SUM(V340:V345)</f>
        <v>0</v>
      </c>
      <c r="W346" s="2797"/>
      <c r="X346" s="2797"/>
      <c r="AZ346" s="2702" t="s">
        <v>6376</v>
      </c>
      <c r="BA346" s="2682">
        <v>36</v>
      </c>
    </row>
    <row r="347" spans="1:53" s="2681" customFormat="1" ht="12" customHeight="1">
      <c r="B347" s="2681" t="s">
        <v>2164</v>
      </c>
      <c r="D347" s="2719" t="s">
        <v>3226</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601384</v>
      </c>
      <c r="F348" s="2807">
        <f>IF(($G$28+$G$36)=0,0,G348/($G$28+$G$36))</f>
        <v>0</v>
      </c>
      <c r="G348" s="2762">
        <f>'Part III-A-Uses of Funds'!G38</f>
        <v>601384</v>
      </c>
      <c r="H348" s="2762"/>
      <c r="J348" s="2762">
        <f>'Part III-A-Uses of Funds'!J38</f>
        <v>601384</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200461</v>
      </c>
      <c r="F349" s="2807">
        <f>IF(($G$28+$G$36)=0,0,G349/($G$28+$G$36))</f>
        <v>0</v>
      </c>
      <c r="G349" s="2762">
        <f>'Part III-A-Uses of Funds'!G39</f>
        <v>200461</v>
      </c>
      <c r="H349" s="2762"/>
      <c r="I349" s="2693"/>
      <c r="J349" s="2762">
        <f>'Part III-A-Uses of Funds'!J39</f>
        <v>200461</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601384</v>
      </c>
      <c r="F350" s="2807">
        <f>IF(($G$28+$G$36)=0,0,G350/($G$28+$G$36))</f>
        <v>0</v>
      </c>
      <c r="G350" s="2762">
        <f>'Part III-A-Uses of Funds'!G40</f>
        <v>601384</v>
      </c>
      <c r="H350" s="2762"/>
      <c r="I350" s="2693"/>
      <c r="J350" s="2762">
        <f>'Part III-A-Uses of Funds'!J40</f>
        <v>601384</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5" customHeight="1">
      <c r="B351" s="2692" t="s">
        <v>3227</v>
      </c>
      <c r="D351" s="2807">
        <f>SUM(D348:D350)</f>
        <v>0.14000000000000001</v>
      </c>
      <c r="E351" s="2809">
        <f>SUM(E348:E350)</f>
        <v>1403229</v>
      </c>
      <c r="F351" s="2800" t="s">
        <v>184</v>
      </c>
      <c r="G351" s="2792">
        <f>SUM(G348:G350)</f>
        <v>1403229</v>
      </c>
      <c r="H351" s="2792"/>
      <c r="J351" s="2792">
        <f>SUM(J348:J350)</f>
        <v>1403229</v>
      </c>
      <c r="K351" s="2792"/>
      <c r="L351" s="2795"/>
      <c r="M351" s="2792">
        <f>SUM(M348:M350)</f>
        <v>0</v>
      </c>
      <c r="N351" s="2792"/>
      <c r="P351" s="2792">
        <f>SUM(P348:P350)</f>
        <v>0</v>
      </c>
      <c r="Q351" s="2792"/>
      <c r="S351" s="2792">
        <f>SUM(S348:S350)</f>
        <v>0</v>
      </c>
      <c r="T351" s="2792"/>
      <c r="V351" s="2796">
        <f>SUM(V348:V350)</f>
        <v>0</v>
      </c>
      <c r="W351" s="2797"/>
      <c r="X351" s="2797"/>
      <c r="AZ351" s="2702" t="s">
        <v>6377</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6492</v>
      </c>
      <c r="E353" s="2682"/>
      <c r="F353" s="2682"/>
      <c r="G353" s="2811">
        <f>G338+G346+G351</f>
        <v>11426312</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6378</v>
      </c>
      <c r="BA354" s="2682">
        <v>44</v>
      </c>
    </row>
    <row r="355" spans="1:53" s="2681" customFormat="1" ht="12" customHeight="1">
      <c r="B355" s="2681" t="s">
        <v>6828</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6279</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6379</v>
      </c>
      <c r="BA357" s="2697">
        <v>47</v>
      </c>
    </row>
    <row r="358" spans="1:53" s="2681" customFormat="1" ht="12.5" customHeight="1">
      <c r="B358" s="2813" t="s">
        <v>6829</v>
      </c>
      <c r="C358" s="2814"/>
      <c r="E358" s="2683" t="s">
        <v>2480</v>
      </c>
      <c r="F358" s="2815">
        <f>C359/'Part V-Revenues &amp; Expenses'!$P$65</f>
        <v>219736.76923076922</v>
      </c>
      <c r="G358" s="2816" t="s">
        <v>6830</v>
      </c>
      <c r="J358" s="2817">
        <f>C359/'Part V-Revenues &amp; Expenses'!$P$67</f>
        <v>219736.76923076922</v>
      </c>
      <c r="K358" s="2817"/>
      <c r="M358" s="2818" t="s">
        <v>6478</v>
      </c>
      <c r="N358" s="2818"/>
      <c r="P358" s="2817">
        <f>C359/'Part V-Revenues &amp; Expenses'!$K$175</f>
        <v>199.1167029711597</v>
      </c>
      <c r="Q358" s="2817"/>
      <c r="S358" s="2819" t="s">
        <v>6480</v>
      </c>
      <c r="T358" s="2819"/>
      <c r="V358" s="2801"/>
      <c r="W358" s="2797"/>
      <c r="X358" s="2797"/>
      <c r="AZ358" s="2702"/>
      <c r="BA358" s="2682">
        <v>48</v>
      </c>
    </row>
    <row r="359" spans="1:53" s="2681" customFormat="1" ht="12.5" customHeight="1">
      <c r="B359" s="2820" t="s">
        <v>6491</v>
      </c>
      <c r="C359" s="2821">
        <f>G338+G346+G351+G356</f>
        <v>11426312</v>
      </c>
      <c r="E359" s="2683"/>
      <c r="F359" s="2815">
        <f>C359/'Part V-Revenues &amp; Expenses'!$P$166</f>
        <v>210.10043210444056</v>
      </c>
      <c r="G359" s="2819" t="s">
        <v>6831</v>
      </c>
      <c r="J359" s="2817">
        <f>C359/'Part V-Revenues &amp; Expenses'!$P$168</f>
        <v>210.10043210444056</v>
      </c>
      <c r="K359" s="2817"/>
      <c r="M359" s="2819" t="s">
        <v>6479</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6832</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6301</v>
      </c>
      <c r="F364" s="2822" t="s">
        <v>3412</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3411</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571315.6</v>
      </c>
      <c r="F365" s="2774">
        <f>G365/C359</f>
        <v>4.9999947489618696E-2</v>
      </c>
      <c r="G365" s="2762">
        <f>'Part III-A-Uses of Funds'!G55</f>
        <v>571315</v>
      </c>
      <c r="H365" s="2762"/>
      <c r="I365" s="2681"/>
      <c r="J365" s="2762">
        <f>'Part III-A-Uses of Funds'!J55</f>
        <v>571315</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5" customHeight="1">
      <c r="B367" s="2824" t="s">
        <v>6302</v>
      </c>
      <c r="C367" s="2814"/>
      <c r="E367" s="2683" t="s">
        <v>6303</v>
      </c>
      <c r="F367" s="2815">
        <f>B368/'Part V-Revenues &amp; Expenses'!$P$65</f>
        <v>230723.59615384616</v>
      </c>
      <c r="G367" s="2816" t="s">
        <v>6830</v>
      </c>
      <c r="J367" s="2817">
        <f>B368/'Part V-Revenues &amp; Expenses'!$P$67</f>
        <v>230723.59615384616</v>
      </c>
      <c r="K367" s="2817"/>
      <c r="M367" s="2818" t="s">
        <v>6478</v>
      </c>
      <c r="N367" s="2818"/>
      <c r="P367" s="2817">
        <f>B368/'Part V-Revenues &amp; Expenses'!$K$175</f>
        <v>209.07252766402371</v>
      </c>
      <c r="Q367" s="2817"/>
      <c r="S367" s="2819" t="s">
        <v>6480</v>
      </c>
      <c r="T367" s="2819"/>
      <c r="V367" s="2801"/>
      <c r="W367" s="2797"/>
      <c r="X367" s="2797"/>
      <c r="AZ367" s="2702"/>
      <c r="BA367" s="2682">
        <v>54</v>
      </c>
    </row>
    <row r="368" spans="1:53" s="2681" customFormat="1" ht="12.5" customHeight="1">
      <c r="B368" s="2821">
        <f>C359+G365</f>
        <v>11997627</v>
      </c>
      <c r="C368" s="2821"/>
      <c r="E368" s="2683"/>
      <c r="F368" s="2815">
        <f>B368/'Part V-Revenues &amp; Expenses'!$P$166</f>
        <v>220.6054426772088</v>
      </c>
      <c r="G368" s="2819" t="s">
        <v>6831</v>
      </c>
      <c r="J368" s="2817">
        <f>B368/'Part V-Revenues &amp; Expenses'!$P$168</f>
        <v>220.6054426772088</v>
      </c>
      <c r="K368" s="2817"/>
      <c r="M368" s="2819" t="s">
        <v>6479</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3228</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3229</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126000</v>
      </c>
      <c r="H373" s="2762"/>
      <c r="J373" s="2762">
        <f>'Part III-A-Uses of Funds'!J63</f>
        <v>94500</v>
      </c>
      <c r="K373" s="2762"/>
      <c r="L373" s="2795"/>
      <c r="M373" s="2762">
        <f>'Part III-A-Uses of Funds'!M63</f>
        <v>0</v>
      </c>
      <c r="N373" s="2762"/>
      <c r="P373" s="2762">
        <f>'Part III-A-Uses of Funds'!P63</f>
        <v>0</v>
      </c>
      <c r="Q373" s="2762"/>
      <c r="S373" s="2762">
        <f>'Part III-A-Uses of Funds'!S63</f>
        <v>31500</v>
      </c>
      <c r="T373" s="2762"/>
      <c r="V373" s="2796"/>
      <c r="W373" s="2797"/>
      <c r="X373" s="2797"/>
      <c r="AZ373" s="2702"/>
      <c r="BA373" s="2697">
        <v>63</v>
      </c>
    </row>
    <row r="374" spans="1:53" s="2681" customFormat="1" ht="12" customHeight="1">
      <c r="B374" s="2681" t="s">
        <v>2168</v>
      </c>
      <c r="G374" s="2762">
        <f>'Part III-A-Uses of Funds'!G64</f>
        <v>502746</v>
      </c>
      <c r="H374" s="2762"/>
      <c r="J374" s="2762">
        <f>'Part III-A-Uses of Funds'!J64</f>
        <v>448311</v>
      </c>
      <c r="K374" s="2762"/>
      <c r="L374" s="2795"/>
      <c r="M374" s="2762">
        <f>'Part III-A-Uses of Funds'!M64</f>
        <v>0</v>
      </c>
      <c r="N374" s="2762"/>
      <c r="P374" s="2762">
        <f>'Part III-A-Uses of Funds'!P64</f>
        <v>0</v>
      </c>
      <c r="Q374" s="2762"/>
      <c r="S374" s="2762">
        <f>'Part III-A-Uses of Funds'!S64</f>
        <v>54435</v>
      </c>
      <c r="T374" s="2762"/>
      <c r="V374" s="2796"/>
      <c r="W374" s="2797"/>
      <c r="X374" s="2797"/>
      <c r="AZ374" s="2702"/>
      <c r="BA374" s="2682">
        <v>64</v>
      </c>
    </row>
    <row r="375" spans="1:53" s="2681" customFormat="1" ht="12" customHeight="1">
      <c r="B375" s="2681" t="s">
        <v>2169</v>
      </c>
      <c r="G375" s="2762">
        <f>'Part III-A-Uses of Funds'!G65</f>
        <v>25000</v>
      </c>
      <c r="H375" s="2762"/>
      <c r="J375" s="2762">
        <f>'Part III-A-Uses of Funds'!J65</f>
        <v>25000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6380</v>
      </c>
      <c r="BA375" s="2682">
        <v>65</v>
      </c>
    </row>
    <row r="376" spans="1:53" s="2681" customFormat="1" ht="12" customHeight="1">
      <c r="B376" s="2681" t="s">
        <v>2451</v>
      </c>
      <c r="G376" s="2762">
        <f>'Part III-A-Uses of Funds'!G66</f>
        <v>18000</v>
      </c>
      <c r="H376" s="2762"/>
      <c r="J376" s="2762">
        <f>'Part III-A-Uses of Funds'!J66</f>
        <v>18000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6381</v>
      </c>
      <c r="BA376" s="2682">
        <v>66</v>
      </c>
    </row>
    <row r="377" spans="1:53" s="2681" customFormat="1" ht="12" customHeight="1">
      <c r="B377" s="2681" t="s">
        <v>676</v>
      </c>
      <c r="G377" s="2762">
        <f>'Part III-A-Uses of Funds'!G67</f>
        <v>0</v>
      </c>
      <c r="H377" s="2762"/>
      <c r="J377" s="2762">
        <f>'Part III-A-Uses of Funds'!J67</f>
        <v>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6382</v>
      </c>
      <c r="BA377" s="2682">
        <v>67</v>
      </c>
    </row>
    <row r="378" spans="1:53" s="2681" customFormat="1" ht="12" customHeight="1">
      <c r="B378" s="2681" t="s">
        <v>2170</v>
      </c>
      <c r="G378" s="2762">
        <f>'Part III-A-Uses of Funds'!G68</f>
        <v>50000</v>
      </c>
      <c r="H378" s="2762"/>
      <c r="J378" s="2762">
        <f>'Part III-A-Uses of Funds'!J68</f>
        <v>29750</v>
      </c>
      <c r="K378" s="2762"/>
      <c r="L378" s="2795"/>
      <c r="M378" s="2762">
        <f>'Part III-A-Uses of Funds'!M68</f>
        <v>0</v>
      </c>
      <c r="N378" s="2762"/>
      <c r="P378" s="2762">
        <f>'Part III-A-Uses of Funds'!P68</f>
        <v>0</v>
      </c>
      <c r="Q378" s="2762"/>
      <c r="S378" s="2762">
        <f>'Part III-A-Uses of Funds'!S68</f>
        <v>20250</v>
      </c>
      <c r="T378" s="2762"/>
      <c r="V378" s="2796"/>
      <c r="W378" s="2797"/>
      <c r="X378" s="2797"/>
      <c r="AZ378" s="2702"/>
      <c r="BA378" s="2682">
        <v>68</v>
      </c>
    </row>
    <row r="379" spans="1:53" s="2681" customFormat="1" ht="12" customHeight="1">
      <c r="B379" s="2681" t="s">
        <v>1201</v>
      </c>
      <c r="G379" s="2762">
        <f>'Part III-A-Uses of Funds'!G69</f>
        <v>5000</v>
      </c>
      <c r="H379" s="2762"/>
      <c r="J379" s="2762">
        <f>'Part III-A-Uses of Funds'!J69</f>
        <v>0</v>
      </c>
      <c r="K379" s="2762"/>
      <c r="L379" s="2795"/>
      <c r="M379" s="2762">
        <f>'Part III-A-Uses of Funds'!M69</f>
        <v>0</v>
      </c>
      <c r="N379" s="2762"/>
      <c r="P379" s="2762">
        <f>'Part III-A-Uses of Funds'!P69</f>
        <v>0</v>
      </c>
      <c r="Q379" s="2762"/>
      <c r="S379" s="2762">
        <f>'Part III-A-Uses of Funds'!S69</f>
        <v>5000</v>
      </c>
      <c r="T379" s="2762"/>
      <c r="V379" s="2796"/>
      <c r="W379" s="2797"/>
      <c r="X379" s="2797"/>
      <c r="AZ379" s="2702"/>
      <c r="BA379" s="2682">
        <v>69</v>
      </c>
    </row>
    <row r="380" spans="1:53" s="2681" customFormat="1" ht="12" customHeight="1">
      <c r="B380" s="2825" t="s">
        <v>1086</v>
      </c>
      <c r="D380" s="2826"/>
      <c r="E380" s="2826"/>
      <c r="F380" s="2827"/>
      <c r="G380" s="2762">
        <f>'Part III-A-Uses of Funds'!G70</f>
        <v>72321</v>
      </c>
      <c r="H380" s="2762"/>
      <c r="J380" s="2762">
        <f>'Part III-A-Uses of Funds'!J70</f>
        <v>72321</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6281</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6282</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799067</v>
      </c>
      <c r="H383" s="2792"/>
      <c r="J383" s="2792">
        <f>SUM(J371:J382)</f>
        <v>687882</v>
      </c>
      <c r="K383" s="2792"/>
      <c r="L383" s="2795"/>
      <c r="M383" s="2792">
        <f>SUM(M371:M382)</f>
        <v>0</v>
      </c>
      <c r="N383" s="2792"/>
      <c r="P383" s="2792">
        <f>SUM(P371:P382)</f>
        <v>0</v>
      </c>
      <c r="Q383" s="2792"/>
      <c r="S383" s="2792">
        <f>SUM(S371:S382)</f>
        <v>111185</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195000</v>
      </c>
      <c r="H385" s="2762"/>
      <c r="J385" s="2762">
        <f>'Part III-A-Uses of Funds'!J75</f>
        <v>195000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65000</v>
      </c>
      <c r="H386" s="2762"/>
      <c r="J386" s="2762">
        <f>'Part III-A-Uses of Funds'!J76</f>
        <v>65000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12000</v>
      </c>
      <c r="H387" s="2762"/>
      <c r="J387" s="2762">
        <f>'Part III-A-Uses of Funds'!J77</f>
        <v>12000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8000</v>
      </c>
      <c r="H388" s="2762"/>
      <c r="J388" s="2762">
        <f>'Part III-A-Uses of Funds'!J78</f>
        <v>8000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7500</v>
      </c>
      <c r="H389" s="2762"/>
      <c r="J389" s="2762">
        <f>'Part III-A-Uses of Funds'!J79</f>
        <v>7500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6383</v>
      </c>
      <c r="BA389" s="2682">
        <v>79</v>
      </c>
    </row>
    <row r="390" spans="1:53" s="2681" customFormat="1" ht="12" customHeight="1">
      <c r="B390" s="2681" t="s">
        <v>1065</v>
      </c>
      <c r="G390" s="2762">
        <f>'Part III-A-Uses of Funds'!G80</f>
        <v>35000</v>
      </c>
      <c r="H390" s="2762"/>
      <c r="J390" s="2762">
        <f>'Part III-A-Uses of Funds'!J80</f>
        <v>35000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6384</v>
      </c>
      <c r="BA390" s="2682">
        <v>80</v>
      </c>
    </row>
    <row r="391" spans="1:53" s="2681" customFormat="1" ht="12" customHeight="1">
      <c r="B391" s="2681" t="s">
        <v>452</v>
      </c>
      <c r="G391" s="2762">
        <f>'Part III-A-Uses of Funds'!G81</f>
        <v>100000</v>
      </c>
      <c r="H391" s="2762"/>
      <c r="J391" s="2762">
        <f>'Part III-A-Uses of Funds'!J81</f>
        <v>100000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75000</v>
      </c>
      <c r="H392" s="2762"/>
      <c r="J392" s="2762">
        <f>'Part III-A-Uses of Funds'!J82</f>
        <v>70000</v>
      </c>
      <c r="K392" s="2762"/>
      <c r="L392" s="2795"/>
      <c r="M392" s="2762">
        <f>'Part III-A-Uses of Funds'!M82</f>
        <v>0</v>
      </c>
      <c r="N392" s="2762"/>
      <c r="P392" s="2762">
        <f>'Part III-A-Uses of Funds'!P82</f>
        <v>0</v>
      </c>
      <c r="Q392" s="2762"/>
      <c r="S392" s="2762">
        <f>'Part III-A-Uses of Funds'!S82</f>
        <v>5000</v>
      </c>
      <c r="T392" s="2762"/>
      <c r="V392" s="2796"/>
      <c r="W392" s="2797"/>
      <c r="X392" s="2797"/>
      <c r="AZ392" s="2702"/>
      <c r="BA392" s="2682">
        <v>82</v>
      </c>
    </row>
    <row r="393" spans="1:53" s="2681" customFormat="1" ht="12" customHeight="1">
      <c r="B393" s="2681" t="s">
        <v>1900</v>
      </c>
      <c r="G393" s="2762">
        <f>'Part III-A-Uses of Funds'!G83</f>
        <v>25000</v>
      </c>
      <c r="H393" s="2762"/>
      <c r="J393" s="2762">
        <f>'Part III-A-Uses of Funds'!J83</f>
        <v>22500</v>
      </c>
      <c r="K393" s="2762"/>
      <c r="L393" s="2795"/>
      <c r="M393" s="2762">
        <f>'Part III-A-Uses of Funds'!M83</f>
        <v>0</v>
      </c>
      <c r="N393" s="2762"/>
      <c r="P393" s="2762">
        <f>'Part III-A-Uses of Funds'!P83</f>
        <v>0</v>
      </c>
      <c r="Q393" s="2762"/>
      <c r="S393" s="2762">
        <f>'Part III-A-Uses of Funds'!S83</f>
        <v>2500</v>
      </c>
      <c r="T393" s="2762"/>
      <c r="V393" s="2796"/>
      <c r="W393" s="2797"/>
      <c r="X393" s="2797"/>
      <c r="AZ393" s="2702"/>
      <c r="BA393" s="2682">
        <v>83</v>
      </c>
    </row>
    <row r="394" spans="1:53" s="2681" customFormat="1" ht="12" customHeight="1">
      <c r="B394" s="2681" t="s">
        <v>1202</v>
      </c>
      <c r="G394" s="2762">
        <f>'Part III-A-Uses of Funds'!G84</f>
        <v>15000</v>
      </c>
      <c r="H394" s="2762"/>
      <c r="J394" s="2762">
        <f>'Part III-A-Uses of Funds'!J84</f>
        <v>15000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6283</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537500</v>
      </c>
      <c r="H396" s="2792"/>
      <c r="J396" s="2792">
        <f>SUM(J385:J395)</f>
        <v>530000</v>
      </c>
      <c r="K396" s="2792"/>
      <c r="L396" s="2795"/>
      <c r="M396" s="2792">
        <f>SUM(M385:M395)</f>
        <v>0</v>
      </c>
      <c r="N396" s="2792"/>
      <c r="P396" s="2792">
        <f>SUM(P385:P395)</f>
        <v>0</v>
      </c>
      <c r="Q396" s="2792"/>
      <c r="S396" s="2792">
        <f>SUM(S385:S395)</f>
        <v>7500</v>
      </c>
      <c r="T396" s="2792"/>
      <c r="V396" s="2796">
        <f>SUM(V385:V395)</f>
        <v>0</v>
      </c>
      <c r="W396" s="2797"/>
      <c r="X396" s="2797"/>
      <c r="AZ396" s="2702" t="s">
        <v>6385</v>
      </c>
      <c r="BA396" s="2682">
        <v>86</v>
      </c>
    </row>
    <row r="397" spans="1:53" s="2693" customFormat="1" ht="12" customHeight="1">
      <c r="A397" s="2681"/>
      <c r="B397" s="2681" t="s">
        <v>1194</v>
      </c>
      <c r="C397" s="2681"/>
      <c r="D397" s="2829" t="s">
        <v>3230</v>
      </c>
      <c r="E397" s="2830">
        <f>G402/'Part V-Revenues &amp; Expenses'!$P$67</f>
        <v>2723.0769230769229</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40000</v>
      </c>
      <c r="H398" s="2762"/>
      <c r="J398" s="2762">
        <f>'Part III-A-Uses of Funds'!J88</f>
        <v>40000</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37000</v>
      </c>
      <c r="H399" s="2762"/>
      <c r="J399" s="2762">
        <f>'Part III-A-Uses of Funds'!J89</f>
        <v>37000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38780</v>
      </c>
      <c r="H400" s="2762"/>
      <c r="J400" s="2762">
        <f>'Part III-A-Uses of Funds'!J90</f>
        <v>38780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25820</v>
      </c>
      <c r="H401" s="2762"/>
      <c r="J401" s="2762">
        <f>'Part III-A-Uses of Funds'!J91</f>
        <v>25820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141600</v>
      </c>
      <c r="H402" s="2792"/>
      <c r="J402" s="2792">
        <f>SUM(J398:J401)</f>
        <v>141600</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6833</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6386</v>
      </c>
      <c r="BA406" s="2682">
        <v>96</v>
      </c>
    </row>
    <row r="407" spans="1:53" s="2681" customFormat="1" ht="12" customHeight="1">
      <c r="B407" s="2681" t="s">
        <v>1199</v>
      </c>
      <c r="G407" s="2762">
        <f>'Part III-A-Uses of Funds'!G97</f>
        <v>13200</v>
      </c>
      <c r="H407" s="2762"/>
      <c r="J407" s="2792"/>
      <c r="K407" s="2792"/>
      <c r="L407" s="2795"/>
      <c r="M407" s="2792"/>
      <c r="N407" s="2792"/>
      <c r="P407" s="2792"/>
      <c r="Q407" s="2792"/>
      <c r="S407" s="2762">
        <f>'Part III-A-Uses of Funds'!S97</f>
        <v>13200</v>
      </c>
      <c r="T407" s="2762"/>
      <c r="V407" s="2796"/>
      <c r="W407" s="2797"/>
      <c r="X407" s="2797"/>
      <c r="AZ407" s="2702" t="s">
        <v>6387</v>
      </c>
      <c r="BA407" s="2682">
        <v>97</v>
      </c>
    </row>
    <row r="408" spans="1:53" s="2681" customFormat="1" ht="12" customHeight="1">
      <c r="B408" s="2681" t="s">
        <v>1200</v>
      </c>
      <c r="G408" s="2762">
        <f>'Part III-A-Uses of Funds'!G98</f>
        <v>20000</v>
      </c>
      <c r="H408" s="2762"/>
      <c r="J408" s="2792"/>
      <c r="K408" s="2792"/>
      <c r="L408" s="2795"/>
      <c r="M408" s="2792"/>
      <c r="N408" s="2792"/>
      <c r="P408" s="2792"/>
      <c r="Q408" s="2792"/>
      <c r="S408" s="2762">
        <f>'Part III-A-Uses of Funds'!S98</f>
        <v>20000</v>
      </c>
      <c r="T408" s="2762"/>
      <c r="V408" s="2796"/>
      <c r="W408" s="2797"/>
      <c r="X408" s="2797"/>
      <c r="AZ408" s="2702"/>
      <c r="BA408" s="2682">
        <v>98</v>
      </c>
    </row>
    <row r="409" spans="1:53" s="2681" customFormat="1" ht="12" customHeight="1">
      <c r="B409" s="2681" t="s">
        <v>1201</v>
      </c>
      <c r="G409" s="2762">
        <f>'Part III-A-Uses of Funds'!G99</f>
        <v>10000</v>
      </c>
      <c r="H409" s="2762"/>
      <c r="J409" s="2792"/>
      <c r="K409" s="2792"/>
      <c r="L409" s="2795"/>
      <c r="M409" s="2792"/>
      <c r="N409" s="2792"/>
      <c r="P409" s="2792"/>
      <c r="Q409" s="2792"/>
      <c r="S409" s="2762" t="e">
        <f>'Part III-A-Uses of Funds'!#REF!</f>
        <v>#REF!</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Funds'!S99</f>
        <v>10000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6284</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43200</v>
      </c>
      <c r="H413" s="2792"/>
      <c r="J413" s="2792"/>
      <c r="K413" s="2792"/>
      <c r="L413" s="2795"/>
      <c r="M413" s="2792"/>
      <c r="N413" s="2792"/>
      <c r="P413" s="2792"/>
      <c r="Q413" s="2792"/>
      <c r="S413" s="2792" t="e">
        <f>SUM(S407:S412)</f>
        <v>#REF!</v>
      </c>
      <c r="T413" s="2792"/>
      <c r="V413" s="2796">
        <f>SUM(V407:V412)</f>
        <v>0</v>
      </c>
      <c r="W413" s="2797"/>
      <c r="X413" s="2797"/>
      <c r="AZ413" s="2702"/>
      <c r="BA413" s="2682">
        <v>103</v>
      </c>
    </row>
    <row r="414" spans="1:53" s="2681" customFormat="1" ht="13.2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3928</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5"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6711</v>
      </c>
      <c r="AA415" s="2833" t="s">
        <v>6653</v>
      </c>
      <c r="AB415" s="2692"/>
      <c r="AC415" s="2692"/>
      <c r="AD415" s="2834" t="str">
        <f>'Part V-Revenues &amp; Expenses'!$O$53</f>
        <v>40% of Units at 60% of AMI</v>
      </c>
      <c r="AE415" s="2835"/>
      <c r="AF415" s="2835"/>
      <c r="AZ415" s="2702"/>
      <c r="BA415" s="2682">
        <v>105</v>
      </c>
    </row>
    <row r="416" spans="1:53" s="2681" customFormat="1" ht="12.5"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3154</v>
      </c>
      <c r="AB416" s="2819"/>
      <c r="AC416" s="2819"/>
      <c r="AD416" s="2837">
        <f>'Part V-Revenues &amp; Expenses'!$P$67</f>
        <v>52</v>
      </c>
      <c r="AZ416" s="2702" t="s">
        <v>6388</v>
      </c>
      <c r="BA416" s="2682">
        <v>106</v>
      </c>
    </row>
    <row r="417" spans="1:53" s="2681" customFormat="1" ht="12.5" customHeight="1">
      <c r="B417" s="2681" t="s">
        <v>3320</v>
      </c>
      <c r="G417" s="2762">
        <f>'Part III-A-Uses of Funds'!G107</f>
        <v>0</v>
      </c>
      <c r="H417" s="2762"/>
      <c r="J417" s="2795"/>
      <c r="K417" s="2795"/>
      <c r="L417" s="2836"/>
      <c r="M417" s="2795"/>
      <c r="N417" s="2795"/>
      <c r="P417" s="2795"/>
      <c r="Q417" s="2795"/>
      <c r="S417" s="2762">
        <f>'Part III-A-Uses of Funds'!S107</f>
        <v>0</v>
      </c>
      <c r="T417" s="2762"/>
      <c r="V417" s="2796"/>
      <c r="W417" s="2797"/>
      <c r="X417" s="2797"/>
      <c r="Y417" s="2683"/>
      <c r="Z417" s="2683"/>
      <c r="AA417" s="2838" t="s">
        <v>6716</v>
      </c>
      <c r="AB417" s="2692"/>
      <c r="AC417" s="2692"/>
      <c r="AD417" s="2692"/>
      <c r="AF417" s="2839" t="s">
        <v>6717</v>
      </c>
      <c r="AZ417" s="2702" t="s">
        <v>6389</v>
      </c>
      <c r="BA417" s="2682">
        <v>107</v>
      </c>
    </row>
    <row r="418" spans="1:53" s="2681" customFormat="1" ht="12.5" customHeight="1">
      <c r="B418" s="2681" t="s">
        <v>486</v>
      </c>
      <c r="E418" s="2840">
        <f>ROUNDUP('DCA Underwriting Assumptions'!$Q$53*J501,0)</f>
        <v>82800</v>
      </c>
      <c r="F418" s="2840"/>
      <c r="G418" s="2762">
        <f>'Part III-A-Uses of Funds'!G108</f>
        <v>82800</v>
      </c>
      <c r="H418" s="2762"/>
      <c r="J418" s="2841" t="str">
        <f>IF(E418&gt;G418,"WARNING!  LIHTC Allocation Fee proposed is below minimum required.","")</f>
        <v/>
      </c>
      <c r="K418" s="2795"/>
      <c r="L418" s="2795"/>
      <c r="M418" s="2795"/>
      <c r="N418" s="2795"/>
      <c r="P418" s="2795"/>
      <c r="Q418" s="2795"/>
      <c r="S418" s="2762">
        <f>'Part III-A-Uses of Funds'!S108</f>
        <v>82800</v>
      </c>
      <c r="T418" s="2762"/>
      <c r="V418" s="2796"/>
      <c r="W418" s="2797"/>
      <c r="X418" s="2797"/>
      <c r="Y418" s="2683"/>
      <c r="Z418" s="2683"/>
      <c r="AA418" s="2692" t="s">
        <v>6712</v>
      </c>
      <c r="AB418" s="2692"/>
      <c r="AC418" s="2692"/>
      <c r="AD418" s="2842">
        <f>'Part V-Revenues &amp; Expenses'!P446+'Part V-Revenues &amp; Expenses'!P447</f>
        <v>0</v>
      </c>
      <c r="AF418" s="2843">
        <f>AD418*'DCA Underwriting Assumptions'!$Q$60</f>
        <v>0</v>
      </c>
      <c r="AZ418" s="2702" t="s">
        <v>6390</v>
      </c>
      <c r="BA418" s="2682">
        <v>108</v>
      </c>
    </row>
    <row r="419" spans="1:53" s="2681" customFormat="1" ht="12.5" customHeight="1">
      <c r="B419" s="2681" t="s">
        <v>702</v>
      </c>
      <c r="E419" s="2840">
        <f>AF421+AF425</f>
        <v>41600</v>
      </c>
      <c r="F419" s="2840"/>
      <c r="G419" s="2762">
        <f>'Part III-A-Uses of Funds'!G109</f>
        <v>41600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41600</v>
      </c>
      <c r="T419" s="2762"/>
      <c r="V419" s="2796"/>
      <c r="W419" s="2797"/>
      <c r="X419" s="2797"/>
      <c r="Y419" s="2683"/>
      <c r="Z419" s="2683"/>
      <c r="AA419" s="2692" t="s">
        <v>6292</v>
      </c>
      <c r="AB419" s="2692"/>
      <c r="AC419" s="2692"/>
      <c r="AD419" s="2842">
        <f>'Part V-Revenues &amp; Expenses'!$P$140+'Part V-Revenues &amp; Expenses'!$P$141</f>
        <v>0</v>
      </c>
      <c r="AF419" s="2843">
        <f>AD419*'DCA Underwriting Assumptions'!$Q$60</f>
        <v>0</v>
      </c>
      <c r="AZ419" s="2702"/>
      <c r="BA419" s="2697">
        <v>109</v>
      </c>
    </row>
    <row r="420" spans="1:53" s="2681" customFormat="1" ht="12.5" customHeight="1">
      <c r="B420" s="2681" t="s">
        <v>3450</v>
      </c>
      <c r="F420" s="2845"/>
      <c r="G420" s="2762">
        <f>'Part III-A-Uses of Funds'!G110</f>
        <v>3500</v>
      </c>
      <c r="H420" s="2762"/>
      <c r="I420" s="2844"/>
      <c r="J420" s="2844"/>
      <c r="K420" s="2844"/>
      <c r="L420" s="2844"/>
      <c r="M420" s="2844"/>
      <c r="N420" s="2844"/>
      <c r="O420" s="2844"/>
      <c r="P420" s="2844"/>
      <c r="Q420" s="2844"/>
      <c r="R420" s="2844"/>
      <c r="S420" s="2762">
        <f>'Part III-A-Uses of Funds'!S110</f>
        <v>3500</v>
      </c>
      <c r="T420" s="2762"/>
      <c r="V420" s="2796"/>
      <c r="W420" s="2797"/>
      <c r="X420" s="2797"/>
      <c r="Y420" s="2683"/>
      <c r="AA420" s="2692" t="s">
        <v>6713</v>
      </c>
      <c r="AB420" s="2692"/>
      <c r="AC420" s="2692"/>
      <c r="AD420" s="2842">
        <f>'Part V-Revenues &amp; Expenses'!$P$142+'Part V-Revenues &amp; Expenses'!$P$143</f>
        <v>0</v>
      </c>
      <c r="AF420" s="2843">
        <f>AD420*'DCA Underwriting Assumptions'!$Q$60</f>
        <v>0</v>
      </c>
      <c r="AZ420" s="2702"/>
      <c r="BA420" s="2682">
        <v>110</v>
      </c>
    </row>
    <row r="421" spans="1:53" s="2681" customFormat="1" ht="12.5" customHeight="1">
      <c r="B421" s="2681" t="s">
        <v>3451</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6714</v>
      </c>
      <c r="AC421" s="2692"/>
      <c r="AD421" s="2842">
        <f>SUM(AD418:AD420)</f>
        <v>0</v>
      </c>
      <c r="AF421" s="2843">
        <f>SUM(AF418:AF420)</f>
        <v>0</v>
      </c>
      <c r="AZ421" s="2702"/>
      <c r="BA421" s="2682">
        <v>111</v>
      </c>
    </row>
    <row r="422" spans="1:53" s="2681" customFormat="1" ht="12.5" customHeight="1">
      <c r="A422" s="2798" t="str">
        <f>IF(AND(G422&gt;0,OR(C422="",C422="&lt;Enter detailed description here; use Comments section if needed&gt;")),"X","")</f>
        <v/>
      </c>
      <c r="B422" s="2692" t="s">
        <v>6280</v>
      </c>
      <c r="C422" s="2698">
        <f>'Part III-A-Uses of Funds'!C112</f>
        <v>0</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6715</v>
      </c>
      <c r="AB422" s="2692"/>
      <c r="AC422" s="2822"/>
      <c r="AD422" s="2692"/>
      <c r="AF422" s="2843"/>
      <c r="AZ422" s="2702"/>
      <c r="BA422" s="2697">
        <v>112</v>
      </c>
    </row>
    <row r="423" spans="1:53" s="2681" customFormat="1" ht="12.5" customHeight="1">
      <c r="A423" s="2798" t="str">
        <f>IF(AND(G423&gt;0,OR(C423="",C423="&lt;Enter detailed description here; use Comments section if needed&gt;")),"X","")</f>
        <v/>
      </c>
      <c r="B423" s="2692" t="s">
        <v>6280</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0</v>
      </c>
      <c r="AF423" s="2843">
        <f>IF($AD$105="Income Averaging",AD423*'DCA Underwriting Assumptions'!$Q$58,AD423*'DCA Underwriting Assumptions'!$Q$57)</f>
        <v>0</v>
      </c>
      <c r="AZ423" s="2702" t="s">
        <v>6391</v>
      </c>
      <c r="BA423" s="2682">
        <v>113</v>
      </c>
    </row>
    <row r="424" spans="1:53" s="2681" customFormat="1" ht="12.5" customHeight="1">
      <c r="F424" s="2800" t="s">
        <v>184</v>
      </c>
      <c r="G424" s="2792">
        <f>SUM(G415:G423)</f>
        <v>137400</v>
      </c>
      <c r="H424" s="2792"/>
      <c r="J424" s="2795"/>
      <c r="K424" s="2795"/>
      <c r="L424" s="2795"/>
      <c r="M424" s="2795"/>
      <c r="N424" s="2795"/>
      <c r="P424" s="2795"/>
      <c r="Q424" s="2795"/>
      <c r="S424" s="2792">
        <f>SUM(S415:S423)</f>
        <v>137400</v>
      </c>
      <c r="T424" s="2792"/>
      <c r="V424" s="2796">
        <f>SUM(V415:V423)</f>
        <v>0</v>
      </c>
      <c r="W424" s="2846"/>
      <c r="X424" s="2846"/>
      <c r="AA424" s="2692" t="s">
        <v>6484</v>
      </c>
      <c r="AB424" s="2692"/>
      <c r="AC424" s="2847"/>
      <c r="AD424" s="2842">
        <f>'Part V-Revenues &amp; Expenses'!$P$138+'Part V-Revenues &amp; Expenses'!$P$139</f>
        <v>52</v>
      </c>
      <c r="AF424" s="2843">
        <f>IF($AD$105="Income Averaging",AD424*'DCA Underwriting Assumptions'!$Q$58,AD424*'DCA Underwriting Assumptions'!$Q$57)</f>
        <v>41600</v>
      </c>
      <c r="AZ424" s="2702" t="s">
        <v>6392</v>
      </c>
      <c r="BA424" s="2682">
        <v>114</v>
      </c>
    </row>
    <row r="425" spans="1:53" s="2681" customFormat="1" ht="13.2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6714</v>
      </c>
      <c r="AC425" s="2692"/>
      <c r="AD425" s="2842">
        <f>SUM(AD423:AD424)</f>
        <v>52</v>
      </c>
      <c r="AF425" s="2843">
        <f>SUM(AF423:AF424)</f>
        <v>41600</v>
      </c>
      <c r="AZ425" s="2751"/>
      <c r="BA425" s="2682">
        <v>115</v>
      </c>
    </row>
    <row r="426" spans="1:53" s="2681" customFormat="1" ht="12.5" customHeight="1">
      <c r="B426" s="2681" t="s">
        <v>267</v>
      </c>
      <c r="G426" s="2762">
        <f>'Part III-A-Uses of Funds'!G116</f>
        <v>2500</v>
      </c>
      <c r="H426" s="2762"/>
      <c r="J426" s="2792"/>
      <c r="K426" s="2792"/>
      <c r="L426" s="2795"/>
      <c r="M426" s="2792"/>
      <c r="N426" s="2792"/>
      <c r="P426" s="2792"/>
      <c r="Q426" s="2792"/>
      <c r="S426" s="2762">
        <f>'Part III-A-Uses of Funds'!S116</f>
        <v>2500</v>
      </c>
      <c r="T426" s="2762"/>
      <c r="V426" s="2796"/>
      <c r="W426" s="2797"/>
      <c r="X426" s="2797"/>
      <c r="AZ426" s="2751"/>
      <c r="BA426" s="2682">
        <v>116</v>
      </c>
    </row>
    <row r="427" spans="1:53" s="2681" customFormat="1" ht="12.5"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5" customHeight="1">
      <c r="B428" s="2681" t="s">
        <v>2201</v>
      </c>
      <c r="G428" s="2762">
        <f>'Part III-A-Uses of Funds'!G118</f>
        <v>50000</v>
      </c>
      <c r="H428" s="2762"/>
      <c r="J428" s="2792"/>
      <c r="K428" s="2792"/>
      <c r="L428" s="2795"/>
      <c r="M428" s="2792"/>
      <c r="N428" s="2792"/>
      <c r="P428" s="2792"/>
      <c r="Q428" s="2792"/>
      <c r="S428" s="2762">
        <f>'Part III-A-Uses of Funds'!S118</f>
        <v>50000</v>
      </c>
      <c r="T428" s="2762"/>
      <c r="V428" s="2796"/>
      <c r="W428" s="2797"/>
      <c r="X428" s="2797"/>
      <c r="AZ428" s="2751"/>
      <c r="BA428" s="2682">
        <v>118</v>
      </c>
    </row>
    <row r="429" spans="1:53" s="2681" customFormat="1" ht="12.5" customHeight="1">
      <c r="A429" s="2798" t="str">
        <f>IF(AND(G429&gt;0,OR(C429="",C429="&lt;Enter detailed description here; use Comments section if needed&gt;")),"X","")</f>
        <v/>
      </c>
      <c r="B429" s="2692" t="s">
        <v>6280</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5" customHeight="1">
      <c r="F430" s="2800" t="s">
        <v>184</v>
      </c>
      <c r="G430" s="2792">
        <f>SUM(G426:G429)</f>
        <v>52500</v>
      </c>
      <c r="H430" s="2792"/>
      <c r="J430" s="2792"/>
      <c r="K430" s="2792"/>
      <c r="L430" s="2795"/>
      <c r="M430" s="2792"/>
      <c r="N430" s="2792"/>
      <c r="P430" s="2792"/>
      <c r="Q430" s="2792"/>
      <c r="S430" s="2792">
        <f>SUM(S426:S429)</f>
        <v>52500</v>
      </c>
      <c r="T430" s="2792"/>
      <c r="V430" s="2796">
        <f>SUM(V426:V429)</f>
        <v>0</v>
      </c>
      <c r="W430" s="2797"/>
      <c r="X430" s="2797"/>
      <c r="AC430" s="2848" t="s">
        <v>3925</v>
      </c>
      <c r="AD430" s="2848" t="s">
        <v>3926</v>
      </c>
      <c r="AE430" s="2848" t="s">
        <v>3929</v>
      </c>
      <c r="AF430" s="2849" t="s">
        <v>3927</v>
      </c>
      <c r="AG430" s="2848" t="s">
        <v>3918</v>
      </c>
      <c r="AH430" s="2848" t="s">
        <v>6748</v>
      </c>
      <c r="AI430" s="2848"/>
      <c r="AZ430" s="2751"/>
      <c r="BA430" s="2682">
        <v>120</v>
      </c>
    </row>
    <row r="431" spans="1:53" s="2681" customFormat="1" ht="13.25" customHeight="1">
      <c r="B431" s="2681" t="s">
        <v>269</v>
      </c>
      <c r="D431" s="2780" t="s">
        <v>3928</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3916</v>
      </c>
      <c r="Z431" s="2833"/>
      <c r="AA431" s="2822" t="s">
        <v>3922</v>
      </c>
      <c r="AB431" s="2822" t="s">
        <v>3923</v>
      </c>
      <c r="AC431" s="2848"/>
      <c r="AD431" s="2848"/>
      <c r="AE431" s="2848"/>
      <c r="AF431" s="2849"/>
      <c r="AG431" s="2848"/>
      <c r="AH431" s="2848"/>
      <c r="AI431" s="2848"/>
      <c r="AK431" s="2851"/>
      <c r="AZ431" s="2751" t="s">
        <v>6393</v>
      </c>
      <c r="BA431" s="2697">
        <v>121</v>
      </c>
    </row>
    <row r="432" spans="1:53" s="2681" customFormat="1" ht="12.5" customHeight="1">
      <c r="B432" s="2681" t="s">
        <v>1724</v>
      </c>
      <c r="F432" s="2773">
        <f>IF($G$127=0,0,G432/$G$127)</f>
        <v>0</v>
      </c>
      <c r="G432" s="2762">
        <f>'Part III-A-Uses of Funds'!G122</f>
        <v>0</v>
      </c>
      <c r="H432" s="2762"/>
      <c r="J432" s="2762">
        <f>'Part III-A-Uses of Funds'!J122</f>
        <v>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5" customHeight="1">
      <c r="B433" s="2681" t="s">
        <v>3413</v>
      </c>
      <c r="F433" s="2856"/>
      <c r="G433" s="2847" t="s">
        <v>6728</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5" customHeight="1">
      <c r="B434" s="2681" t="s">
        <v>1725</v>
      </c>
      <c r="F434" s="2773">
        <f>IF($G$127=0,0,G434/$G$127)</f>
        <v>0</v>
      </c>
      <c r="G434" s="2762">
        <f>'Part III-A-Uses of Funds'!G124</f>
        <v>35000</v>
      </c>
      <c r="H434" s="2762"/>
      <c r="J434" s="2762">
        <f>'Part III-A-Uses of Funds'!J124</f>
        <v>35000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5"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5" customHeight="1">
      <c r="B436" s="2681" t="s">
        <v>1717</v>
      </c>
      <c r="F436" s="2773">
        <f>IF($G$127=0,0,G436/$G$127)</f>
        <v>0</v>
      </c>
      <c r="G436" s="2762">
        <f>'Part III-A-Uses of Funds'!G126</f>
        <v>1384000</v>
      </c>
      <c r="H436" s="2762"/>
      <c r="J436" s="2762">
        <f>'Part III-A-Uses of Funds'!J126</f>
        <v>1384000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5" customHeight="1">
      <c r="A437" s="2686" t="str">
        <f>IF(G437&gt;E437,"DF over limit!  Round down/Enter nbr.","")</f>
        <v/>
      </c>
      <c r="B437" s="2858"/>
      <c r="D437" s="2780" t="s">
        <v>3924</v>
      </c>
      <c r="E437" s="2859" t="str">
        <f>IF(E431="9%",AH432,IF(E431="4%",AH435,"Select App Type!"))</f>
        <v>Select App Type!</v>
      </c>
      <c r="F437" s="2800" t="s">
        <v>184</v>
      </c>
      <c r="G437" s="2792">
        <f>SUM(G432:G436)</f>
        <v>1419000</v>
      </c>
      <c r="H437" s="2792"/>
      <c r="J437" s="2792">
        <f>SUM(J432:J436)</f>
        <v>1419000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2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6394</v>
      </c>
      <c r="BA438" s="2682">
        <v>128</v>
      </c>
    </row>
    <row r="439" spans="1:53" s="2681" customFormat="1" ht="12.5" customHeight="1">
      <c r="B439" s="2681" t="s">
        <v>241</v>
      </c>
      <c r="G439" s="2762">
        <f>'Part III-A-Uses of Funds'!G129</f>
        <v>25000</v>
      </c>
      <c r="H439" s="2762"/>
      <c r="J439" s="2836"/>
      <c r="K439" s="2836"/>
      <c r="L439" s="2836"/>
      <c r="M439" s="2836"/>
      <c r="N439" s="2836"/>
      <c r="P439" s="2836"/>
      <c r="Q439" s="2836"/>
      <c r="S439" s="2762">
        <f>'Part III-A-Uses of Funds'!S129</f>
        <v>25000</v>
      </c>
      <c r="T439" s="2762"/>
      <c r="V439" s="2796"/>
      <c r="W439" s="2797"/>
      <c r="X439" s="2797"/>
      <c r="Z439" s="2860"/>
      <c r="AB439" s="2851"/>
      <c r="AC439" s="2751"/>
      <c r="AD439" s="2751"/>
      <c r="AF439" s="2751"/>
      <c r="AG439" s="2751"/>
      <c r="AH439" s="2751"/>
      <c r="AI439" s="2751"/>
      <c r="AJ439" s="2751"/>
      <c r="AK439" s="2751"/>
      <c r="AZ439" s="2702" t="s">
        <v>6395</v>
      </c>
      <c r="BA439" s="2682">
        <v>129</v>
      </c>
    </row>
    <row r="440" spans="1:53" s="2681" customFormat="1" ht="12.5" customHeight="1">
      <c r="B440" s="2681" t="s">
        <v>1437</v>
      </c>
      <c r="F440" s="2803">
        <f>+'Part V-Revenues &amp; Expenses'!$Q$228*('DCA Underwriting Assumptions'!$Q$87/12)</f>
        <v>71008.75</v>
      </c>
      <c r="G440" s="2762">
        <f>'Part III-A-Uses of Funds'!G130</f>
        <v>71009</v>
      </c>
      <c r="H440" s="2762"/>
      <c r="J440" s="2861" t="str">
        <f>IF(E440&gt;G440,"WARNING! Rent-Up Reserves proposed is below minimum - add comment.","")</f>
        <v/>
      </c>
      <c r="K440" s="2861"/>
      <c r="L440" s="2795"/>
      <c r="M440" s="2792"/>
      <c r="N440" s="2792"/>
      <c r="P440" s="2792"/>
      <c r="Q440" s="2792"/>
      <c r="S440" s="2762">
        <f>'Part III-A-Uses of Funds'!S130</f>
        <v>71009</v>
      </c>
      <c r="T440" s="2762"/>
      <c r="V440" s="2796"/>
      <c r="W440" s="2797"/>
      <c r="X440" s="2797"/>
      <c r="Y440" s="652"/>
      <c r="Z440" s="2852"/>
      <c r="AB440" s="2850"/>
      <c r="AD440" s="2751"/>
      <c r="AG440" s="2751"/>
      <c r="AH440" s="2751"/>
      <c r="AI440" s="2751"/>
      <c r="AZ440" s="2702"/>
      <c r="BA440" s="2697">
        <v>130</v>
      </c>
    </row>
    <row r="441" spans="1:53" s="2681" customFormat="1" ht="12.5" customHeight="1">
      <c r="B441" s="2681" t="s">
        <v>632</v>
      </c>
      <c r="F441" s="2803">
        <f>'Part V-Revenues &amp; Expenses'!$Q$228*('DCA Underwriting Assumptions'!$Q$86/12)+('Part VI-Pro Forma'!$B$26+'Part VI-Pro Forma'!$B$27+'Part VI-Pro Forma'!$B$28+'Part VI-Pro Forma'!$B$29)*'DCA Underwriting Assumptions'!$Q$85/(-12)</f>
        <v>192077.28746064272</v>
      </c>
      <c r="G441" s="2762">
        <f>'Part III-A-Uses of Funds'!G131</f>
        <v>192077</v>
      </c>
      <c r="H441" s="2762"/>
      <c r="J441" s="2861" t="str">
        <f>IF(E441&gt;G441,"WARNING! ODR proposed is below minimum - add comment.","")</f>
        <v/>
      </c>
      <c r="K441" s="2836"/>
      <c r="L441" s="2836"/>
      <c r="M441" s="2836"/>
      <c r="N441" s="2836"/>
      <c r="P441" s="2836"/>
      <c r="Q441" s="2836"/>
      <c r="S441" s="2762">
        <f>'Part III-A-Uses of Funds'!S131</f>
        <v>192077</v>
      </c>
      <c r="T441" s="2762"/>
      <c r="V441" s="2796"/>
      <c r="W441" s="2797"/>
      <c r="X441" s="2797"/>
      <c r="Y441" s="652"/>
      <c r="Z441" s="2852"/>
      <c r="AB441" s="2850"/>
      <c r="AD441" s="2751"/>
      <c r="AG441" s="2751"/>
      <c r="AH441" s="2751"/>
      <c r="AI441" s="2751"/>
      <c r="AZ441" s="2702"/>
      <c r="BA441" s="2682">
        <v>131</v>
      </c>
    </row>
    <row r="442" spans="1:53" s="2681" customFormat="1" ht="12.5"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6396</v>
      </c>
      <c r="BA442" s="2682">
        <v>132</v>
      </c>
    </row>
    <row r="443" spans="1:53" s="2681" customFormat="1" ht="12.5" customHeight="1">
      <c r="B443" s="2681" t="s">
        <v>1172</v>
      </c>
      <c r="E443" s="2802" t="s">
        <v>3140</v>
      </c>
      <c r="F443" s="2803">
        <f>IF('Part V-Revenues &amp; Expenses'!$P$67=0,0,G443/'Part V-Revenues &amp; Expenses'!$P$67)</f>
        <v>1500</v>
      </c>
      <c r="G443" s="2762">
        <f>'Part III-A-Uses of Funds'!G133</f>
        <v>78000</v>
      </c>
      <c r="H443" s="2762"/>
      <c r="J443" s="2762">
        <f>'Part III-A-Uses of Funds'!J133</f>
        <v>78000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6397</v>
      </c>
      <c r="BA443" s="2682">
        <v>133</v>
      </c>
    </row>
    <row r="444" spans="1:53" s="2681" customFormat="1" ht="12.5" customHeight="1">
      <c r="A444" s="2798" t="str">
        <f>IF(AND(G444&gt;0,OR(C444="",C444="&lt;Enter detailed description here; use Comments section if needed&gt;")),"X","")</f>
        <v/>
      </c>
      <c r="B444" s="2692" t="s">
        <v>6280</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5" customHeight="1">
      <c r="B445" s="2862"/>
      <c r="F445" s="2800" t="s">
        <v>184</v>
      </c>
      <c r="G445" s="2792">
        <f>SUM(G439:G444)</f>
        <v>366086</v>
      </c>
      <c r="H445" s="2792"/>
      <c r="J445" s="2792">
        <f>SUM(J443:J444)</f>
        <v>78000</v>
      </c>
      <c r="K445" s="2792"/>
      <c r="L445" s="2795"/>
      <c r="M445" s="2792">
        <f>SUM(M443:M444)</f>
        <v>0</v>
      </c>
      <c r="N445" s="2792"/>
      <c r="P445" s="2792">
        <f>SUM(P443:P444)</f>
        <v>0</v>
      </c>
      <c r="Q445" s="2792"/>
      <c r="S445" s="2792">
        <f>SUM(S439:S444)</f>
        <v>288086</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5"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6833</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2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5" customHeight="1">
      <c r="B452" s="2681" t="s">
        <v>569</v>
      </c>
      <c r="C452" s="2694"/>
      <c r="G452" s="2762">
        <f>'Part III-A-Uses of Funds'!G142</f>
        <v>190800</v>
      </c>
      <c r="H452" s="2762"/>
      <c r="J452" s="2762">
        <f>'Part III-A-Uses of Funds'!J142</f>
        <v>190800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5" customHeight="1">
      <c r="A453" s="2798" t="str">
        <f>IF(AND(G453&gt;0,OR(C453="",C453="&lt;Enter detailed description here; use Comments section if needed&gt;")),"X","")</f>
        <v/>
      </c>
      <c r="B453" s="2692" t="s">
        <v>6280</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5" customHeight="1">
      <c r="C454" s="2694"/>
      <c r="F454" s="2800" t="s">
        <v>184</v>
      </c>
      <c r="G454" s="2792">
        <f>SUM(G452:G453)</f>
        <v>190800</v>
      </c>
      <c r="H454" s="2792"/>
      <c r="J454" s="2792">
        <f>SUM(J452:J453)</f>
        <v>190800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6834</v>
      </c>
      <c r="E456" s="2802"/>
      <c r="F456" s="2867"/>
      <c r="G456" s="2792">
        <f>G328+G334+G338+G346+G351+G356+G365+G383+G396+G402+G413+G424+G430+G437+G445+G454</f>
        <v>16513230</v>
      </c>
      <c r="H456" s="2792"/>
      <c r="J456" s="2792">
        <f>J328+J334+J338+J346+J351+J356+J365+J383+J396+J402+J413+J424+J430+J437+J445+J454</f>
        <v>15098409</v>
      </c>
      <c r="K456" s="2792"/>
      <c r="M456" s="2792">
        <f>M328+M334+M338+M346+M351+M356+M365+M383+M396+M402+M413+M424+M430+M437+M445+M454</f>
        <v>0</v>
      </c>
      <c r="N456" s="2792"/>
      <c r="P456" s="2792">
        <f>P328+P334+P338+P346+P351+P356+P365+P383+P396+P402+P413+P424+P430+P437+P445+P454</f>
        <v>0</v>
      </c>
      <c r="Q456" s="2792"/>
      <c r="S456" s="2792" t="e">
        <f>S328+S334+S338+S346+S351+S356+S365+S383+S396+S402+S413+S424+S430+S437+S445+S454</f>
        <v>#REF!</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 customHeight="1">
      <c r="B458" s="2810" t="s">
        <v>6757</v>
      </c>
      <c r="C458" s="2814"/>
      <c r="D458" s="2868">
        <f>IF('Part V-Revenues &amp; Expenses'!$P$67=0,0,G456/'Part V-Revenues &amp; Expenses'!$P$67)</f>
        <v>317562.11538461538</v>
      </c>
      <c r="E458" s="2868"/>
      <c r="F458" s="2862" t="s">
        <v>2489</v>
      </c>
      <c r="G458" s="2868">
        <f>IF('Part V-Revenues &amp; Expenses'!$K$175=0,0,G456/'Part V-Revenues &amp; Expenses'!$K$175)</f>
        <v>287.76213296157533</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 customHeight="1">
      <c r="B472" s="2681" t="s">
        <v>1666</v>
      </c>
      <c r="J472" s="2769">
        <f>J456</f>
        <v>15098409</v>
      </c>
      <c r="K472" s="2769"/>
      <c r="M472" s="2769">
        <f>M456</f>
        <v>0</v>
      </c>
      <c r="N472" s="2769"/>
      <c r="P472" s="2769">
        <f>P456</f>
        <v>0</v>
      </c>
      <c r="Q472" s="2769"/>
      <c r="R472" s="2872" t="s">
        <v>3774</v>
      </c>
      <c r="S472" s="2872"/>
      <c r="T472" s="2872"/>
      <c r="V472" s="2796"/>
      <c r="W472" s="2797"/>
      <c r="X472" s="2797"/>
      <c r="AZ472" s="2702"/>
      <c r="BA472" s="2682">
        <v>162</v>
      </c>
    </row>
    <row r="473" spans="2:53" s="2681" customFormat="1" ht="14"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 customHeight="1">
      <c r="B474" s="2681" t="s">
        <v>2054</v>
      </c>
      <c r="J474" s="2769">
        <f>J472-J473</f>
        <v>15098409</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 customHeight="1">
      <c r="B476" s="2681" t="s">
        <v>1904</v>
      </c>
      <c r="J476" s="2769">
        <f>J474*J475</f>
        <v>15098409</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 customHeight="1">
      <c r="B477" s="2681" t="s">
        <v>2340</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 customHeight="1">
      <c r="B478" s="2681" t="s">
        <v>1896</v>
      </c>
      <c r="J478" s="2769">
        <f>J476*J477</f>
        <v>15098409</v>
      </c>
      <c r="K478" s="2769"/>
      <c r="M478" s="2769">
        <f>M476*M477</f>
        <v>0</v>
      </c>
      <c r="N478" s="2769"/>
      <c r="P478" s="2769">
        <f>P476*P477</f>
        <v>0</v>
      </c>
      <c r="Q478" s="2769"/>
      <c r="V478" s="2796"/>
      <c r="W478" s="2797"/>
      <c r="X478" s="2797"/>
      <c r="AZ478" s="2702"/>
      <c r="BA478" s="2682">
        <v>168</v>
      </c>
    </row>
    <row r="479" spans="2:53" s="2681" customFormat="1" ht="14"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 customHeight="1">
      <c r="B480" s="2681" t="s">
        <v>2341</v>
      </c>
      <c r="J480" s="2769">
        <f>J478*J479</f>
        <v>1358856.81</v>
      </c>
      <c r="K480" s="2769"/>
      <c r="M480" s="2769">
        <f>M478*M479</f>
        <v>0</v>
      </c>
      <c r="N480" s="2769"/>
      <c r="P480" s="2769">
        <f>P478*P479</f>
        <v>0</v>
      </c>
      <c r="Q480" s="2769"/>
      <c r="V480" s="2796"/>
      <c r="W480" s="2797"/>
      <c r="X480" s="2797"/>
      <c r="AZ480" s="2702"/>
      <c r="BA480" s="2682">
        <v>170</v>
      </c>
    </row>
    <row r="481" spans="1:53" s="2681" customFormat="1" ht="14" customHeight="1">
      <c r="B481" s="2681" t="s">
        <v>1340</v>
      </c>
      <c r="J481" s="2769">
        <f>ROUNDDOWN(J480+M480+P480,0)</f>
        <v>1358856</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6835</v>
      </c>
      <c r="C486" s="2702"/>
      <c r="J486" s="2769">
        <f>G456</f>
        <v>16513230</v>
      </c>
      <c r="K486" s="2769"/>
      <c r="L486" s="2769"/>
      <c r="N486" s="2872" t="s">
        <v>6722</v>
      </c>
      <c r="O486" s="2872"/>
      <c r="P486" s="2872"/>
      <c r="Q486" s="2872"/>
      <c r="S486" s="2849" t="s">
        <v>3190</v>
      </c>
      <c r="T486" s="2849"/>
      <c r="V486" s="2796"/>
      <c r="W486" s="2797"/>
      <c r="X486" s="2797"/>
      <c r="AZ486" s="2702"/>
      <c r="BA486" s="2682">
        <v>176</v>
      </c>
    </row>
    <row r="487" spans="1:53" s="2681" customFormat="1" ht="14" customHeight="1">
      <c r="B487" s="2681" t="s">
        <v>252</v>
      </c>
      <c r="J487" s="2769">
        <f>'Part II-Sources of Funds'!$I$60-'Part II-Sources of Funds'!$I$44-'Part II-Sources of Funds'!$I$45-'Part II-Sources of Funds'!$I$51-'Part II-Sources of Funds'!$I$52</f>
        <v>1320000</v>
      </c>
      <c r="K487" s="2769"/>
      <c r="L487" s="2769"/>
      <c r="M487" s="2872"/>
      <c r="N487" s="2872"/>
      <c r="O487" s="2872"/>
      <c r="P487" s="2872"/>
      <c r="Q487" s="2872"/>
      <c r="S487" s="2849"/>
      <c r="T487" s="2849"/>
      <c r="V487" s="2796"/>
      <c r="W487" s="2797"/>
      <c r="X487" s="2797"/>
      <c r="AZ487" s="2702"/>
      <c r="BA487" s="2682">
        <v>177</v>
      </c>
    </row>
    <row r="488" spans="1:53" s="2681" customFormat="1" ht="14" customHeight="1">
      <c r="B488" s="2681" t="s">
        <v>2065</v>
      </c>
      <c r="J488" s="2769">
        <f>+J486-J487</f>
        <v>15193230</v>
      </c>
      <c r="K488" s="2769"/>
      <c r="L488" s="2769"/>
      <c r="M488" s="2872"/>
      <c r="N488" s="2872"/>
      <c r="O488" s="2872"/>
      <c r="P488" s="2872"/>
      <c r="Q488" s="2872"/>
      <c r="S488" s="2849"/>
      <c r="T488" s="2849"/>
      <c r="V488" s="2796"/>
      <c r="W488" s="2797"/>
      <c r="X488" s="2797"/>
      <c r="AZ488" s="2702"/>
      <c r="BA488" s="2682">
        <v>178</v>
      </c>
    </row>
    <row r="489" spans="1:53" s="2681" customFormat="1" ht="14"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 customHeight="1">
      <c r="B490" s="2681" t="s">
        <v>1211</v>
      </c>
      <c r="J490" s="2769">
        <f>J488/10</f>
        <v>1519323</v>
      </c>
      <c r="K490" s="2769"/>
      <c r="L490" s="2769"/>
      <c r="N490" s="2880"/>
      <c r="O490" s="2880"/>
      <c r="P490" s="2880"/>
      <c r="Q490" s="2880"/>
      <c r="R490" s="2880"/>
      <c r="V490" s="2796"/>
      <c r="W490" s="2797"/>
      <c r="X490" s="2797"/>
      <c r="AZ490" s="2702"/>
      <c r="BA490" s="2682">
        <v>180</v>
      </c>
    </row>
    <row r="491" spans="1:53" s="2681" customFormat="1" ht="14" customHeight="1">
      <c r="M491" s="2693"/>
      <c r="N491" s="2681" t="s">
        <v>1212</v>
      </c>
      <c r="Q491" s="2681" t="s">
        <v>1672</v>
      </c>
      <c r="V491" s="2796"/>
      <c r="W491" s="2797"/>
      <c r="X491" s="2797"/>
      <c r="Z491" s="2681" t="s">
        <v>1647</v>
      </c>
      <c r="AZ491" s="2702"/>
      <c r="BA491" s="2682">
        <v>181</v>
      </c>
    </row>
    <row r="492" spans="1:53" s="2681" customFormat="1" ht="14" customHeight="1">
      <c r="B492" s="2681" t="s">
        <v>6758</v>
      </c>
      <c r="J492" s="2881">
        <f>N492+Q492</f>
        <v>1.46</v>
      </c>
      <c r="K492" s="2881"/>
      <c r="L492" s="2881"/>
      <c r="M492" s="2682" t="s">
        <v>1213</v>
      </c>
      <c r="N492" s="2882">
        <f>'Part III-A-Uses of Funds'!N182</f>
        <v>0.89</v>
      </c>
      <c r="O492" s="2882"/>
      <c r="P492" s="2682" t="s">
        <v>570</v>
      </c>
      <c r="Q492" s="2882">
        <f>'Part III-A-Uses of Funds'!Q182</f>
        <v>0.56999999999999995</v>
      </c>
      <c r="R492" s="2882"/>
      <c r="V492" s="2796"/>
      <c r="W492" s="2797"/>
      <c r="X492" s="2797"/>
      <c r="Z492" s="2782">
        <f>'DCA Underwriting Assumptions'!Q423</f>
        <v>0</v>
      </c>
      <c r="AZ492" s="2702"/>
      <c r="BA492" s="2682">
        <v>182</v>
      </c>
    </row>
    <row r="493" spans="1:53" s="2681" customFormat="1" ht="14" customHeight="1">
      <c r="B493" s="2681" t="s">
        <v>1341</v>
      </c>
      <c r="J493" s="2769">
        <f>ROUNDDOWN(IF(J492=0,"",J490/J492),0)</f>
        <v>1040632</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 customHeight="1">
      <c r="A495" s="2794" t="s">
        <v>1667</v>
      </c>
      <c r="B495" s="2794" t="s">
        <v>3936</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25" customHeight="1">
      <c r="B497" s="2681" t="s">
        <v>6836</v>
      </c>
      <c r="J497" s="2772">
        <f>'Part III-A-Uses of Funds'!J187</f>
        <v>1035000</v>
      </c>
      <c r="K497" s="2772"/>
      <c r="L497" s="2772"/>
      <c r="Q497" s="2692" t="s">
        <v>6252</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25" customHeight="1">
      <c r="B499" s="2681" t="s">
        <v>6759</v>
      </c>
      <c r="J499" s="2772">
        <f>'Part III-A-Uses of Funds'!J189</f>
        <v>1035000</v>
      </c>
      <c r="K499" s="2772"/>
      <c r="L499" s="2772"/>
      <c r="M499" s="2745" t="str">
        <f>IF(J497=0,"",IF(J499&gt;J497,"Request can't exceed Maximum - REVISE (Try Round Down)!",""))</f>
        <v/>
      </c>
      <c r="N499" s="2745"/>
      <c r="O499" s="2745"/>
      <c r="P499" s="2745"/>
      <c r="Q499" s="2847" t="s">
        <v>6549</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25" customHeight="1">
      <c r="A501" s="2794"/>
      <c r="B501" s="2794" t="s">
        <v>6837</v>
      </c>
      <c r="D501" s="2693"/>
      <c r="E501" s="2693"/>
      <c r="F501" s="2694"/>
      <c r="J501" s="2769">
        <f>IF(J499="",0,+MIN(J497,J499))</f>
        <v>1035000</v>
      </c>
      <c r="K501" s="2769"/>
      <c r="L501" s="2769"/>
      <c r="M501" s="2745"/>
      <c r="N501" s="2745"/>
      <c r="O501" s="2745"/>
      <c r="P501" s="2745"/>
      <c r="Q501" s="2833" t="s">
        <v>3928</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6">
      <c r="A505" s="2722" t="str">
        <f>'Part III-A-Uses of Funds'!A195</f>
        <v>NWGHA is a tax exempt corporation. The property is currently tax exempt. Construction and demo numbers are from the GC we have used on a similar project.  City fees are reduced and a letter from the city is incldued with the app.</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6">
      <c r="A508" s="2886" t="str">
        <f>CONCATENATE("PART THREE (B) -  OTHER COSTS","  -  ",'Part I-Project Identification'!$O$7," - ",'Part I-Project Identification'!$F$29,"  -  ",'Part I-Project Identification'!$F$30,"  -  ",'Part I-Project Identification'!$J$30,",  ","County")</f>
        <v>PART THREE (B) -  OTHER COSTS  -  2022-0 - Cave Spring Townhomes  -  Cave Spring  -  Floyd,  County</v>
      </c>
      <c r="B508" s="2886"/>
      <c r="C508" s="2886"/>
      <c r="D508" s="2886"/>
      <c r="E508" s="2886"/>
      <c r="F508" s="2886"/>
      <c r="G508" s="2886"/>
      <c r="H508" s="2886"/>
      <c r="I508" s="2887"/>
      <c r="J508" s="2887"/>
      <c r="K508" s="2887"/>
      <c r="L508" s="2887"/>
      <c r="M508" s="2887"/>
      <c r="N508" s="2887"/>
    </row>
    <row r="509" spans="1:53" s="2888" customFormat="1"/>
    <row r="510" spans="1:53" s="2888" customFormat="1" ht="14">
      <c r="A510" s="2889" t="s">
        <v>3216</v>
      </c>
      <c r="B510" s="2889"/>
      <c r="C510" s="2889"/>
      <c r="D510" s="2889"/>
      <c r="E510" s="2889"/>
      <c r="F510" s="2889"/>
      <c r="G510" s="2889"/>
      <c r="H510" s="2889"/>
    </row>
    <row r="511" spans="1:53" s="2888" customFormat="1"/>
    <row r="512" spans="1:53" s="2888" customFormat="1" ht="18">
      <c r="A512" s="2890" t="s">
        <v>6760</v>
      </c>
      <c r="B512" s="2890"/>
      <c r="C512" s="2890"/>
      <c r="D512" s="2890"/>
      <c r="F512" s="2891" t="s">
        <v>3208</v>
      </c>
      <c r="G512" s="2887"/>
      <c r="H512" s="2891" t="s">
        <v>3209</v>
      </c>
    </row>
    <row r="513" spans="1:8" s="2888" customFormat="1">
      <c r="A513" s="2887"/>
      <c r="B513" s="2887"/>
      <c r="C513" s="2887"/>
      <c r="D513" s="2887"/>
    </row>
    <row r="514" spans="1:8" s="2893" customFormat="1" ht="1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2">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2">
      <c r="A517" s="2895"/>
      <c r="B517" s="2895"/>
      <c r="C517" s="2895"/>
      <c r="D517" s="2895"/>
      <c r="F517" s="2896"/>
      <c r="G517" s="2894"/>
      <c r="H517" s="2896"/>
    </row>
    <row r="518" spans="1:8" s="2893" customFormat="1" ht="11">
      <c r="F518" s="2896"/>
      <c r="G518" s="2894"/>
      <c r="H518" s="2896"/>
    </row>
    <row r="519" spans="1:8" s="2893" customFormat="1" ht="11">
      <c r="A519" s="2897" t="s">
        <v>3211</v>
      </c>
      <c r="B519" s="2898">
        <f>'Part III-A-Uses of Funds'!$G$15</f>
        <v>0</v>
      </c>
      <c r="C519" s="2897" t="s">
        <v>1666</v>
      </c>
      <c r="D519" s="2898">
        <f>'Part III-A-Uses of Funds'!$J$15+'Part III-A-Uses of Funds'!$M$15+'Part III-A-Uses of Funds'!$P$15</f>
        <v>0</v>
      </c>
      <c r="F519" s="2896"/>
      <c r="G519" s="2894"/>
      <c r="H519" s="2896"/>
    </row>
    <row r="520" spans="1:8" s="2893" customFormat="1" ht="11">
      <c r="A520" s="2894"/>
      <c r="B520" s="2899"/>
      <c r="C520" s="2894"/>
      <c r="D520" s="2894"/>
      <c r="F520" s="2896"/>
      <c r="G520" s="2900"/>
      <c r="H520" s="2896"/>
    </row>
    <row r="521" spans="1:8" s="2893" customFormat="1" ht="12">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2">
      <c r="A522" s="2895"/>
      <c r="B522" s="2895"/>
      <c r="C522" s="2895"/>
      <c r="D522" s="2895"/>
      <c r="F522" s="2896"/>
      <c r="G522" s="2894"/>
      <c r="H522" s="2896"/>
    </row>
    <row r="523" spans="1:8" s="2893" customFormat="1" ht="11">
      <c r="F523" s="2896"/>
      <c r="G523" s="2894"/>
      <c r="H523" s="2896"/>
    </row>
    <row r="524" spans="1:8" s="2893" customFormat="1" ht="11">
      <c r="A524" s="2897" t="s">
        <v>3211</v>
      </c>
      <c r="B524" s="2898">
        <f>'Part III-A-Uses of Funds'!$G$16</f>
        <v>0</v>
      </c>
      <c r="C524" s="2897" t="s">
        <v>1666</v>
      </c>
      <c r="D524" s="2898">
        <f>'Part III-A-Uses of Funds'!$J$16+'Part III-A-Uses of Funds'!$M$16+'Part III-A-Uses of Funds'!$P$16</f>
        <v>0</v>
      </c>
      <c r="F524" s="2896"/>
      <c r="G524" s="2894"/>
      <c r="H524" s="2896"/>
    </row>
    <row r="525" spans="1:8" s="2893" customFormat="1" ht="11">
      <c r="A525" s="2894"/>
      <c r="B525" s="2899"/>
      <c r="C525" s="2894"/>
      <c r="D525" s="2894"/>
      <c r="F525" s="2896"/>
      <c r="G525" s="2900"/>
      <c r="H525" s="2896"/>
    </row>
    <row r="526" spans="1:8" s="2893" customFormat="1" ht="12">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2">
      <c r="A527" s="2895"/>
      <c r="B527" s="2895"/>
      <c r="C527" s="2895"/>
      <c r="D527" s="2895"/>
      <c r="F527" s="2896"/>
      <c r="G527" s="2894"/>
      <c r="H527" s="2896"/>
    </row>
    <row r="528" spans="1:8" s="2893" customFormat="1" ht="11">
      <c r="F528" s="2896"/>
      <c r="G528" s="2894"/>
      <c r="H528" s="2896"/>
    </row>
    <row r="529" spans="1:8" s="2893" customFormat="1" ht="11">
      <c r="A529" s="2897" t="s">
        <v>3211</v>
      </c>
      <c r="B529" s="2898">
        <f>'Part III-A-Uses of Funds'!$G$17</f>
        <v>0</v>
      </c>
      <c r="C529" s="2897" t="s">
        <v>1666</v>
      </c>
      <c r="D529" s="2898">
        <f>'Part III-A-Uses of Funds'!$J$17+'Part III-A-Uses of Funds'!$M$17+'Part III-A-Uses of Funds'!$P$17</f>
        <v>0</v>
      </c>
      <c r="F529" s="2896"/>
      <c r="G529" s="2894"/>
      <c r="H529" s="2896"/>
    </row>
    <row r="530" spans="1:8" s="2893" customFormat="1" ht="11">
      <c r="A530" s="2894"/>
      <c r="B530" s="2899"/>
      <c r="C530" s="2894"/>
      <c r="D530" s="2894"/>
      <c r="F530" s="2896"/>
      <c r="G530" s="2900"/>
      <c r="H530" s="2896"/>
    </row>
    <row r="531" spans="1:8" s="2893" customFormat="1">
      <c r="A531" s="2887" t="s">
        <v>3210</v>
      </c>
      <c r="B531" s="2894"/>
      <c r="C531" s="2894"/>
      <c r="D531" s="2894"/>
      <c r="E531" s="2894"/>
      <c r="F531" s="2894"/>
      <c r="G531" s="2894"/>
    </row>
    <row r="532" spans="1:8" s="2893" customFormat="1" ht="12">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2">
      <c r="A533" s="2895"/>
      <c r="B533" s="2895"/>
      <c r="C533" s="2895"/>
      <c r="D533" s="2895"/>
      <c r="E533" s="2894"/>
      <c r="F533" s="2896"/>
      <c r="G533" s="2894"/>
      <c r="H533" s="2896"/>
    </row>
    <row r="534" spans="1:8" s="2893" customFormat="1" ht="11">
      <c r="A534" s="2894"/>
      <c r="B534" s="2894"/>
      <c r="C534" s="2894"/>
      <c r="D534" s="2894"/>
      <c r="E534" s="2894"/>
      <c r="F534" s="2896"/>
      <c r="G534" s="2894"/>
      <c r="H534" s="2896"/>
    </row>
    <row r="535" spans="1:8" s="2893" customFormat="1" ht="11">
      <c r="A535" s="2897" t="s">
        <v>3211</v>
      </c>
      <c r="B535" s="2898">
        <f>'Part III-A-Uses of Funds'!$G$46</f>
        <v>0</v>
      </c>
      <c r="C535" s="2897" t="s">
        <v>1666</v>
      </c>
      <c r="D535" s="2898">
        <f>'Part III-A-Uses of Funds'!$J$46+'Part III-A-Uses of Funds'!$M$46+'Part III-A-Uses of Funds'!$P$46</f>
        <v>0</v>
      </c>
      <c r="E535" s="2894"/>
      <c r="F535" s="2896"/>
      <c r="G535" s="2894"/>
      <c r="H535" s="2896"/>
    </row>
    <row r="536" spans="1:8" s="2893" customFormat="1" ht="1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2">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2">
      <c r="A539" s="2895"/>
      <c r="B539" s="2895"/>
      <c r="C539" s="2895"/>
      <c r="D539" s="2895"/>
      <c r="E539" s="2894"/>
      <c r="F539" s="2896"/>
      <c r="G539" s="2894"/>
      <c r="H539" s="2896"/>
    </row>
    <row r="540" spans="1:8" s="2893" customFormat="1" ht="11">
      <c r="A540" s="2894"/>
      <c r="B540" s="2894"/>
      <c r="C540" s="2894"/>
      <c r="D540" s="2894"/>
      <c r="E540" s="2894"/>
      <c r="F540" s="2896"/>
      <c r="G540" s="2894"/>
      <c r="H540" s="2896"/>
    </row>
    <row r="541" spans="1:8" s="2893" customFormat="1" ht="11">
      <c r="A541" s="2897" t="s">
        <v>3211</v>
      </c>
      <c r="B541" s="2898">
        <f>'Part III-A-Uses of Funds'!$G$71</f>
        <v>0</v>
      </c>
      <c r="C541" s="2897" t="s">
        <v>1666</v>
      </c>
      <c r="D541" s="2898">
        <f>'Part III-A-Uses of Funds'!$J$71+'Part III-A-Uses of Funds'!$M$71+'Part III-A-Uses of Funds'!$P$71</f>
        <v>0</v>
      </c>
      <c r="E541" s="2894"/>
      <c r="F541" s="2896"/>
      <c r="G541" s="2894"/>
      <c r="H541" s="2896"/>
    </row>
    <row r="542" spans="1:8" s="2893" customFormat="1" ht="11">
      <c r="D542" s="2894"/>
      <c r="E542" s="2894"/>
      <c r="F542" s="2896"/>
      <c r="G542" s="2900"/>
      <c r="H542" s="2896"/>
    </row>
    <row r="543" spans="1:8" s="2893" customFormat="1" ht="12">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2">
      <c r="A544" s="2895"/>
      <c r="B544" s="2895"/>
      <c r="C544" s="2895"/>
      <c r="D544" s="2895"/>
      <c r="E544" s="2894"/>
      <c r="F544" s="2896"/>
      <c r="G544" s="2894"/>
      <c r="H544" s="2896"/>
    </row>
    <row r="545" spans="1:8" s="2893" customFormat="1" ht="11">
      <c r="A545" s="2894"/>
      <c r="B545" s="2894"/>
      <c r="C545" s="2894"/>
      <c r="D545" s="2894"/>
      <c r="E545" s="2894"/>
      <c r="F545" s="2896"/>
      <c r="G545" s="2894"/>
      <c r="H545" s="2896"/>
    </row>
    <row r="546" spans="1:8" s="2893" customFormat="1" ht="11">
      <c r="A546" s="2897" t="s">
        <v>3211</v>
      </c>
      <c r="B546" s="2898">
        <f>'Part III-A-Uses of Funds'!$G$72</f>
        <v>0</v>
      </c>
      <c r="C546" s="2897" t="s">
        <v>1666</v>
      </c>
      <c r="D546" s="2898">
        <f>'Part III-A-Uses of Funds'!$J$72+'Part III-A-Uses of Funds'!$M$72+'Part III-A-Uses of Funds'!$P$72</f>
        <v>0</v>
      </c>
      <c r="E546" s="2894"/>
      <c r="F546" s="2896"/>
      <c r="G546" s="2894"/>
      <c r="H546" s="2896"/>
    </row>
    <row r="547" spans="1:8" s="2893" customFormat="1" ht="11">
      <c r="D547" s="2894"/>
      <c r="E547" s="2894"/>
      <c r="F547" s="2896"/>
      <c r="G547" s="2900"/>
      <c r="H547" s="2896"/>
    </row>
    <row r="548" spans="1:8" s="2893" customFormat="1">
      <c r="A548" s="2887" t="s">
        <v>449</v>
      </c>
      <c r="B548" s="2894"/>
      <c r="C548" s="2894"/>
      <c r="D548" s="2894"/>
      <c r="E548" s="2861"/>
      <c r="F548" s="2861"/>
      <c r="G548" s="2894"/>
    </row>
    <row r="549" spans="1:8" s="2893" customFormat="1" ht="12">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2">
      <c r="A550" s="2895"/>
      <c r="B550" s="2895"/>
      <c r="C550" s="2895"/>
      <c r="D550" s="2895"/>
      <c r="E550" s="2894"/>
      <c r="F550" s="2896"/>
      <c r="G550" s="2894"/>
      <c r="H550" s="2896"/>
    </row>
    <row r="551" spans="1:8" s="2893" customFormat="1" ht="11">
      <c r="A551" s="2894"/>
      <c r="B551" s="2894"/>
      <c r="C551" s="2894"/>
      <c r="D551" s="2894"/>
      <c r="E551" s="2894"/>
      <c r="F551" s="2896"/>
      <c r="G551" s="2894"/>
      <c r="H551" s="2896"/>
    </row>
    <row r="552" spans="1:8" s="2893" customFormat="1" ht="11">
      <c r="A552" s="2897" t="s">
        <v>3211</v>
      </c>
      <c r="B552" s="2898">
        <f>'Part III-A-Uses of Funds'!$G$85</f>
        <v>0</v>
      </c>
      <c r="C552" s="2897" t="s">
        <v>1666</v>
      </c>
      <c r="D552" s="2898">
        <f>'Part III-A-Uses of Funds'!$J$85+'Part III-A-Uses of Funds'!$M$85+'Part III-A-Uses of Funds'!$P$85</f>
        <v>0</v>
      </c>
      <c r="E552" s="2894"/>
      <c r="F552" s="2896"/>
      <c r="G552" s="2894"/>
      <c r="H552" s="2896"/>
    </row>
    <row r="553" spans="1:8" s="2893" customFormat="1" ht="1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2">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2">
      <c r="A556" s="2895"/>
      <c r="B556" s="2895"/>
      <c r="C556" s="2895"/>
      <c r="D556" s="2895"/>
      <c r="E556" s="2894"/>
      <c r="F556" s="2896"/>
      <c r="G556" s="2894"/>
    </row>
    <row r="557" spans="1:8" s="2893" customFormat="1" ht="11">
      <c r="A557" s="2894"/>
      <c r="B557" s="2894"/>
      <c r="C557" s="2894"/>
      <c r="D557" s="2894"/>
      <c r="E557" s="2894"/>
      <c r="F557" s="2896"/>
      <c r="G557" s="2894"/>
    </row>
    <row r="558" spans="1:8" s="2893" customFormat="1" ht="11">
      <c r="A558" s="2897" t="s">
        <v>3211</v>
      </c>
      <c r="B558" s="2898">
        <f>'Part III-A-Uses of Funds'!$G$102</f>
        <v>0</v>
      </c>
      <c r="C558" s="2901"/>
      <c r="D558" s="2901"/>
      <c r="E558" s="2894"/>
      <c r="F558" s="2896"/>
      <c r="G558" s="2894"/>
    </row>
    <row r="559" spans="1:8" s="2893" customFormat="1" ht="11">
      <c r="A559" s="2894"/>
      <c r="B559" s="2894"/>
      <c r="C559" s="2894"/>
      <c r="D559" s="2894"/>
      <c r="E559" s="2894"/>
      <c r="F559" s="2896"/>
      <c r="G559" s="2900"/>
    </row>
    <row r="560" spans="1:8" s="2893" customFormat="1">
      <c r="A560" s="2887" t="s">
        <v>6761</v>
      </c>
      <c r="B560" s="2894"/>
      <c r="C560" s="2894"/>
      <c r="D560" s="2894"/>
      <c r="E560" s="2894"/>
      <c r="F560" s="2894"/>
      <c r="G560" s="2894"/>
    </row>
    <row r="561" spans="1:7" s="2893" customFormat="1" ht="12">
      <c r="A561" s="2895">
        <f>'Part III-A-Uses of Funds'!$C$112</f>
        <v>0</v>
      </c>
      <c r="B561" s="2895"/>
      <c r="C561" s="2895"/>
      <c r="D561" s="2895"/>
      <c r="F561" s="2896">
        <f>'Part III-B-Other Items'!F54</f>
        <v>0</v>
      </c>
      <c r="G561" s="2894"/>
    </row>
    <row r="562" spans="1:7" s="2893" customFormat="1" ht="12">
      <c r="A562" s="2895"/>
      <c r="B562" s="2895"/>
      <c r="C562" s="2895"/>
      <c r="D562" s="2895"/>
      <c r="E562" s="2894"/>
      <c r="F562" s="2896"/>
      <c r="G562" s="2894"/>
    </row>
    <row r="563" spans="1:7" s="2893" customFormat="1" ht="11">
      <c r="A563" s="2894"/>
      <c r="B563" s="2894"/>
      <c r="C563" s="2894"/>
      <c r="D563" s="2894"/>
      <c r="E563" s="2894"/>
      <c r="F563" s="2896"/>
      <c r="G563" s="2894"/>
    </row>
    <row r="564" spans="1:7" s="2893" customFormat="1" ht="11">
      <c r="A564" s="2897" t="s">
        <v>3211</v>
      </c>
      <c r="B564" s="2898">
        <f>'Part III-A-Uses of Funds'!$G$112</f>
        <v>0</v>
      </c>
      <c r="C564" s="2901"/>
      <c r="D564" s="2901"/>
      <c r="E564" s="2894"/>
      <c r="F564" s="2896"/>
      <c r="G564" s="2894"/>
    </row>
    <row r="565" spans="1:7" s="2893" customFormat="1" ht="11">
      <c r="A565" s="2892"/>
      <c r="B565" s="2892"/>
      <c r="C565" s="2892"/>
      <c r="D565" s="2892"/>
      <c r="E565" s="2892"/>
      <c r="F565" s="2896"/>
      <c r="G565" s="2900"/>
    </row>
    <row r="566" spans="1:7" s="2893" customFormat="1" ht="12">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2">
      <c r="A567" s="2895"/>
      <c r="B567" s="2895"/>
      <c r="C567" s="2895"/>
      <c r="D567" s="2895"/>
      <c r="E567" s="2894"/>
      <c r="F567" s="2896"/>
      <c r="G567" s="2894"/>
    </row>
    <row r="568" spans="1:7" s="2893" customFormat="1" ht="11">
      <c r="A568" s="2894"/>
      <c r="B568" s="2894"/>
      <c r="C568" s="2894"/>
      <c r="D568" s="2894"/>
      <c r="E568" s="2894"/>
      <c r="F568" s="2896"/>
      <c r="G568" s="2894"/>
    </row>
    <row r="569" spans="1:7" s="2893" customFormat="1" ht="11">
      <c r="A569" s="2897" t="s">
        <v>3211</v>
      </c>
      <c r="B569" s="2898">
        <f>'Part III-A-Uses of Funds'!$G$113</f>
        <v>0</v>
      </c>
      <c r="C569" s="2901"/>
      <c r="D569" s="2901"/>
      <c r="E569" s="2894"/>
      <c r="F569" s="2896"/>
      <c r="G569" s="2894"/>
    </row>
    <row r="570" spans="1:7" s="2893" customFormat="1" ht="11">
      <c r="A570" s="2892"/>
      <c r="B570" s="2892"/>
      <c r="C570" s="2892"/>
      <c r="D570" s="2892"/>
      <c r="E570" s="2892"/>
      <c r="F570" s="2896"/>
      <c r="G570" s="2900"/>
    </row>
    <row r="571" spans="1:7" s="2893" customFormat="1">
      <c r="A571" s="2887" t="s">
        <v>6762</v>
      </c>
      <c r="B571" s="2894"/>
      <c r="C571" s="2894"/>
      <c r="D571" s="2894"/>
      <c r="E571" s="2894"/>
      <c r="F571" s="2894"/>
      <c r="G571" s="2894"/>
    </row>
    <row r="572" spans="1:7" s="2893" customFormat="1" ht="12">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2">
      <c r="A573" s="2895"/>
      <c r="B573" s="2895"/>
      <c r="C573" s="2895"/>
      <c r="D573" s="2895"/>
      <c r="E573" s="2894"/>
      <c r="F573" s="2896"/>
      <c r="G573" s="2894"/>
    </row>
    <row r="574" spans="1:7" s="2893" customFormat="1" ht="11">
      <c r="A574" s="2894"/>
      <c r="B574" s="2894"/>
      <c r="C574" s="2894"/>
      <c r="D574" s="2894"/>
      <c r="E574" s="2894"/>
      <c r="F574" s="2896"/>
      <c r="G574" s="2894"/>
    </row>
    <row r="575" spans="1:7" s="2893" customFormat="1" ht="11">
      <c r="A575" s="2897" t="s">
        <v>3211</v>
      </c>
      <c r="B575" s="2898">
        <f>'Part III-A-Uses of Funds'!$G$119</f>
        <v>0</v>
      </c>
      <c r="C575" s="2901"/>
      <c r="D575" s="2901"/>
      <c r="E575" s="2894"/>
      <c r="F575" s="2896"/>
      <c r="G575" s="2894"/>
    </row>
    <row r="576" spans="1:7" s="2893" customFormat="1" ht="1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2">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2">
      <c r="A579" s="2895"/>
      <c r="B579" s="2895"/>
      <c r="C579" s="2895"/>
      <c r="D579" s="2895"/>
      <c r="E579" s="2894"/>
      <c r="F579" s="2896"/>
      <c r="G579" s="2894"/>
      <c r="H579" s="2896"/>
    </row>
    <row r="580" spans="1:17" s="2893" customFormat="1" ht="11">
      <c r="A580" s="2894"/>
      <c r="B580" s="2894"/>
      <c r="C580" s="2894"/>
      <c r="D580" s="2894"/>
      <c r="E580" s="2894"/>
      <c r="F580" s="2896"/>
      <c r="G580" s="2894"/>
      <c r="H580" s="2896"/>
    </row>
    <row r="581" spans="1:17" s="2893" customFormat="1" ht="11">
      <c r="A581" s="2897" t="s">
        <v>3211</v>
      </c>
      <c r="B581" s="2898">
        <f>'Part III-A-Uses of Funds'!$G$134</f>
        <v>0</v>
      </c>
      <c r="C581" s="2897" t="s">
        <v>1666</v>
      </c>
      <c r="D581" s="2898">
        <f>'Part III-A-Uses of Funds'!$J$134+'Part III-A-Uses of Funds'!$M$134+'Part III-A-Uses of Funds'!$P$134</f>
        <v>0</v>
      </c>
      <c r="E581" s="2894"/>
      <c r="F581" s="2896"/>
      <c r="G581" s="2894"/>
      <c r="H581" s="2896"/>
    </row>
    <row r="582" spans="1:17" s="2893" customFormat="1" ht="11">
      <c r="A582" s="2894"/>
      <c r="B582" s="2899"/>
      <c r="C582" s="2894"/>
      <c r="D582" s="2894"/>
      <c r="E582" s="2894"/>
      <c r="F582" s="2896"/>
      <c r="G582" s="2900"/>
      <c r="H582" s="2896"/>
    </row>
    <row r="583" spans="1:17" s="2893" customFormat="1">
      <c r="A583" s="2887" t="s">
        <v>6763</v>
      </c>
      <c r="B583" s="2899"/>
      <c r="C583" s="2894"/>
      <c r="D583" s="2894"/>
      <c r="E583" s="2894"/>
      <c r="F583" s="2894"/>
      <c r="G583" s="2900"/>
    </row>
    <row r="584" spans="1:17" s="2893" customFormat="1" ht="12">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2">
      <c r="A585" s="2895"/>
      <c r="B585" s="2895"/>
      <c r="C585" s="2895"/>
      <c r="D585" s="2895"/>
      <c r="E585" s="2894"/>
      <c r="F585" s="2896"/>
      <c r="G585" s="2894"/>
      <c r="H585" s="2896"/>
    </row>
    <row r="586" spans="1:17" s="2893" customFormat="1" ht="11">
      <c r="A586" s="2894"/>
      <c r="B586" s="2894"/>
      <c r="C586" s="2894"/>
      <c r="D586" s="2894"/>
      <c r="E586" s="2894"/>
      <c r="F586" s="2896"/>
      <c r="G586" s="2894"/>
      <c r="H586" s="2896"/>
    </row>
    <row r="587" spans="1:17" s="2893" customFormat="1" ht="11">
      <c r="A587" s="2897" t="s">
        <v>3211</v>
      </c>
      <c r="B587" s="2898">
        <f>'Part III-A-Uses of Funds'!$G$143</f>
        <v>0</v>
      </c>
      <c r="C587" s="2897" t="s">
        <v>1666</v>
      </c>
      <c r="D587" s="2898">
        <f>'Part III-A-Uses of Funds'!$J$143+'Part III-A-Uses of Funds'!$M$143+'Part III-A-Uses of Funds'!$P$143</f>
        <v>0</v>
      </c>
      <c r="E587" s="2894"/>
      <c r="F587" s="2896"/>
      <c r="G587" s="2894"/>
      <c r="H587" s="2896"/>
    </row>
    <row r="588" spans="1:17" s="2893" customFormat="1" ht="11">
      <c r="D588" s="2902"/>
      <c r="E588" s="2903"/>
      <c r="F588" s="2896"/>
      <c r="G588" s="2900"/>
      <c r="H588" s="2896"/>
    </row>
    <row r="589" spans="1:17" s="2904" customFormat="1"/>
    <row r="592" spans="1:17" s="652" customFormat="1" ht="14" customHeight="1">
      <c r="A592" s="2550" t="str">
        <f>CONCATENATE("PART FOUR - UTILITY ALLOWANCES","  -  ",'Part I-Project Identification'!$O$7," ",'Part I-Project Identification'!$F$29,", ",'Part I-Project Identification'!F621,", ",'Part I-Project Identification'!J621," County")</f>
        <v>PART FOUR - UTILITY ALLOWANCES  -  2022-0 Cave Spring Townhomes,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6743</v>
      </c>
      <c r="I594" s="2906" t="str">
        <f>VLOOKUP('Part I-Project Identification'!$J$30,'DCA Underwriting Assumptions'!$G$136:$H$295,2)</f>
        <v>North</v>
      </c>
    </row>
    <row r="595" spans="1:25" s="652" customFormat="1" ht="6" customHeight="1"/>
    <row r="596" spans="1:25" s="652" customFormat="1">
      <c r="A596" s="2907" t="s">
        <v>6838</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NWGHA/HUD RAD</v>
      </c>
      <c r="J598" s="2908"/>
      <c r="K598" s="2908"/>
      <c r="L598" s="2908"/>
      <c r="M598" s="2908"/>
      <c r="O598" s="2683"/>
      <c r="P598" s="2683"/>
      <c r="Q598" s="2683"/>
      <c r="R598" s="2683"/>
      <c r="S598" s="2683"/>
      <c r="T598" s="2683"/>
      <c r="U598" s="2683"/>
      <c r="V598" s="2681"/>
      <c r="W598" s="2681"/>
      <c r="X598" s="2681"/>
      <c r="Y598" s="2681"/>
    </row>
    <row r="599" spans="1:25" s="652" customFormat="1" ht="13.25" customHeight="1">
      <c r="F599" s="2550" t="s">
        <v>593</v>
      </c>
      <c r="G599" s="2550"/>
      <c r="H599" s="2550"/>
      <c r="I599" s="2909">
        <f>'Part IV-Utility Allowances'!I8</f>
        <v>44477</v>
      </c>
      <c r="J599" s="2909"/>
      <c r="K599" s="2910" t="s">
        <v>505</v>
      </c>
      <c r="L599" s="2757" t="str">
        <f>'Part IV-Utility Allowances'!L8</f>
        <v>Row House/TH</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16</v>
      </c>
      <c r="K603" s="2912">
        <f>'Part IV-Utility Allowances'!K12</f>
        <v>20</v>
      </c>
      <c r="L603" s="2912">
        <f>'Part IV-Utility Allowances'!L12</f>
        <v>22</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9</v>
      </c>
      <c r="K604" s="2912">
        <f>'Part IV-Utility Allowances'!K13</f>
        <v>11</v>
      </c>
      <c r="L604" s="2912">
        <f>'Part IV-Utility Allowances'!L13</f>
        <v>12</v>
      </c>
      <c r="M604" s="2912">
        <f>'Part IV-Utility Allowances'!M13</f>
        <v>0</v>
      </c>
      <c r="O604" s="2688" t="s">
        <v>6764</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17</v>
      </c>
      <c r="K605" s="2912">
        <f>'Part IV-Utility Allowances'!K14</f>
        <v>23</v>
      </c>
      <c r="L605" s="2912">
        <f>'Part IV-Utility Allowances'!L14</f>
        <v>37</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12</v>
      </c>
      <c r="K606" s="2912">
        <f>'Part IV-Utility Allowances'!K15</f>
        <v>15</v>
      </c>
      <c r="L606" s="2912">
        <f>'Part IV-Utility Allowances'!L15</f>
        <v>19</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33</v>
      </c>
      <c r="K609" s="2912">
        <f>'Part IV-Utility Allowances'!K18</f>
        <v>37</v>
      </c>
      <c r="L609" s="2912">
        <f>'Part IV-Utility Allowances'!L18</f>
        <v>42</v>
      </c>
      <c r="M609" s="2912">
        <f>'Part IV-Utility Allowances'!M18</f>
        <v>0</v>
      </c>
      <c r="O609" s="2688"/>
      <c r="P609" s="2688"/>
      <c r="Q609" s="2688"/>
    </row>
    <row r="610" spans="1:25" s="652" customFormat="1" ht="12" customHeight="1">
      <c r="B610" s="2550" t="s">
        <v>1293</v>
      </c>
      <c r="C610" s="2550"/>
      <c r="D610" s="2550" t="s">
        <v>6802</v>
      </c>
      <c r="E610" s="2912" t="str">
        <f>'Part IV-Utility Allowances'!E19</f>
        <v>No</v>
      </c>
      <c r="F610" s="2911">
        <f>'Part IV-Utility Allowances'!F19</f>
        <v>0</v>
      </c>
      <c r="G610" s="2911" t="str">
        <f>'Part IV-Utility Allowances'!G19</f>
        <v>X</v>
      </c>
      <c r="I610" s="2912">
        <f>'Part IV-Utility Allowances'!I19</f>
        <v>0</v>
      </c>
      <c r="J610" s="2912">
        <f>'Part IV-Utility Allowances'!J19</f>
        <v>0</v>
      </c>
      <c r="K610" s="2912">
        <f>'Part IV-Utility Allowances'!K19</f>
        <v>0</v>
      </c>
      <c r="L610" s="2912">
        <f>'Part IV-Utility Allowances'!L19</f>
        <v>0</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87</v>
      </c>
      <c r="K613" s="2910">
        <f>IF(SUM(K603:K612)=0,0,IF(OR($D603="&lt;&lt;Select Fuel &gt;&gt;",$D604="&lt;&lt;Select Fuel &gt;&gt;",$D605="&lt;&lt;Select Fuel &gt;&gt;"),"Select Fuel",IF($E610="&lt;Select&gt;","Submeter?",SUM(K603:K612))))</f>
        <v>106</v>
      </c>
      <c r="L613" s="2910">
        <f>IF(SUM(L603:L612)=0,0,IF(OR($D603="&lt;&lt;Select Fuel &gt;&gt;",$D604="&lt;&lt;Select Fuel &gt;&gt;",$D605="&lt;&lt;Select Fuel &gt;&gt;"),"Select Fuel",IF($E610="&lt;Select&gt;","Submeter?",SUM(L603:L612))))</f>
        <v>132</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2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6764</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6802</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6803</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Water, Sewer and trash will be paid by Owner.
The property will have a RAD CHAP Agreement.</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 customHeight="1">
      <c r="A640" s="2550" t="str">
        <f>CONCATENATE("PART FOUR - PROJECTED REVENUES &amp; EXPENSES","  -  ",'Part I-Project Identification'!$O$7," ",'Part I-Project Identification'!$F$29,", ",'Part I-Project Identification'!F668,", ",'Part I-Project Identification'!J668," County")</f>
        <v>PART FOUR - PROJECTED REVENUES &amp; EXPENSES  -  2022-0 Cave Spring Townhomes, ,  County</v>
      </c>
      <c r="T640" s="2550" t="str">
        <f>A640</f>
        <v>PART FOUR - PROJECTED REVENUES &amp; EXPENSES  -  2022-0 Cave Spring Townhomes,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5" customHeight="1">
      <c r="A642" s="2550" t="s">
        <v>573</v>
      </c>
      <c r="B642" s="2550" t="s">
        <v>2184</v>
      </c>
      <c r="D642" s="2749" t="s">
        <v>6095</v>
      </c>
      <c r="E642" s="2749"/>
      <c r="F642" s="2749"/>
      <c r="G642" s="2749"/>
      <c r="H642" s="2749"/>
      <c r="I642" s="2749"/>
      <c r="J642" s="2749"/>
      <c r="O642" s="2915" t="s">
        <v>534</v>
      </c>
      <c r="P642" s="2916" t="str">
        <f>'Part I-Project Identification'!$O$32</f>
        <v>Rome</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6839</v>
      </c>
      <c r="R643" s="2919"/>
      <c r="S643" s="2688"/>
      <c r="T643" s="2688"/>
      <c r="U643" s="2688"/>
      <c r="X643" s="2918" t="s">
        <v>3682</v>
      </c>
      <c r="Y643" s="2918" t="s">
        <v>3683</v>
      </c>
      <c r="Z643" s="2918" t="s">
        <v>3684</v>
      </c>
      <c r="AA643" s="2918" t="s">
        <v>3685</v>
      </c>
      <c r="AB643" s="2918" t="s">
        <v>3686</v>
      </c>
      <c r="AC643" s="2918" t="s">
        <v>3687</v>
      </c>
      <c r="AD643" s="2918" t="s">
        <v>3688</v>
      </c>
      <c r="AE643" s="2918" t="s">
        <v>3689</v>
      </c>
      <c r="AF643" s="2918" t="s">
        <v>3690</v>
      </c>
      <c r="AG643" s="2918" t="s">
        <v>3691</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3693</v>
      </c>
      <c r="AS643" s="2918" t="s">
        <v>3694</v>
      </c>
      <c r="AT643" s="2918" t="s">
        <v>3695</v>
      </c>
      <c r="AU643" s="2918" t="s">
        <v>3696</v>
      </c>
      <c r="AV643" s="2918" t="s">
        <v>3692</v>
      </c>
      <c r="AW643" s="2918" t="s">
        <v>863</v>
      </c>
      <c r="AX643" s="2918" t="s">
        <v>2136</v>
      </c>
      <c r="AY643" s="2918" t="s">
        <v>2137</v>
      </c>
      <c r="AZ643" s="2918" t="s">
        <v>2138</v>
      </c>
      <c r="BA643" s="2918" t="s">
        <v>2139</v>
      </c>
      <c r="BB643" s="2918" t="s">
        <v>3697</v>
      </c>
      <c r="BC643" s="2918" t="s">
        <v>3698</v>
      </c>
      <c r="BD643" s="2918" t="s">
        <v>3699</v>
      </c>
      <c r="BE643" s="2918" t="s">
        <v>3700</v>
      </c>
      <c r="BF643" s="2918" t="s">
        <v>3701</v>
      </c>
      <c r="BG643" s="2918" t="s">
        <v>123</v>
      </c>
      <c r="BH643" s="2918" t="s">
        <v>2140</v>
      </c>
      <c r="BI643" s="2918" t="s">
        <v>2141</v>
      </c>
      <c r="BJ643" s="2918" t="s">
        <v>2142</v>
      </c>
      <c r="BK643" s="2918" t="s">
        <v>1081</v>
      </c>
      <c r="BL643" s="2918" t="s">
        <v>3702</v>
      </c>
      <c r="BM643" s="2918" t="s">
        <v>3703</v>
      </c>
      <c r="BN643" s="2918" t="s">
        <v>3704</v>
      </c>
      <c r="BO643" s="2918" t="s">
        <v>3705</v>
      </c>
      <c r="BP643" s="2918" t="s">
        <v>3706</v>
      </c>
      <c r="BQ643" s="2918" t="s">
        <v>517</v>
      </c>
      <c r="BR643" s="2918" t="s">
        <v>518</v>
      </c>
      <c r="BS643" s="2918" t="s">
        <v>535</v>
      </c>
      <c r="BT643" s="2918" t="s">
        <v>536</v>
      </c>
      <c r="BU643" s="2918" t="s">
        <v>537</v>
      </c>
      <c r="BV643" s="2918" t="s">
        <v>3707</v>
      </c>
      <c r="BW643" s="2918" t="s">
        <v>3708</v>
      </c>
      <c r="BX643" s="2918" t="s">
        <v>3709</v>
      </c>
      <c r="BY643" s="2918" t="s">
        <v>3710</v>
      </c>
      <c r="BZ643" s="2918" t="s">
        <v>3711</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3717</v>
      </c>
      <c r="CL643" s="2918" t="s">
        <v>3718</v>
      </c>
      <c r="CM643" s="2918" t="s">
        <v>3719</v>
      </c>
      <c r="CN643" s="2918" t="s">
        <v>3720</v>
      </c>
      <c r="CO643" s="2918" t="s">
        <v>3721</v>
      </c>
      <c r="CP643" s="2918" t="s">
        <v>3712</v>
      </c>
      <c r="CQ643" s="2918" t="s">
        <v>3713</v>
      </c>
      <c r="CR643" s="2918" t="s">
        <v>3714</v>
      </c>
      <c r="CS643" s="2918" t="s">
        <v>3715</v>
      </c>
      <c r="CT643" s="2918" t="s">
        <v>3716</v>
      </c>
      <c r="CU643" s="2918" t="s">
        <v>3722</v>
      </c>
      <c r="CV643" s="2918" t="s">
        <v>3723</v>
      </c>
      <c r="CW643" s="2918" t="s">
        <v>3724</v>
      </c>
      <c r="CX643" s="2918" t="s">
        <v>3725</v>
      </c>
      <c r="CY643" s="2918" t="s">
        <v>3726</v>
      </c>
      <c r="CZ643" s="2918" t="s">
        <v>466</v>
      </c>
      <c r="DA643" s="2918" t="s">
        <v>467</v>
      </c>
      <c r="DB643" s="2918" t="s">
        <v>468</v>
      </c>
      <c r="DC643" s="2918" t="s">
        <v>469</v>
      </c>
      <c r="DD643" s="2918" t="s">
        <v>470</v>
      </c>
      <c r="DE643" s="2918" t="s">
        <v>3727</v>
      </c>
      <c r="DF643" s="2918" t="s">
        <v>3728</v>
      </c>
      <c r="DG643" s="2918" t="s">
        <v>3729</v>
      </c>
      <c r="DH643" s="2918" t="s">
        <v>3730</v>
      </c>
      <c r="DI643" s="2918" t="s">
        <v>3731</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3732</v>
      </c>
      <c r="DU643" s="2918" t="s">
        <v>3733</v>
      </c>
      <c r="DV643" s="2918" t="s">
        <v>3734</v>
      </c>
      <c r="DW643" s="2918" t="s">
        <v>3735</v>
      </c>
      <c r="DX643" s="2918" t="s">
        <v>3736</v>
      </c>
      <c r="DY643" s="2918" t="s">
        <v>3737</v>
      </c>
      <c r="DZ643" s="2918" t="s">
        <v>3738</v>
      </c>
      <c r="EA643" s="2918" t="s">
        <v>3739</v>
      </c>
      <c r="EB643" s="2918" t="s">
        <v>3740</v>
      </c>
      <c r="EC643" s="2918" t="s">
        <v>3741</v>
      </c>
      <c r="ED643" s="2918" t="s">
        <v>2236</v>
      </c>
      <c r="EE643" s="2918" t="s">
        <v>2237</v>
      </c>
      <c r="EF643" s="2918" t="s">
        <v>2238</v>
      </c>
      <c r="EG643" s="2918" t="s">
        <v>2239</v>
      </c>
      <c r="EH643" s="2918" t="s">
        <v>2240</v>
      </c>
      <c r="EI643" s="2918" t="s">
        <v>3742</v>
      </c>
      <c r="EJ643" s="2918" t="s">
        <v>3743</v>
      </c>
      <c r="EK643" s="2918" t="s">
        <v>3744</v>
      </c>
      <c r="EL643" s="2918" t="s">
        <v>3745</v>
      </c>
      <c r="EM643" s="2918" t="s">
        <v>3746</v>
      </c>
      <c r="EN643" s="2918" t="s">
        <v>3747</v>
      </c>
      <c r="EO643" s="2918" t="s">
        <v>3748</v>
      </c>
      <c r="EP643" s="2918" t="s">
        <v>3749</v>
      </c>
      <c r="EQ643" s="2918" t="s">
        <v>3750</v>
      </c>
      <c r="ER643" s="2918" t="s">
        <v>3751</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3752</v>
      </c>
      <c r="FD643" s="2918" t="s">
        <v>3753</v>
      </c>
      <c r="FE643" s="2918" t="s">
        <v>3754</v>
      </c>
      <c r="FF643" s="2918" t="s">
        <v>3755</v>
      </c>
      <c r="FG643" s="2918" t="s">
        <v>3756</v>
      </c>
      <c r="FH643" s="2918" t="s">
        <v>125</v>
      </c>
      <c r="FI643" s="2918" t="s">
        <v>853</v>
      </c>
      <c r="FJ643" s="2918" t="s">
        <v>854</v>
      </c>
      <c r="FK643" s="2918" t="s">
        <v>855</v>
      </c>
      <c r="FL643" s="2918" t="s">
        <v>856</v>
      </c>
      <c r="FM643" s="2918" t="s">
        <v>3757</v>
      </c>
      <c r="FN643" s="2918" t="s">
        <v>3758</v>
      </c>
      <c r="FO643" s="2918" t="s">
        <v>3759</v>
      </c>
      <c r="FP643" s="2918" t="s">
        <v>3760</v>
      </c>
      <c r="FQ643" s="2918" t="s">
        <v>3761</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5" customHeight="1">
      <c r="A644" s="2920" t="str">
        <f>IF(A687&gt;0,"Finish Row!","")</f>
        <v/>
      </c>
      <c r="B644" s="2135" t="s">
        <v>6840</v>
      </c>
      <c r="D644" s="2749"/>
      <c r="E644" s="2749"/>
      <c r="F644" s="2749"/>
      <c r="G644" s="2912" t="str">
        <f>'Part V-Revenues &amp; Expenses'!G6</f>
        <v>&lt;Select&gt;</v>
      </c>
      <c r="H644" s="2921" t="s">
        <v>6098</v>
      </c>
      <c r="I644" s="2921"/>
      <c r="J644" s="2921"/>
      <c r="K644" s="2917" t="s">
        <v>3138</v>
      </c>
      <c r="L644" s="2922" t="str">
        <f>'Part I-Project Identification'!$A$6</f>
        <v>May 12 2022 Core Application</v>
      </c>
      <c r="M644" s="2922"/>
      <c r="N644" s="2922"/>
      <c r="O644" s="2923" t="s">
        <v>6765</v>
      </c>
      <c r="P644" s="2924">
        <f>'Part V-Revenues &amp; Expenses'!P6</f>
        <v>70700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6285</v>
      </c>
      <c r="MQ644" s="2918" t="s">
        <v>6286</v>
      </c>
      <c r="MR644" s="2918" t="s">
        <v>6287</v>
      </c>
      <c r="MS644" s="2918" t="s">
        <v>6288</v>
      </c>
      <c r="MT644" s="2918" t="s">
        <v>6289</v>
      </c>
      <c r="NP644" s="2914"/>
    </row>
    <row r="645" spans="1:380" s="2550" customFormat="1" ht="12.5" customHeight="1">
      <c r="A645" s="2920"/>
      <c r="B645" s="2926" t="s">
        <v>6097</v>
      </c>
      <c r="G645" s="2912" t="str">
        <f>'Part V-Revenues &amp; Expenses'!G7</f>
        <v>Yes</v>
      </c>
      <c r="I645" s="2925" t="s">
        <v>4073</v>
      </c>
      <c r="J645" s="2917" t="s">
        <v>742</v>
      </c>
      <c r="K645" s="2917" t="s">
        <v>3185</v>
      </c>
      <c r="L645" s="2922"/>
      <c r="M645" s="2922"/>
      <c r="N645" s="2922"/>
      <c r="O645" s="2927" t="s">
        <v>6077</v>
      </c>
      <c r="P645" s="2928">
        <f>'Part V-Revenues &amp; Expenses'!P7</f>
        <v>44562</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5" customHeight="1">
      <c r="A646" s="2920"/>
      <c r="B646" s="2929" t="s">
        <v>3764</v>
      </c>
      <c r="I646" s="2925"/>
      <c r="J646" s="2917" t="s">
        <v>743</v>
      </c>
      <c r="K646" s="2917" t="s">
        <v>3186</v>
      </c>
      <c r="L646" s="2688"/>
      <c r="M646" s="2688"/>
      <c r="N646" s="2930" t="s">
        <v>6482</v>
      </c>
      <c r="O646" s="2931" t="str">
        <f>'Part V-Revenues &amp; Expenses'!O8</f>
        <v>HUD</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3765</v>
      </c>
      <c r="C647" s="2917" t="s">
        <v>165</v>
      </c>
      <c r="D647" s="2917" t="s">
        <v>510</v>
      </c>
      <c r="E647" s="2917" t="s">
        <v>1383</v>
      </c>
      <c r="F647" s="2917" t="s">
        <v>1383</v>
      </c>
      <c r="G647" s="2925" t="s">
        <v>6093</v>
      </c>
      <c r="H647" s="2919" t="s">
        <v>3303</v>
      </c>
      <c r="I647" s="2925"/>
      <c r="J647" s="2933" t="s">
        <v>6087</v>
      </c>
      <c r="K647" s="2917" t="s">
        <v>6841</v>
      </c>
      <c r="L647" s="2135" t="s">
        <v>139</v>
      </c>
      <c r="M647" s="2135"/>
      <c r="N647" s="2917" t="s">
        <v>2185</v>
      </c>
      <c r="O647" s="2917" t="s">
        <v>6485</v>
      </c>
      <c r="P647" s="2918" t="s">
        <v>6842</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6290</v>
      </c>
      <c r="IZ647" s="2918" t="s">
        <v>6290</v>
      </c>
      <c r="JA647" s="2918" t="s">
        <v>6290</v>
      </c>
      <c r="JB647" s="2918" t="s">
        <v>6290</v>
      </c>
      <c r="JC647" s="2918" t="s">
        <v>6290</v>
      </c>
      <c r="JD647" s="2918" t="s">
        <v>6291</v>
      </c>
      <c r="JE647" s="2918" t="s">
        <v>6291</v>
      </c>
      <c r="JF647" s="2918" t="s">
        <v>6291</v>
      </c>
      <c r="JG647" s="2918" t="s">
        <v>6291</v>
      </c>
      <c r="JH647" s="2918" t="s">
        <v>6291</v>
      </c>
      <c r="JI647" s="2918" t="s">
        <v>6293</v>
      </c>
      <c r="JJ647" s="2918" t="s">
        <v>6293</v>
      </c>
      <c r="JK647" s="2918" t="s">
        <v>6293</v>
      </c>
      <c r="JL647" s="2918" t="s">
        <v>6293</v>
      </c>
      <c r="JM647" s="2918" t="s">
        <v>6293</v>
      </c>
      <c r="JN647" s="2918" t="s">
        <v>6294</v>
      </c>
      <c r="JO647" s="2918" t="s">
        <v>6294</v>
      </c>
      <c r="JP647" s="2918" t="s">
        <v>6294</v>
      </c>
      <c r="JQ647" s="2918" t="s">
        <v>6294</v>
      </c>
      <c r="JR647" s="2918" t="s">
        <v>6294</v>
      </c>
      <c r="JS647" s="2918" t="s">
        <v>6295</v>
      </c>
      <c r="JT647" s="2918" t="s">
        <v>6295</v>
      </c>
      <c r="JU647" s="2918" t="s">
        <v>6295</v>
      </c>
      <c r="JV647" s="2918" t="s">
        <v>6295</v>
      </c>
      <c r="JW647" s="2918" t="s">
        <v>6295</v>
      </c>
      <c r="JX647" s="2918" t="s">
        <v>6486</v>
      </c>
      <c r="JY647" s="2918" t="s">
        <v>6486</v>
      </c>
      <c r="JZ647" s="2918" t="s">
        <v>6486</v>
      </c>
      <c r="KA647" s="2918" t="s">
        <v>6486</v>
      </c>
      <c r="KB647" s="2918" t="s">
        <v>6486</v>
      </c>
      <c r="KC647" s="2918" t="s">
        <v>6766</v>
      </c>
      <c r="KD647" s="2918" t="s">
        <v>6766</v>
      </c>
      <c r="KE647" s="2918" t="s">
        <v>6766</v>
      </c>
      <c r="KF647" s="2918" t="s">
        <v>6766</v>
      </c>
      <c r="KG647" s="2918" t="s">
        <v>6766</v>
      </c>
      <c r="KH647" s="2918" t="s">
        <v>6767</v>
      </c>
      <c r="KI647" s="2918" t="s">
        <v>6767</v>
      </c>
      <c r="KJ647" s="2918" t="s">
        <v>6767</v>
      </c>
      <c r="KK647" s="2918" t="s">
        <v>6767</v>
      </c>
      <c r="KL647" s="2918" t="s">
        <v>6767</v>
      </c>
      <c r="KM647" s="2918" t="s">
        <v>6297</v>
      </c>
      <c r="KN647" s="2918" t="s">
        <v>6297</v>
      </c>
      <c r="KO647" s="2918" t="s">
        <v>6297</v>
      </c>
      <c r="KP647" s="2918" t="s">
        <v>6297</v>
      </c>
      <c r="KQ647" s="2918" t="s">
        <v>6297</v>
      </c>
      <c r="KR647" s="2918" t="s">
        <v>6487</v>
      </c>
      <c r="KS647" s="2918" t="s">
        <v>6487</v>
      </c>
      <c r="KT647" s="2918" t="s">
        <v>6487</v>
      </c>
      <c r="KU647" s="2918" t="s">
        <v>6487</v>
      </c>
      <c r="KV647" s="2918" t="s">
        <v>6487</v>
      </c>
      <c r="KW647" s="2918" t="s">
        <v>6768</v>
      </c>
      <c r="KX647" s="2918" t="s">
        <v>6768</v>
      </c>
      <c r="KY647" s="2918" t="s">
        <v>6768</v>
      </c>
      <c r="KZ647" s="2918" t="s">
        <v>6768</v>
      </c>
      <c r="LA647" s="2918" t="s">
        <v>6768</v>
      </c>
      <c r="LB647" s="2918" t="s">
        <v>6769</v>
      </c>
      <c r="LC647" s="2918" t="s">
        <v>6769</v>
      </c>
      <c r="LD647" s="2918" t="s">
        <v>6769</v>
      </c>
      <c r="LE647" s="2918" t="s">
        <v>6769</v>
      </c>
      <c r="LF647" s="2918" t="s">
        <v>6769</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3934</v>
      </c>
      <c r="C648" s="2917" t="s">
        <v>164</v>
      </c>
      <c r="D648" s="2917" t="s">
        <v>166</v>
      </c>
      <c r="E648" s="2917" t="s">
        <v>1384</v>
      </c>
      <c r="F648" s="2917" t="s">
        <v>1204</v>
      </c>
      <c r="G648" s="2925"/>
      <c r="H648" s="2917" t="s">
        <v>6094</v>
      </c>
      <c r="I648" s="2925"/>
      <c r="J648" s="2933"/>
      <c r="K648" s="2936" t="s">
        <v>334</v>
      </c>
      <c r="L648" s="2917" t="s">
        <v>1433</v>
      </c>
      <c r="M648" s="2917" t="s">
        <v>504</v>
      </c>
      <c r="N648" s="2917" t="s">
        <v>1383</v>
      </c>
      <c r="O648" s="2917" t="s">
        <v>6499</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4"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6410</v>
      </c>
    </row>
    <row r="650" spans="1:380" s="652" customFormat="1" ht="14"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6411</v>
      </c>
    </row>
    <row r="651" spans="1:380" s="652" customFormat="1" ht="14"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6412</v>
      </c>
    </row>
    <row r="652" spans="1:380" s="652" customFormat="1" ht="14"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6413</v>
      </c>
    </row>
    <row r="653" spans="1:380" s="652" customFormat="1" ht="14"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6414</v>
      </c>
    </row>
    <row r="654" spans="1:380" s="652" customFormat="1" ht="14"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6415</v>
      </c>
    </row>
    <row r="655" spans="1:380" s="652" customFormat="1" ht="14"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6416</v>
      </c>
    </row>
    <row r="656" spans="1:380" s="652" customFormat="1" ht="14" customHeight="1">
      <c r="A656" s="2910" t="str">
        <f t="shared" si="0"/>
        <v/>
      </c>
      <c r="B656" s="2949">
        <f>'Part V-Revenues &amp; Expenses'!B18</f>
        <v>0</v>
      </c>
      <c r="C656" s="2939">
        <f>'Part V-Revenues &amp; Expenses'!C18</f>
        <v>0</v>
      </c>
      <c r="D656" s="2940">
        <f>'Part V-Revenues &amp; Expenses'!D18</f>
        <v>0</v>
      </c>
      <c r="E656" s="2941">
        <f>'Part V-Revenues &amp; Expenses'!E18</f>
        <v>0</v>
      </c>
      <c r="F656" s="2941">
        <f>'Part V-Revenues &amp; Expenses'!F18</f>
        <v>0</v>
      </c>
      <c r="G656" s="2941">
        <f>'Part V-Revenues &amp; Expenses'!G18</f>
        <v>0</v>
      </c>
      <c r="H656" s="2941">
        <f>'Part V-Revenues &amp; Expenses'!H18</f>
        <v>0</v>
      </c>
      <c r="I656" s="2941">
        <f>'Part V-Revenues &amp; Expenses'!I18</f>
        <v>0</v>
      </c>
      <c r="J656" s="2941">
        <f>'Part V-Revenues &amp; Expenses'!J18</f>
        <v>0</v>
      </c>
      <c r="K656" s="2942">
        <f>'Part V-Revenues &amp; Expenses'!K18</f>
        <v>0</v>
      </c>
      <c r="L656" s="2943">
        <f t="shared" si="340"/>
        <v>0</v>
      </c>
      <c r="M656" s="2943">
        <f t="shared" si="341"/>
        <v>0</v>
      </c>
      <c r="N656" s="2775">
        <f>'Part V-Revenues &amp; Expenses'!N18</f>
        <v>0</v>
      </c>
      <c r="O656" s="2944">
        <f>'Part V-Revenues &amp; Expenses'!O18</f>
        <v>0</v>
      </c>
      <c r="P656" s="2775">
        <f>'Part V-Revenues &amp; Expenses'!P18</f>
        <v>0</v>
      </c>
      <c r="Q656" s="2945">
        <f>'Part V-Revenues &amp; Expenses'!Q18</f>
        <v>0</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t="str">
        <f t="shared" si="169"/>
        <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t="str">
        <f t="shared" si="214"/>
        <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0</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6417</v>
      </c>
    </row>
    <row r="657" spans="1:380" s="652" customFormat="1" ht="14" customHeight="1">
      <c r="A657" s="2910" t="str">
        <f t="shared" si="0"/>
        <v/>
      </c>
      <c r="B657" s="2949">
        <f>'Part V-Revenues &amp; Expenses'!B19</f>
        <v>50</v>
      </c>
      <c r="C657" s="2939">
        <f>'Part V-Revenues &amp; Expenses'!C19</f>
        <v>1</v>
      </c>
      <c r="D657" s="2940">
        <f>'Part V-Revenues &amp; Expenses'!D19</f>
        <v>1</v>
      </c>
      <c r="E657" s="2941">
        <f>'Part V-Revenues &amp; Expenses'!E19</f>
        <v>3</v>
      </c>
      <c r="F657" s="2941">
        <f>'Part V-Revenues &amp; Expenses'!F19</f>
        <v>776</v>
      </c>
      <c r="G657" s="2941">
        <f>'Part V-Revenues &amp; Expenses'!G19</f>
        <v>801</v>
      </c>
      <c r="H657" s="2941">
        <f>'Part V-Revenues &amp; Expenses'!H19</f>
        <v>667</v>
      </c>
      <c r="I657" s="2941">
        <f>'Part V-Revenues &amp; Expenses'!I19</f>
        <v>0</v>
      </c>
      <c r="J657" s="2941">
        <f>'Part V-Revenues &amp; Expenses'!J19</f>
        <v>87</v>
      </c>
      <c r="K657" s="2942" t="str">
        <f>'Part V-Revenues &amp; Expenses'!K19</f>
        <v>RAD</v>
      </c>
      <c r="L657" s="2943">
        <f t="shared" si="340"/>
        <v>580</v>
      </c>
      <c r="M657" s="2943">
        <f t="shared" si="341"/>
        <v>1740</v>
      </c>
      <c r="N657" s="2775" t="str">
        <f>'Part V-Revenues &amp; Expenses'!N19</f>
        <v>No</v>
      </c>
      <c r="O657" s="2944" t="str">
        <f>'Part V-Revenues &amp; Expenses'!O19</f>
        <v>Row House/TH</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f t="shared" si="19"/>
        <v>3</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f t="shared" si="59"/>
        <v>3</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f t="shared" si="134"/>
        <v>2328</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f t="shared" si="159"/>
        <v>2328</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3</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f t="shared" si="249"/>
        <v>3</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3</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6418</v>
      </c>
    </row>
    <row r="658" spans="1:380" s="652" customFormat="1" ht="14" customHeight="1">
      <c r="A658" s="2910" t="str">
        <f t="shared" si="0"/>
        <v/>
      </c>
      <c r="B658" s="2949">
        <f>'Part V-Revenues &amp; Expenses'!B20</f>
        <v>50</v>
      </c>
      <c r="C658" s="2939">
        <f>'Part V-Revenues &amp; Expenses'!C20</f>
        <v>1</v>
      </c>
      <c r="D658" s="2940">
        <f>'Part V-Revenues &amp; Expenses'!D20</f>
        <v>1</v>
      </c>
      <c r="E658" s="2941">
        <f>'Part V-Revenues &amp; Expenses'!E20</f>
        <v>5</v>
      </c>
      <c r="F658" s="2941">
        <f>'Part V-Revenues &amp; Expenses'!F20</f>
        <v>776</v>
      </c>
      <c r="G658" s="2941">
        <f>'Part V-Revenues &amp; Expenses'!G20</f>
        <v>801</v>
      </c>
      <c r="H658" s="2941">
        <f>'Part V-Revenues &amp; Expenses'!H20</f>
        <v>667</v>
      </c>
      <c r="I658" s="2941">
        <f>'Part V-Revenues &amp; Expenses'!I20</f>
        <v>0</v>
      </c>
      <c r="J658" s="2941">
        <f>'Part V-Revenues &amp; Expenses'!J20</f>
        <v>87</v>
      </c>
      <c r="K658" s="2942" t="str">
        <f>'Part V-Revenues &amp; Expenses'!K20</f>
        <v>HUD</v>
      </c>
      <c r="L658" s="2943">
        <f t="shared" si="340"/>
        <v>580</v>
      </c>
      <c r="M658" s="2943">
        <f t="shared" si="341"/>
        <v>2900</v>
      </c>
      <c r="N658" s="2775" t="str">
        <f>'Part V-Revenues &amp; Expenses'!N20</f>
        <v>No</v>
      </c>
      <c r="O658" s="2944" t="str">
        <f>'Part V-Revenues &amp; Expenses'!O20</f>
        <v>Row House/TH</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f t="shared" si="19"/>
        <v>5</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f t="shared" si="59"/>
        <v>5</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f t="shared" si="134"/>
        <v>3880</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f t="shared" si="159"/>
        <v>3880</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5</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f t="shared" si="249"/>
        <v>5</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5</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6419</v>
      </c>
    </row>
    <row r="659" spans="1:380" s="652" customFormat="1" ht="14" customHeight="1">
      <c r="A659" s="2910" t="str">
        <f t="shared" si="0"/>
        <v/>
      </c>
      <c r="B659" s="2949">
        <f>'Part V-Revenues &amp; Expenses'!B21</f>
        <v>60</v>
      </c>
      <c r="C659" s="2939">
        <f>'Part V-Revenues &amp; Expenses'!C21</f>
        <v>1</v>
      </c>
      <c r="D659" s="2940">
        <f>'Part V-Revenues &amp; Expenses'!D21</f>
        <v>1</v>
      </c>
      <c r="E659" s="2941">
        <f>'Part V-Revenues &amp; Expenses'!E21</f>
        <v>7</v>
      </c>
      <c r="F659" s="2941">
        <f>'Part V-Revenues &amp; Expenses'!F21</f>
        <v>776</v>
      </c>
      <c r="G659" s="2941">
        <f>'Part V-Revenues &amp; Expenses'!G21</f>
        <v>801</v>
      </c>
      <c r="H659" s="2941">
        <f>'Part V-Revenues &amp; Expenses'!H21</f>
        <v>667</v>
      </c>
      <c r="I659" s="2941">
        <f>'Part V-Revenues &amp; Expenses'!I21</f>
        <v>0</v>
      </c>
      <c r="J659" s="2941">
        <f>'Part V-Revenues &amp; Expenses'!J21</f>
        <v>87</v>
      </c>
      <c r="K659" s="2942" t="str">
        <f>'Part V-Revenues &amp; Expenses'!K21</f>
        <v>HUD</v>
      </c>
      <c r="L659" s="2943">
        <f t="shared" si="340"/>
        <v>580</v>
      </c>
      <c r="M659" s="2943">
        <f t="shared" si="341"/>
        <v>4060</v>
      </c>
      <c r="N659" s="2775" t="str">
        <f>'Part V-Revenues &amp; Expenses'!N21</f>
        <v>No</v>
      </c>
      <c r="O659" s="2944" t="str">
        <f>'Part V-Revenues &amp; Expenses'!O21</f>
        <v>Row House/TH</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7</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f t="shared" si="64"/>
        <v>7</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5432</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f t="shared" si="159"/>
        <v>5432</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7</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f t="shared" si="249"/>
        <v>7</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7</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6420</v>
      </c>
    </row>
    <row r="660" spans="1:380" s="652" customFormat="1" ht="14" customHeight="1">
      <c r="A660" s="2910" t="str">
        <f t="shared" si="0"/>
        <v/>
      </c>
      <c r="B660" s="2949">
        <f>'Part V-Revenues &amp; Expenses'!B22</f>
        <v>0</v>
      </c>
      <c r="C660" s="2939">
        <f>'Part V-Revenues &amp; Expenses'!C22</f>
        <v>0</v>
      </c>
      <c r="D660" s="2940">
        <f>'Part V-Revenues &amp; Expenses'!D22</f>
        <v>0</v>
      </c>
      <c r="E660" s="2941">
        <f>'Part V-Revenues &amp; Expenses'!E22</f>
        <v>0</v>
      </c>
      <c r="F660" s="2941">
        <f>'Part V-Revenues &amp; Expenses'!F22</f>
        <v>0</v>
      </c>
      <c r="G660" s="2941">
        <f>'Part V-Revenues &amp; Expenses'!G22</f>
        <v>0</v>
      </c>
      <c r="H660" s="2941">
        <f>'Part V-Revenues &amp; Expenses'!H22</f>
        <v>0</v>
      </c>
      <c r="I660" s="2941">
        <f>'Part V-Revenues &amp; Expenses'!I22</f>
        <v>0</v>
      </c>
      <c r="J660" s="2941">
        <f>'Part V-Revenues &amp; Expenses'!J22</f>
        <v>0</v>
      </c>
      <c r="K660" s="2942">
        <f>'Part V-Revenues &amp; Expenses'!K22</f>
        <v>0</v>
      </c>
      <c r="L660" s="2943">
        <f t="shared" si="340"/>
        <v>0</v>
      </c>
      <c r="M660" s="2943">
        <f t="shared" si="341"/>
        <v>0</v>
      </c>
      <c r="N660" s="2775">
        <f>'Part V-Revenues &amp; Expenses'!N22</f>
        <v>0</v>
      </c>
      <c r="O660" s="2944">
        <f>'Part V-Revenues &amp; Expenses'!O22</f>
        <v>0</v>
      </c>
      <c r="P660" s="2775">
        <f>'Part V-Revenues &amp; Expenses'!P22</f>
        <v>0</v>
      </c>
      <c r="Q660" s="2945">
        <f>'Part V-Revenues &amp; Expenses'!Q22</f>
        <v>0</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t="str">
        <f t="shared" si="215"/>
        <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0</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6421</v>
      </c>
    </row>
    <row r="661" spans="1:380" s="652" customFormat="1" ht="14" customHeight="1">
      <c r="A661" s="2910" t="str">
        <f t="shared" si="0"/>
        <v/>
      </c>
      <c r="B661" s="2949">
        <f>'Part V-Revenues &amp; Expenses'!B23</f>
        <v>50</v>
      </c>
      <c r="C661" s="2939">
        <f>'Part V-Revenues &amp; Expenses'!C23</f>
        <v>2</v>
      </c>
      <c r="D661" s="2940">
        <f>'Part V-Revenues &amp; Expenses'!D23</f>
        <v>2</v>
      </c>
      <c r="E661" s="2941">
        <f>'Part V-Revenues &amp; Expenses'!E23</f>
        <v>8</v>
      </c>
      <c r="F661" s="2941">
        <f>'Part V-Revenues &amp; Expenses'!F23</f>
        <v>1093</v>
      </c>
      <c r="G661" s="2941">
        <f>'Part V-Revenues &amp; Expenses'!G23</f>
        <v>963</v>
      </c>
      <c r="H661" s="2941">
        <f>'Part V-Revenues &amp; Expenses'!H23</f>
        <v>829</v>
      </c>
      <c r="I661" s="2941">
        <f>'Part V-Revenues &amp; Expenses'!I23</f>
        <v>0</v>
      </c>
      <c r="J661" s="2941">
        <f>'Part V-Revenues &amp; Expenses'!J23</f>
        <v>106</v>
      </c>
      <c r="K661" s="2942" t="str">
        <f>'Part V-Revenues &amp; Expenses'!K23</f>
        <v>RAD</v>
      </c>
      <c r="L661" s="2943">
        <f t="shared" si="340"/>
        <v>723</v>
      </c>
      <c r="M661" s="2943">
        <f t="shared" si="341"/>
        <v>5784</v>
      </c>
      <c r="N661" s="2775" t="str">
        <f>'Part V-Revenues &amp; Expenses'!N23</f>
        <v>No</v>
      </c>
      <c r="O661" s="2944" t="str">
        <f>'Part V-Revenues &amp; Expenses'!O23</f>
        <v>Row House/TH</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f t="shared" si="20"/>
        <v>8</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f t="shared" si="60"/>
        <v>8</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f t="shared" si="135"/>
        <v>8744</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f t="shared" si="160"/>
        <v>8744</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8</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f t="shared" si="250"/>
        <v>8</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8</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6422</v>
      </c>
    </row>
    <row r="662" spans="1:380" s="652" customFormat="1" ht="14" customHeight="1">
      <c r="A662" s="2910" t="str">
        <f t="shared" si="0"/>
        <v/>
      </c>
      <c r="B662" s="2949">
        <f>'Part V-Revenues &amp; Expenses'!B24</f>
        <v>60</v>
      </c>
      <c r="C662" s="2939">
        <f>'Part V-Revenues &amp; Expenses'!C24</f>
        <v>2</v>
      </c>
      <c r="D662" s="2940">
        <f>'Part V-Revenues &amp; Expenses'!D24</f>
        <v>2</v>
      </c>
      <c r="E662" s="2941">
        <f>'Part V-Revenues &amp; Expenses'!E24</f>
        <v>20</v>
      </c>
      <c r="F662" s="2941">
        <f>'Part V-Revenues &amp; Expenses'!F24</f>
        <v>1093</v>
      </c>
      <c r="G662" s="2941">
        <f>'Part V-Revenues &amp; Expenses'!G24</f>
        <v>963</v>
      </c>
      <c r="H662" s="2941">
        <f>'Part V-Revenues &amp; Expenses'!H24</f>
        <v>829</v>
      </c>
      <c r="I662" s="2941">
        <f>'Part V-Revenues &amp; Expenses'!I24</f>
        <v>0</v>
      </c>
      <c r="J662" s="2941">
        <f>'Part V-Revenues &amp; Expenses'!J24</f>
        <v>106</v>
      </c>
      <c r="K662" s="2942" t="str">
        <f>'Part V-Revenues &amp; Expenses'!K24</f>
        <v>HUD</v>
      </c>
      <c r="L662" s="2943">
        <f t="shared" si="340"/>
        <v>723</v>
      </c>
      <c r="M662" s="2943">
        <f t="shared" si="341"/>
        <v>14460</v>
      </c>
      <c r="N662" s="2775" t="str">
        <f>'Part V-Revenues &amp; Expenses'!N24</f>
        <v>No</v>
      </c>
      <c r="O662" s="2944" t="str">
        <f>'Part V-Revenues &amp; Expenses'!O24</f>
        <v>Row House/TH</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f t="shared" si="15"/>
        <v>20</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f t="shared" si="65"/>
        <v>20</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f t="shared" si="130"/>
        <v>21860</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f t="shared" si="160"/>
        <v>21860</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f t="shared" si="170"/>
        <v>20</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f t="shared" si="250"/>
        <v>20</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20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6423</v>
      </c>
    </row>
    <row r="663" spans="1:380" s="652" customFormat="1" ht="14"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6424</v>
      </c>
    </row>
    <row r="664" spans="1:380" s="652" customFormat="1" ht="14" customHeight="1">
      <c r="A664" s="2910" t="str">
        <f t="shared" si="0"/>
        <v/>
      </c>
      <c r="B664" s="2949">
        <f>'Part V-Revenues &amp; Expenses'!B26</f>
        <v>50</v>
      </c>
      <c r="C664" s="2939">
        <f>'Part V-Revenues &amp; Expenses'!C26</f>
        <v>3</v>
      </c>
      <c r="D664" s="2940">
        <f>'Part V-Revenues &amp; Expenses'!D26</f>
        <v>2</v>
      </c>
      <c r="E664" s="2941">
        <f>'Part V-Revenues &amp; Expenses'!E26</f>
        <v>4</v>
      </c>
      <c r="F664" s="2941">
        <f>'Part V-Revenues &amp; Expenses'!F26</f>
        <v>1349</v>
      </c>
      <c r="G664" s="2941">
        <f>'Part V-Revenues &amp; Expenses'!G26</f>
        <v>1112</v>
      </c>
      <c r="H664" s="2941">
        <f>'Part V-Revenues &amp; Expenses'!H26</f>
        <v>1096</v>
      </c>
      <c r="I664" s="2941">
        <f>'Part V-Revenues &amp; Expenses'!I26</f>
        <v>0</v>
      </c>
      <c r="J664" s="2941">
        <f>'Part V-Revenues &amp; Expenses'!J26</f>
        <v>132</v>
      </c>
      <c r="K664" s="2942" t="str">
        <f>'Part V-Revenues &amp; Expenses'!K26</f>
        <v>RAD</v>
      </c>
      <c r="L664" s="2943">
        <f t="shared" si="342"/>
        <v>964</v>
      </c>
      <c r="M664" s="2943">
        <f t="shared" si="343"/>
        <v>3856</v>
      </c>
      <c r="N664" s="2775" t="str">
        <f>'Part V-Revenues &amp; Expenses'!N26</f>
        <v>No</v>
      </c>
      <c r="O664" s="2944" t="str">
        <f>'Part V-Revenues &amp; Expenses'!O26</f>
        <v>Row House/TH</v>
      </c>
      <c r="P664" s="2775" t="str">
        <f>'Part V-Revenues &amp; Expenses'!P26</f>
        <v>New Construction</v>
      </c>
      <c r="Q664" s="2945" t="str">
        <f>'Part V-Revenues &amp; Expenses'!Q26</f>
        <v>No</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f t="shared" si="21"/>
        <v>4</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f t="shared" si="61"/>
        <v>4</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f t="shared" si="136"/>
        <v>5396</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f t="shared" si="161"/>
        <v>5396</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f t="shared" si="171"/>
        <v>4</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f t="shared" si="251"/>
        <v>4</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4</v>
      </c>
      <c r="MO664" s="2671">
        <f t="shared" si="337"/>
        <v>0</v>
      </c>
      <c r="MP664" s="2671">
        <f t="shared" si="328"/>
        <v>0</v>
      </c>
      <c r="MQ664" s="2671">
        <f t="shared" si="329"/>
        <v>0</v>
      </c>
      <c r="MR664" s="2671">
        <f t="shared" si="330"/>
        <v>0</v>
      </c>
      <c r="MS664" s="2671">
        <f t="shared" si="331"/>
        <v>0</v>
      </c>
      <c r="MT664" s="2671">
        <f t="shared" si="332"/>
        <v>0</v>
      </c>
      <c r="NP664" s="2751" t="s">
        <v>6425</v>
      </c>
    </row>
    <row r="665" spans="1:380" s="652" customFormat="1" ht="14" customHeight="1">
      <c r="A665" s="2910" t="str">
        <f t="shared" si="0"/>
        <v/>
      </c>
      <c r="B665" s="2949">
        <f>'Part V-Revenues &amp; Expenses'!B27</f>
        <v>60</v>
      </c>
      <c r="C665" s="2939">
        <f>'Part V-Revenues &amp; Expenses'!C27</f>
        <v>3</v>
      </c>
      <c r="D665" s="2940">
        <f>'Part V-Revenues &amp; Expenses'!D27</f>
        <v>2</v>
      </c>
      <c r="E665" s="2941">
        <f>'Part V-Revenues &amp; Expenses'!E27</f>
        <v>5</v>
      </c>
      <c r="F665" s="2941">
        <f>'Part V-Revenues &amp; Expenses'!F27</f>
        <v>1349</v>
      </c>
      <c r="G665" s="2941">
        <f>'Part V-Revenues &amp; Expenses'!G27</f>
        <v>1112</v>
      </c>
      <c r="H665" s="2941">
        <f>'Part V-Revenues &amp; Expenses'!H27</f>
        <v>1096</v>
      </c>
      <c r="I665" s="2941">
        <f>'Part V-Revenues &amp; Expenses'!I27</f>
        <v>0</v>
      </c>
      <c r="J665" s="2941">
        <f>'Part V-Revenues &amp; Expenses'!J27</f>
        <v>132</v>
      </c>
      <c r="K665" s="2942" t="str">
        <f>'Part V-Revenues &amp; Expenses'!K27</f>
        <v>RAD</v>
      </c>
      <c r="L665" s="2943">
        <f t="shared" si="342"/>
        <v>964</v>
      </c>
      <c r="M665" s="2943">
        <f t="shared" si="343"/>
        <v>4820</v>
      </c>
      <c r="N665" s="2775" t="str">
        <f>'Part V-Revenues &amp; Expenses'!N27</f>
        <v>No</v>
      </c>
      <c r="O665" s="2944" t="str">
        <f>'Part V-Revenues &amp; Expenses'!O27</f>
        <v>Row House/TH</v>
      </c>
      <c r="P665" s="2775" t="str">
        <f>'Part V-Revenues &amp; Expenses'!P27</f>
        <v>New Construction</v>
      </c>
      <c r="Q665" s="2945" t="str">
        <f>'Part V-Revenues &amp; Expenses'!Q27</f>
        <v>No</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f t="shared" si="16"/>
        <v>5</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f t="shared" si="66"/>
        <v>5</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f t="shared" si="131"/>
        <v>6745</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f t="shared" si="161"/>
        <v>6745</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f t="shared" si="171"/>
        <v>5</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f t="shared" si="251"/>
        <v>5</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5</v>
      </c>
      <c r="MO665" s="2671">
        <f t="shared" si="337"/>
        <v>0</v>
      </c>
      <c r="MP665" s="2671">
        <f t="shared" si="328"/>
        <v>0</v>
      </c>
      <c r="MQ665" s="2671">
        <f t="shared" si="329"/>
        <v>0</v>
      </c>
      <c r="MR665" s="2671">
        <f t="shared" si="330"/>
        <v>0</v>
      </c>
      <c r="MS665" s="2671">
        <f t="shared" si="331"/>
        <v>0</v>
      </c>
      <c r="MT665" s="2671">
        <f t="shared" si="332"/>
        <v>0</v>
      </c>
      <c r="NP665" s="2751" t="s">
        <v>6426</v>
      </c>
    </row>
    <row r="666" spans="1:380" s="652" customFormat="1" ht="14"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6427</v>
      </c>
    </row>
    <row r="667" spans="1:380" s="652" customFormat="1" ht="14"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6428</v>
      </c>
    </row>
    <row r="668" spans="1:380" s="652" customFormat="1" ht="14"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6429</v>
      </c>
    </row>
    <row r="669" spans="1:380" s="652" customFormat="1" ht="14"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6430</v>
      </c>
    </row>
    <row r="670" spans="1:380" s="652" customFormat="1" ht="14"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6431</v>
      </c>
    </row>
    <row r="671" spans="1:380" s="652" customFormat="1" ht="14"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6432</v>
      </c>
    </row>
    <row r="672" spans="1:380" s="652" customFormat="1" ht="14"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6433</v>
      </c>
    </row>
    <row r="673" spans="1:380" s="652" customFormat="1" ht="14"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6434</v>
      </c>
    </row>
    <row r="674" spans="1:380" s="652" customFormat="1" ht="14"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6435</v>
      </c>
    </row>
    <row r="675" spans="1:380" s="652" customFormat="1" ht="14"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6436</v>
      </c>
    </row>
    <row r="676" spans="1:380" s="652" customFormat="1" ht="14"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6437</v>
      </c>
    </row>
    <row r="677" spans="1:380" s="652" customFormat="1" ht="14"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6438</v>
      </c>
    </row>
    <row r="678" spans="1:380" s="652" customFormat="1" ht="14"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6439</v>
      </c>
    </row>
    <row r="679" spans="1:380" s="652" customFormat="1" ht="14"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6440</v>
      </c>
    </row>
    <row r="680" spans="1:380" s="652" customFormat="1" ht="14"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6441</v>
      </c>
    </row>
    <row r="681" spans="1:380" s="652" customFormat="1" ht="14"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6442</v>
      </c>
    </row>
    <row r="682" spans="1:380" s="652" customFormat="1" ht="14"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6443</v>
      </c>
    </row>
    <row r="683" spans="1:380" s="652" customFormat="1" ht="14"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6444</v>
      </c>
    </row>
    <row r="684" spans="1:380" s="652" customFormat="1" ht="14"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6445</v>
      </c>
    </row>
    <row r="685" spans="1:380" s="652" customFormat="1" ht="14"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6446</v>
      </c>
    </row>
    <row r="686" spans="1:380" s="652" customFormat="1" ht="14"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6447</v>
      </c>
    </row>
    <row r="687" spans="1:380" s="652" customFormat="1" ht="14" customHeight="1">
      <c r="A687" s="2910">
        <f>COUNT(A649,A650,A651,A652,A653,A654,A655,A656,A657,A658,A659,A660,A661,A662,A663,A664,A665,A666,A667,A668,A669,A670,A671,A672,A673,A674,A675,A676,A677,A678)</f>
        <v>0</v>
      </c>
      <c r="B687" s="474" t="s">
        <v>3769</v>
      </c>
      <c r="C687" s="474"/>
      <c r="D687" s="2950" t="s">
        <v>955</v>
      </c>
      <c r="E687" s="2951">
        <f>SUM(E649:E686)</f>
        <v>52</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54385</v>
      </c>
      <c r="H687" s="2953" t="s">
        <v>3766</v>
      </c>
      <c r="I687" s="2954" t="s">
        <v>3767</v>
      </c>
      <c r="J687" s="2955" t="str">
        <f>IF(P705=0,"",IF(SUM(P696:P700)/P705&gt;=0.4,"Pass","Fail"))</f>
        <v>Pass</v>
      </c>
      <c r="K687" s="475"/>
      <c r="L687" s="2950" t="s">
        <v>1226</v>
      </c>
      <c r="M687" s="2956">
        <f>SUM(M649:M686)</f>
        <v>37620</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7</v>
      </c>
      <c r="AJ687" s="2948">
        <f t="shared" si="344"/>
        <v>20</v>
      </c>
      <c r="AK687" s="2948">
        <f t="shared" si="344"/>
        <v>5</v>
      </c>
      <c r="AL687" s="2948">
        <f t="shared" si="344"/>
        <v>0</v>
      </c>
      <c r="AM687" s="2948">
        <f>SUM(AM649:AM686)</f>
        <v>0</v>
      </c>
      <c r="AN687" s="2948">
        <f>SUM(AN649:AN686)</f>
        <v>8</v>
      </c>
      <c r="AO687" s="2948">
        <f>SUM(AO649:AO686)</f>
        <v>8</v>
      </c>
      <c r="AP687" s="2948">
        <f>SUM(AP649:AP686)</f>
        <v>4</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8</v>
      </c>
      <c r="CC687" s="2948">
        <f t="shared" si="344"/>
        <v>8</v>
      </c>
      <c r="CD687" s="2948">
        <f t="shared" si="344"/>
        <v>4</v>
      </c>
      <c r="CE687" s="2948">
        <f t="shared" si="344"/>
        <v>0</v>
      </c>
      <c r="CF687" s="2948">
        <f t="shared" si="344"/>
        <v>0</v>
      </c>
      <c r="CG687" s="2948">
        <f t="shared" si="344"/>
        <v>7</v>
      </c>
      <c r="CH687" s="2948">
        <f t="shared" si="344"/>
        <v>20</v>
      </c>
      <c r="CI687" s="2948">
        <f t="shared" si="344"/>
        <v>5</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5432</v>
      </c>
      <c r="EU687" s="2948">
        <f t="shared" si="344"/>
        <v>21860</v>
      </c>
      <c r="EV687" s="2948">
        <f t="shared" si="344"/>
        <v>6745</v>
      </c>
      <c r="EW687" s="2948">
        <f t="shared" si="344"/>
        <v>0</v>
      </c>
      <c r="EX687" s="2948">
        <f t="shared" si="344"/>
        <v>0</v>
      </c>
      <c r="EY687" s="2948">
        <f t="shared" si="344"/>
        <v>6208</v>
      </c>
      <c r="EZ687" s="2948">
        <f t="shared" si="344"/>
        <v>8744</v>
      </c>
      <c r="FA687" s="2948">
        <f t="shared" si="344"/>
        <v>5396</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11640</v>
      </c>
      <c r="FY687" s="2948">
        <f t="shared" si="346"/>
        <v>30604</v>
      </c>
      <c r="FZ687" s="2948">
        <f t="shared" si="346"/>
        <v>12141</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15</v>
      </c>
      <c r="GI687" s="2948">
        <f t="shared" si="346"/>
        <v>28</v>
      </c>
      <c r="GJ687" s="2948">
        <f t="shared" si="346"/>
        <v>9</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0</v>
      </c>
      <c r="IB687" s="2948">
        <f t="shared" si="347"/>
        <v>0</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15</v>
      </c>
      <c r="JK687" s="2948">
        <f t="shared" si="347"/>
        <v>28</v>
      </c>
      <c r="JL687" s="2948">
        <f t="shared" si="347"/>
        <v>9</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15</v>
      </c>
      <c r="MM687" s="2948">
        <f t="shared" si="348"/>
        <v>28</v>
      </c>
      <c r="MN687" s="2948">
        <f t="shared" si="348"/>
        <v>9</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6448</v>
      </c>
    </row>
    <row r="688" spans="1:380" s="652" customFormat="1" ht="14"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56.153846153846153</v>
      </c>
      <c r="C688" s="2957"/>
      <c r="D688" s="2910" t="s">
        <v>3676</v>
      </c>
      <c r="E688" s="2951">
        <f>SUM(E656:E686)</f>
        <v>52</v>
      </c>
      <c r="F688" s="2952">
        <f>(E656*F656+E657*F657+E658*F658+E659*F659+E660*F660+E661*F661+E662*F662+E663*F663+E664*F664+E665*F665+E666*F666+E667*F667+E668*F668+E669*F669+E670*F670+E671*F671+E672*F672+E673*F673+E674*F674+E675*F675+E676*F676+E677*F677+E678*F678+E679*F679+E680*F680+E681*F681+E682*F682+E683*F683+E684*F684+E685*F685+E686*F686)</f>
        <v>54385</v>
      </c>
      <c r="H688" s="2953"/>
      <c r="I688" s="2954" t="s">
        <v>3768</v>
      </c>
      <c r="J688" s="2955" t="str">
        <f>IF(P705=0,"",IF(SUM(P697:P700)/P705&gt;=0.2,"Pass","Fail"))</f>
        <v>Pass</v>
      </c>
      <c r="K688" s="475"/>
      <c r="L688" s="2950" t="s">
        <v>757</v>
      </c>
      <c r="M688" s="2956">
        <f>M687*12</f>
        <v>451440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6449</v>
      </c>
    </row>
    <row r="689" spans="1:380" s="652" customFormat="1" ht="12" customHeight="1">
      <c r="A689" s="2849" t="s">
        <v>6843</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5" customHeight="1">
      <c r="A691" s="652" t="s">
        <v>689</v>
      </c>
      <c r="B691" s="652" t="s">
        <v>499</v>
      </c>
      <c r="K691" s="2959" t="s">
        <v>6649</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6651</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5" customHeight="1">
      <c r="B693" s="652" t="s">
        <v>6496</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4078</v>
      </c>
      <c r="B694" s="2529"/>
      <c r="C694" s="2550" t="s">
        <v>1070</v>
      </c>
      <c r="D694" s="2550"/>
      <c r="E694" s="2550"/>
      <c r="F694" s="2550"/>
      <c r="H694" s="2135" t="s">
        <v>3677</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3678</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7</v>
      </c>
      <c r="M696" s="2962">
        <f>AJ687</f>
        <v>20</v>
      </c>
      <c r="N696" s="2962">
        <f>AK687</f>
        <v>5</v>
      </c>
      <c r="O696" s="2962">
        <f>AL687</f>
        <v>0</v>
      </c>
      <c r="P696" s="2962">
        <f t="shared" si="349"/>
        <v>32</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8</v>
      </c>
      <c r="M697" s="2962">
        <f>AO687</f>
        <v>8</v>
      </c>
      <c r="N697" s="2962">
        <f>AP687</f>
        <v>4</v>
      </c>
      <c r="O697" s="2962">
        <f>AQ687</f>
        <v>0</v>
      </c>
      <c r="P697" s="2962">
        <f t="shared" si="349"/>
        <v>20</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3679</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3680</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3681</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3763</v>
      </c>
      <c r="D701" s="2550"/>
      <c r="E701" s="2550"/>
      <c r="F701" s="2550"/>
      <c r="H701" s="2530"/>
      <c r="I701" s="1024"/>
      <c r="K701" s="2962">
        <f>SUM(K694:K700)</f>
        <v>0</v>
      </c>
      <c r="L701" s="2962">
        <f>SUM(L694:L700)</f>
        <v>15</v>
      </c>
      <c r="M701" s="2962">
        <f>SUM(M694:M700)</f>
        <v>28</v>
      </c>
      <c r="N701" s="2962">
        <f>SUM(N694:N700)</f>
        <v>9</v>
      </c>
      <c r="O701" s="2962">
        <f>SUM(O694:O700)</f>
        <v>0</v>
      </c>
      <c r="P701" s="2962">
        <f t="shared" si="349"/>
        <v>52</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15</v>
      </c>
      <c r="M703" s="2968">
        <f>SUM(M701:M702)</f>
        <v>28</v>
      </c>
      <c r="N703" s="2968">
        <f>SUM(N701:N702)</f>
        <v>9</v>
      </c>
      <c r="O703" s="2968">
        <f>SUM(O701:O702)</f>
        <v>0</v>
      </c>
      <c r="P703" s="2968">
        <f t="shared" si="349"/>
        <v>52</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15</v>
      </c>
      <c r="M705" s="2962">
        <f>SUM(M703:M704)</f>
        <v>28</v>
      </c>
      <c r="N705" s="2962">
        <f>SUM(N703:N704)</f>
        <v>9</v>
      </c>
      <c r="O705" s="2962">
        <f>SUM(O703:O704)</f>
        <v>0</v>
      </c>
      <c r="P705" s="2962">
        <f t="shared" si="349"/>
        <v>52</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25"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3772</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25" customHeight="1">
      <c r="A708" s="2529"/>
      <c r="B708" s="2529"/>
      <c r="C708" s="2969"/>
      <c r="D708" s="2969"/>
      <c r="E708" s="2969"/>
      <c r="F708" s="2969"/>
      <c r="G708" s="652"/>
      <c r="H708" s="2970" t="s">
        <v>3677</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4072</v>
      </c>
      <c r="S708" s="2846"/>
      <c r="T708" s="2846"/>
      <c r="U708" s="2846"/>
      <c r="V708" s="2846"/>
      <c r="W708" s="2846"/>
    </row>
    <row r="709" spans="1:380">
      <c r="A709" s="2529"/>
      <c r="B709" s="2529"/>
      <c r="C709" s="2974"/>
      <c r="D709" s="652"/>
      <c r="E709" s="652"/>
      <c r="F709" s="652"/>
      <c r="G709" s="652"/>
      <c r="H709" s="2970" t="s">
        <v>6844</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6845</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6846</v>
      </c>
      <c r="E711" s="2974"/>
      <c r="F711" s="2974"/>
      <c r="G711" s="652"/>
      <c r="H711" s="2970" t="s">
        <v>3678</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6844</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6845</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ht="14">
      <c r="C714" s="2977" t="s">
        <v>4070</v>
      </c>
      <c r="D714" s="2974"/>
      <c r="E714" s="2974"/>
      <c r="F714" s="2974"/>
      <c r="G714" s="652"/>
      <c r="H714" s="2970" t="s">
        <v>1082</v>
      </c>
      <c r="I714" s="2971"/>
      <c r="J714" s="2550"/>
      <c r="K714" s="2973" t="str">
        <f t="shared" ref="K714:P714" si="354">IF(OR(K696=0,K705=0),"",K696/K705)</f>
        <v/>
      </c>
      <c r="L714" s="2973">
        <f t="shared" si="354"/>
        <v>0.46666666666666667</v>
      </c>
      <c r="M714" s="2973">
        <f t="shared" si="354"/>
        <v>0.7142857142857143</v>
      </c>
      <c r="N714" s="2973">
        <f t="shared" si="354"/>
        <v>0.55555555555555558</v>
      </c>
      <c r="O714" s="2973" t="str">
        <f t="shared" si="354"/>
        <v/>
      </c>
      <c r="P714" s="2973">
        <f t="shared" si="354"/>
        <v>0.61538461538461542</v>
      </c>
      <c r="S714" s="2846"/>
      <c r="T714" s="2846"/>
      <c r="U714" s="2846"/>
      <c r="V714" s="2846"/>
      <c r="W714" s="2846"/>
    </row>
    <row r="715" spans="1:380" ht="15.75" customHeight="1">
      <c r="C715" s="2977"/>
      <c r="D715" s="2974"/>
      <c r="E715" s="2974"/>
      <c r="F715" s="2974"/>
      <c r="G715" s="652"/>
      <c r="H715" s="2970" t="s">
        <v>6844</v>
      </c>
      <c r="I715" s="2971"/>
      <c r="J715" s="2550"/>
      <c r="K715" s="2975" t="str">
        <f>IF(OR(K696=0,P714="",K705=0),"",P714*K705)</f>
        <v/>
      </c>
      <c r="L715" s="2975">
        <f>IF(OR(L696=0,P714="",L705=0),"",P714*L705)</f>
        <v>9.2307692307692317</v>
      </c>
      <c r="M715" s="2975">
        <f>IF(OR(M696=0,P714="",M705=0),"",P714*M705)</f>
        <v>17.230769230769234</v>
      </c>
      <c r="N715" s="2975">
        <f>IF(OR(N696=0,P714="",N705=0),"",P714*N705)</f>
        <v>5.5384615384615383</v>
      </c>
      <c r="O715" s="2975" t="str">
        <f>IF(OR(O696=0,P714="",O705=0),"",P714*O705)</f>
        <v/>
      </c>
      <c r="P715" s="2975">
        <f>IF(OR(P714="",P705=0),"",P714*P705)</f>
        <v>32</v>
      </c>
      <c r="S715" s="2846"/>
      <c r="T715" s="2846"/>
      <c r="U715" s="2846"/>
      <c r="V715" s="2846"/>
      <c r="W715" s="2846"/>
    </row>
    <row r="716" spans="1:380" ht="15.75" customHeight="1">
      <c r="C716" s="2977"/>
      <c r="D716" s="2974"/>
      <c r="E716" s="2974"/>
      <c r="F716" s="2974"/>
      <c r="G716" s="2976"/>
      <c r="H716" s="2970" t="s">
        <v>6845</v>
      </c>
      <c r="I716" s="2971"/>
      <c r="J716" s="2550"/>
      <c r="K716" s="2975" t="str">
        <f t="shared" ref="K716:P716" si="355">IF(OR(K715="",K696=0),"", K696-K715)</f>
        <v/>
      </c>
      <c r="L716" s="2975">
        <f t="shared" si="355"/>
        <v>-2.2307692307692317</v>
      </c>
      <c r="M716" s="2975">
        <f t="shared" si="355"/>
        <v>2.7692307692307665</v>
      </c>
      <c r="N716" s="2975">
        <f t="shared" si="355"/>
        <v>-0.53846153846153832</v>
      </c>
      <c r="O716" s="2975" t="str">
        <f t="shared" si="355"/>
        <v/>
      </c>
      <c r="P716" s="2975">
        <f t="shared" si="355"/>
        <v>0</v>
      </c>
    </row>
    <row r="717" spans="1:380" ht="14">
      <c r="C717" s="2977" t="s">
        <v>4070</v>
      </c>
      <c r="D717" s="2977"/>
      <c r="E717" s="2977"/>
      <c r="F717" s="652"/>
      <c r="G717" s="652"/>
      <c r="H717" s="2970" t="s">
        <v>112</v>
      </c>
      <c r="I717" s="2971"/>
      <c r="J717" s="2550"/>
      <c r="K717" s="2973" t="str">
        <f t="shared" ref="K717:P717" si="356">IF(OR(K697=0,K705=0),"",K697/K705)</f>
        <v/>
      </c>
      <c r="L717" s="2973">
        <f t="shared" si="356"/>
        <v>0.53333333333333333</v>
      </c>
      <c r="M717" s="2973">
        <f t="shared" si="356"/>
        <v>0.2857142857142857</v>
      </c>
      <c r="N717" s="2973">
        <f t="shared" si="356"/>
        <v>0.44444444444444442</v>
      </c>
      <c r="O717" s="2973" t="str">
        <f t="shared" si="356"/>
        <v/>
      </c>
      <c r="P717" s="2973">
        <f t="shared" si="356"/>
        <v>0.38461538461538464</v>
      </c>
    </row>
    <row r="718" spans="1:380">
      <c r="C718" s="2977"/>
      <c r="D718" s="2977"/>
      <c r="E718" s="2977"/>
      <c r="F718" s="652"/>
      <c r="G718" s="652"/>
      <c r="H718" s="2970" t="s">
        <v>6844</v>
      </c>
      <c r="I718" s="2971"/>
      <c r="J718" s="2550"/>
      <c r="K718" s="2975" t="str">
        <f>IF(OR(K697=0,P717="",K705=0),"",P717*K705)</f>
        <v/>
      </c>
      <c r="L718" s="2975">
        <f>IF(OR(L697=0,P717="",L705=0),"",P717*L705)</f>
        <v>5.7692307692307692</v>
      </c>
      <c r="M718" s="2975">
        <f>IF(OR(M697=0,P717="",M705=0),"",P717*M705)</f>
        <v>10.76923076923077</v>
      </c>
      <c r="N718" s="2975">
        <f>IF(OR(N697=0,P717="",N705=0),"",P717*N705)</f>
        <v>3.4615384615384617</v>
      </c>
      <c r="O718" s="2975" t="str">
        <f>IF(OR(O697=0,P717="",O705=0),"",P717*O705)</f>
        <v/>
      </c>
      <c r="P718" s="2975">
        <f>IF(OR(P717="",P705=0),"",P717*P705)</f>
        <v>20</v>
      </c>
    </row>
    <row r="719" spans="1:380">
      <c r="C719" s="2977"/>
      <c r="D719" s="2977"/>
      <c r="E719" s="2977"/>
      <c r="F719" s="652"/>
      <c r="G719" s="2976"/>
      <c r="H719" s="2970" t="s">
        <v>6845</v>
      </c>
      <c r="I719" s="2971"/>
      <c r="J719" s="2550"/>
      <c r="K719" s="2975" t="str">
        <f t="shared" ref="K719:P719" si="357">IF(OR(K718="",K697=0),"", K697-K718)</f>
        <v/>
      </c>
      <c r="L719" s="2975">
        <f t="shared" si="357"/>
        <v>2.2307692307692308</v>
      </c>
      <c r="M719" s="2975">
        <f t="shared" si="357"/>
        <v>-2.7692307692307701</v>
      </c>
      <c r="N719" s="2975">
        <f t="shared" si="357"/>
        <v>0.53846153846153832</v>
      </c>
      <c r="O719" s="2975" t="str">
        <f t="shared" si="357"/>
        <v/>
      </c>
      <c r="P719" s="2975">
        <f t="shared" si="357"/>
        <v>0</v>
      </c>
    </row>
    <row r="720" spans="1:380" ht="14">
      <c r="C720" s="2977" t="s">
        <v>4070</v>
      </c>
      <c r="D720" s="2977"/>
      <c r="E720" s="2977"/>
      <c r="F720" s="652"/>
      <c r="G720" s="652"/>
      <c r="H720" s="2970" t="s">
        <v>3679</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6844</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6845</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ht="14">
      <c r="C723" s="2977" t="s">
        <v>4070</v>
      </c>
      <c r="D723" s="652"/>
      <c r="E723" s="652"/>
      <c r="F723" s="652"/>
      <c r="G723" s="652"/>
      <c r="H723" s="2970" t="s">
        <v>3680</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6844</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6845</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ht="14">
      <c r="C726" s="2977" t="s">
        <v>4070</v>
      </c>
      <c r="D726" s="652"/>
      <c r="E726" s="652"/>
      <c r="F726" s="652"/>
      <c r="G726" s="652"/>
      <c r="H726" s="2970" t="s">
        <v>3681</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6844</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6845</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3677</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3678</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7</v>
      </c>
      <c r="M733" s="2962">
        <f>CH687</f>
        <v>20</v>
      </c>
      <c r="N733" s="2962">
        <f>CI687</f>
        <v>5</v>
      </c>
      <c r="O733" s="2962">
        <f>CJ687</f>
        <v>0</v>
      </c>
      <c r="P733" s="2962">
        <f t="shared" si="364"/>
        <v>32</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8</v>
      </c>
      <c r="M734" s="2962">
        <f>CC687</f>
        <v>8</v>
      </c>
      <c r="N734" s="2962">
        <f>CD687</f>
        <v>4</v>
      </c>
      <c r="O734" s="2962">
        <f>CE687</f>
        <v>0</v>
      </c>
      <c r="P734" s="2962">
        <f t="shared" si="364"/>
        <v>20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3679</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3680</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3681</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15</v>
      </c>
      <c r="M738" s="2962">
        <f>SUM(M731:M737)</f>
        <v>28</v>
      </c>
      <c r="N738" s="2962">
        <f>SUM(N731:N737)</f>
        <v>9</v>
      </c>
      <c r="O738" s="2962">
        <f>SUM(O731:O737)</f>
        <v>0</v>
      </c>
      <c r="P738" s="2962">
        <f t="shared" si="364"/>
        <v>52</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5" customHeight="1">
      <c r="A740" s="652" t="s">
        <v>689</v>
      </c>
      <c r="B740" s="652" t="s">
        <v>6847</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3677</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3678</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3679</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3680</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3681</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15</v>
      </c>
      <c r="M751" s="2962">
        <f>GI687</f>
        <v>28</v>
      </c>
      <c r="N751" s="2962">
        <f>GJ687</f>
        <v>9</v>
      </c>
      <c r="O751" s="2962">
        <f>GK687</f>
        <v>0</v>
      </c>
      <c r="P751" s="2962">
        <f t="shared" ref="P751:P761" si="366">SUM(K751:O751)</f>
        <v>52</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15</v>
      </c>
      <c r="M753" s="2962">
        <f>SUM(M751:M752)+GS687</f>
        <v>28</v>
      </c>
      <c r="N753" s="2962">
        <f>SUM(N751:N752)+GT687</f>
        <v>9</v>
      </c>
      <c r="O753" s="2962">
        <f>SUM(O751:O752)+GU687</f>
        <v>0</v>
      </c>
      <c r="P753" s="2962">
        <f t="shared" si="366"/>
        <v>52</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6804</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6848</v>
      </c>
      <c r="D765" s="2969"/>
      <c r="E765" s="2135" t="s">
        <v>36</v>
      </c>
      <c r="F765" s="2550"/>
      <c r="G765" s="2692"/>
      <c r="H765" s="2530"/>
      <c r="K765" s="2962">
        <f t="shared" ref="K765:P765" si="367">SUM(K766:K773)</f>
        <v>0</v>
      </c>
      <c r="L765" s="2962">
        <f t="shared" si="367"/>
        <v>0</v>
      </c>
      <c r="M765" s="2962">
        <f t="shared" si="367"/>
        <v>0</v>
      </c>
      <c r="N765" s="2962">
        <f t="shared" si="367"/>
        <v>0</v>
      </c>
      <c r="O765" s="2962">
        <f t="shared" si="367"/>
        <v>0</v>
      </c>
      <c r="P765" s="2962">
        <f t="shared" si="367"/>
        <v>0</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6296</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6481</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6298</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6488</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6483</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6484</v>
      </c>
      <c r="F776" s="2550"/>
      <c r="H776" s="2915"/>
      <c r="I776" s="2923"/>
      <c r="K776" s="2962">
        <f>JI687</f>
        <v>0</v>
      </c>
      <c r="L776" s="2962">
        <f>JJ687</f>
        <v>15</v>
      </c>
      <c r="M776" s="2962">
        <f>JK687</f>
        <v>28</v>
      </c>
      <c r="N776" s="2962">
        <f>JL687</f>
        <v>9</v>
      </c>
      <c r="O776" s="2962">
        <f>JM687</f>
        <v>0</v>
      </c>
      <c r="P776" s="2962">
        <f t="shared" si="368"/>
        <v>52</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6292</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5" customHeight="1">
      <c r="A783" s="652" t="s">
        <v>689</v>
      </c>
      <c r="B783" s="652" t="s">
        <v>6847</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6849</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15</v>
      </c>
      <c r="M787" s="2962">
        <f t="shared" si="371"/>
        <v>28</v>
      </c>
      <c r="N787" s="2962">
        <f t="shared" si="371"/>
        <v>9</v>
      </c>
      <c r="O787" s="2962">
        <f t="shared" si="371"/>
        <v>0</v>
      </c>
      <c r="P787" s="2962">
        <f t="shared" si="370"/>
        <v>52</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6770</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6497</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3677</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3678</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5432</v>
      </c>
      <c r="M797" s="2986">
        <f>EU687</f>
        <v>21860</v>
      </c>
      <c r="N797" s="2986">
        <f>EV687</f>
        <v>6745</v>
      </c>
      <c r="O797" s="2986">
        <f>EW687</f>
        <v>0</v>
      </c>
      <c r="P797" s="2986">
        <f t="shared" si="373"/>
        <v>34037</v>
      </c>
      <c r="Q797" s="2987">
        <f t="shared" si="374"/>
        <v>1063.65625</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6208</v>
      </c>
      <c r="M798" s="2986">
        <f>EZ687</f>
        <v>8744</v>
      </c>
      <c r="N798" s="2986">
        <f>FA687</f>
        <v>5396</v>
      </c>
      <c r="O798" s="2986">
        <f>FB687</f>
        <v>0</v>
      </c>
      <c r="P798" s="2986">
        <f t="shared" si="373"/>
        <v>20348</v>
      </c>
      <c r="Q798" s="2987">
        <f t="shared" si="374"/>
        <v>1017.4</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3679</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3680</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3681</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3762</v>
      </c>
      <c r="I802" s="2984"/>
      <c r="J802" s="2965"/>
      <c r="K802" s="2988">
        <f>SUM(K795:K801)</f>
        <v>0</v>
      </c>
      <c r="L802" s="2988">
        <f>SUM(L795:L801)</f>
        <v>11640</v>
      </c>
      <c r="M802" s="2988">
        <f>SUM(M795:M801)</f>
        <v>30604</v>
      </c>
      <c r="N802" s="2988">
        <f>SUM(N795:N801)</f>
        <v>12141</v>
      </c>
      <c r="O802" s="2988">
        <f>SUM(O795:O801)</f>
        <v>0</v>
      </c>
      <c r="P802" s="2988">
        <f>SUM(K802:O802)</f>
        <v>54385</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11640</v>
      </c>
      <c r="M804" s="2988">
        <f>SUM(M802:M803)</f>
        <v>30604</v>
      </c>
      <c r="N804" s="2988">
        <f>SUM(N802:N803)</f>
        <v>12141</v>
      </c>
      <c r="O804" s="2988">
        <f>SUM(O802:O803)</f>
        <v>0</v>
      </c>
      <c r="P804" s="2988">
        <f>SUM(K804:O804)</f>
        <v>54385</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11640</v>
      </c>
      <c r="M806" s="2986">
        <f>SUM(M804:M805)</f>
        <v>30604</v>
      </c>
      <c r="N806" s="2986">
        <f>SUM(N804:N805)</f>
        <v>12141</v>
      </c>
      <c r="O806" s="2986">
        <f>SUM(O804:O805)</f>
        <v>0</v>
      </c>
      <c r="P806" s="2986">
        <f>SUM(K806:O806)</f>
        <v>54385</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6850</v>
      </c>
      <c r="K809" s="2989" t="str">
        <f>IF(OR(K705="",K705=0),"",K806/K705)</f>
        <v/>
      </c>
      <c r="L809" s="2989">
        <f>IF(OR(L705="",L705=0),"",L806/L705)</f>
        <v>776</v>
      </c>
      <c r="M809" s="2989">
        <f>IF(OR(M705="",M705=0),"",M806/M705)</f>
        <v>1093</v>
      </c>
      <c r="N809" s="2989">
        <f>IF(OR(N705="",N705=0),"",N806/N705)</f>
        <v>1349</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 customHeight="1">
      <c r="A811" s="652" t="s">
        <v>691</v>
      </c>
      <c r="B811" s="652" t="s">
        <v>6654</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6851</v>
      </c>
      <c r="K812" s="2764">
        <f>'Part V-Revenues &amp; Expenses'!K174</f>
        <v>3000</v>
      </c>
      <c r="L812" s="2764"/>
      <c r="Z812" s="2682">
        <v>68</v>
      </c>
    </row>
    <row r="813" spans="1:380" s="2681" customFormat="1" ht="13.25" customHeight="1">
      <c r="A813" s="2682"/>
      <c r="C813" s="2693" t="s">
        <v>242</v>
      </c>
      <c r="K813" s="2990">
        <f>P806+K812</f>
        <v>57385</v>
      </c>
      <c r="L813" s="2990"/>
      <c r="Z813" s="2682">
        <v>69</v>
      </c>
    </row>
    <row r="814" spans="1:380" s="2550" customFormat="1" ht="14"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 customHeight="1">
      <c r="A815" s="652" t="s">
        <v>1667</v>
      </c>
      <c r="B815" s="652" t="s">
        <v>6852</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5" customHeight="1">
      <c r="B817" s="2135" t="s">
        <v>953</v>
      </c>
      <c r="C817" s="2135"/>
      <c r="D817" s="2135"/>
      <c r="E817" s="2135"/>
      <c r="F817" s="2135"/>
      <c r="G817" s="2135"/>
      <c r="H817" s="2992">
        <f>'Part V-Revenues &amp; Expenses'!H179</f>
        <v>9028.8000000000011</v>
      </c>
      <c r="I817" s="2992"/>
      <c r="J817" s="2992"/>
      <c r="K817" s="2135"/>
      <c r="L817" s="2915" t="s">
        <v>6771</v>
      </c>
      <c r="M817" s="2135"/>
      <c r="N817" s="2135"/>
      <c r="O817" s="2135"/>
      <c r="P817" s="2993">
        <f>IF(M688=0,0,H817/M688)</f>
        <v>2.0000000000000004E-2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5"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5"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5"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5"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5"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5"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5" customHeight="1">
      <c r="B824" s="2907" t="s">
        <v>6772</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5"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5"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5" customHeight="1">
      <c r="B827" s="2135"/>
      <c r="C827" s="2135" t="s">
        <v>6773</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5"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5"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5"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5"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5"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5" customHeight="1">
      <c r="B833" s="2907" t="s">
        <v>6772</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5"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5"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5" customHeight="1">
      <c r="B836" s="2135"/>
      <c r="C836" s="2135" t="s">
        <v>6773</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5"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5"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5"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5"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5"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5" customHeight="1">
      <c r="B842" s="2907" t="s">
        <v>6772</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5"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5"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5" customHeight="1">
      <c r="B845" s="2135"/>
      <c r="C845" s="2135" t="s">
        <v>6773</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5"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5"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5"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5"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5"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5" customHeight="1">
      <c r="B851" s="2907" t="s">
        <v>6772</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5"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5"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5" customHeight="1">
      <c r="B854" s="2135"/>
      <c r="C854" s="2135" t="s">
        <v>6773</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25694</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43000</v>
      </c>
      <c r="G859" s="3008"/>
      <c r="I859" s="2550" t="s">
        <v>1301</v>
      </c>
      <c r="L859" s="3008">
        <f>'Part V-Revenues &amp; Expenses'!L221</f>
        <v>0</v>
      </c>
      <c r="M859" s="3008"/>
      <c r="O859" s="3009">
        <f>+Q858/(P705*0.93)</f>
        <v>531.30686517783295</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37913</v>
      </c>
      <c r="G860" s="3008"/>
      <c r="I860" s="2550" t="s">
        <v>1302</v>
      </c>
      <c r="L860" s="3008">
        <f>'Part V-Revenues &amp; Expenses'!L222</f>
        <v>3600</v>
      </c>
      <c r="M860" s="3008"/>
      <c r="O860" s="3009">
        <f>+Q858/(P705*0.93)/12</f>
        <v>44.275572098152743</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3600</v>
      </c>
      <c r="M861" s="2986"/>
      <c r="O861" s="474" t="s">
        <v>3224</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6639</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4022</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Payroll Taxes and Insurance</v>
      </c>
      <c r="C864" s="3000"/>
      <c r="D864" s="3000"/>
      <c r="E864" s="3000"/>
      <c r="F864" s="3008">
        <f>'Part V-Revenues &amp; Expenses'!F226</f>
        <v>19178</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100091</v>
      </c>
      <c r="G865" s="2986"/>
      <c r="I865" s="2550" t="s">
        <v>1498</v>
      </c>
      <c r="L865" s="3008">
        <f>'Part V-Revenues &amp; Expenses'!L227</f>
        <v>1250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9000</v>
      </c>
      <c r="M866" s="3008"/>
      <c r="N866" s="2925" t="str">
        <f>IF(Q868="","",IF(Q866&lt;Q868, "WARNING! OE below required minimum.",""))</f>
        <v/>
      </c>
      <c r="O866" s="2550" t="s">
        <v>2030</v>
      </c>
      <c r="Q866" s="2989">
        <f>F865+F874+F885+L861+L869+L879+L885+Q858</f>
        <v>284035</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2500</v>
      </c>
      <c r="M867" s="3008"/>
      <c r="N867" s="2925"/>
      <c r="O867" s="2967" t="s">
        <v>2488</v>
      </c>
      <c r="P867" s="3009">
        <f>+Q866/P705</f>
        <v>5462.2115384615381</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6450</v>
      </c>
    </row>
    <row r="868" spans="2:380" s="2550" customFormat="1" ht="16.5" customHeight="1">
      <c r="B868" s="2550" t="s">
        <v>1295</v>
      </c>
      <c r="D868" s="3012"/>
      <c r="F868" s="3008">
        <f>'Part V-Revenues &amp; Expenses'!F230</f>
        <v>5500</v>
      </c>
      <c r="G868" s="3008"/>
      <c r="I868" s="3013" t="str">
        <f>'Part V-Revenues &amp; Expenses'!I230</f>
        <v>Other (describe here)</v>
      </c>
      <c r="J868" s="3013"/>
      <c r="K868" s="3013"/>
      <c r="L868" s="3008">
        <f>'Part V-Revenues &amp; Expenses'!L230</f>
        <v>0</v>
      </c>
      <c r="M868" s="3008"/>
      <c r="N868" s="2925"/>
      <c r="P868" s="2967" t="s">
        <v>3225</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5800</v>
      </c>
      <c r="G869" s="3008"/>
      <c r="K869" s="3010" t="s">
        <v>184</v>
      </c>
      <c r="L869" s="2989">
        <f>SUM(L865:L868)</f>
        <v>12750</v>
      </c>
      <c r="M869" s="2989"/>
      <c r="N869" s="2925"/>
      <c r="O869" s="3014" t="s">
        <v>6730</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1500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3800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6451</v>
      </c>
    </row>
    <row r="872" spans="2:380" s="2550" customFormat="1" ht="16.5" customHeight="1">
      <c r="B872" s="2550" t="s">
        <v>1496</v>
      </c>
      <c r="D872" s="3012"/>
      <c r="F872" s="3008">
        <f>'Part V-Revenues &amp; Expenses'!F234</f>
        <v>2000</v>
      </c>
      <c r="G872" s="3008"/>
      <c r="I872" s="2550" t="s">
        <v>1298</v>
      </c>
      <c r="K872" s="2682" t="s">
        <v>3886</v>
      </c>
      <c r="O872" s="2550" t="s">
        <v>3088</v>
      </c>
      <c r="Q872" s="3015">
        <f>'Part V-Revenues &amp; Expenses'!Q234</f>
        <v>13000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12.820512820512819</v>
      </c>
      <c r="L873" s="3008">
        <f>'Part V-Revenues &amp; Expenses'!L235</f>
        <v>8000</v>
      </c>
      <c r="M873" s="3008"/>
      <c r="N873" s="2925" t="str">
        <f>IF(Q872&lt;Q881, "WARNING! RR proposed is below the DCA required minimum.","")</f>
        <v/>
      </c>
      <c r="O873" s="474" t="s">
        <v>3885</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18600</v>
      </c>
      <c r="G874" s="2986"/>
      <c r="I874" s="2550" t="s">
        <v>1292</v>
      </c>
      <c r="K874" s="2803">
        <f>L874/12/P705</f>
        <v>0</v>
      </c>
      <c r="L874" s="3008">
        <f>'Part V-Revenues &amp; Expenses'!L236</f>
        <v>0</v>
      </c>
      <c r="M874" s="3008"/>
      <c r="N874" s="2925"/>
      <c r="O874" s="3017" t="s">
        <v>3231</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3931</v>
      </c>
      <c r="K875" s="2803">
        <f>L875/12/P705</f>
        <v>44.871794871794876</v>
      </c>
      <c r="L875" s="3008">
        <f>'Part V-Revenues &amp; Expenses'!L237</f>
        <v>28000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6384</v>
      </c>
    </row>
    <row r="876" spans="2:380" s="2550" customFormat="1" ht="16.5" customHeight="1">
      <c r="B876" s="2550" t="s">
        <v>1217</v>
      </c>
      <c r="D876" s="3012"/>
      <c r="I876" s="2550" t="s">
        <v>1294</v>
      </c>
      <c r="K876" s="2803">
        <f>L876/12/P705</f>
        <v>9.615384615384615</v>
      </c>
      <c r="L876" s="3008">
        <f>'Part V-Revenues &amp; Expenses'!L238</f>
        <v>6000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11000</v>
      </c>
      <c r="G877" s="3008"/>
      <c r="I877" s="2550" t="s">
        <v>6853</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3300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52 units x $250 =</v>
      </c>
      <c r="Q878" s="3021">
        <f>SUM(MK687:MO687)*'DCA Underwriting Assumptions'!$Q$29</f>
        <v>13000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12000</v>
      </c>
      <c r="G879" s="3008"/>
      <c r="K879" s="3010" t="s">
        <v>184</v>
      </c>
      <c r="L879" s="2989">
        <f>SUM(L873:L878)</f>
        <v>42000</v>
      </c>
      <c r="M879" s="2989"/>
      <c r="N879" s="2925"/>
      <c r="O879" s="2692" t="s">
        <v>6501</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2000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6452</v>
      </c>
    </row>
    <row r="881" spans="1:380" s="2550" customFormat="1" ht="16.5" customHeight="1">
      <c r="B881" s="2550" t="s">
        <v>941</v>
      </c>
      <c r="D881" s="3012"/>
      <c r="F881" s="3008">
        <f>'Part V-Revenues &amp; Expenses'!F243</f>
        <v>5000</v>
      </c>
      <c r="G881" s="3008"/>
      <c r="I881" s="2550" t="s">
        <v>1299</v>
      </c>
      <c r="O881" s="2950" t="s">
        <v>2468</v>
      </c>
      <c r="P881" s="3022">
        <f>SUM(MF687:MJ687)+SUM(MK687:MO687)+SUM(MP687:MT687)+P763</f>
        <v>52</v>
      </c>
      <c r="Q881" s="3022">
        <f>SUM(Q877:Q880)</f>
        <v>13000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6854</v>
      </c>
      <c r="L882" s="3008">
        <f>'Part V-Revenues &amp; Expenses'!L244</f>
        <v>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12000</v>
      </c>
      <c r="G883" s="3008"/>
      <c r="I883" s="2550" t="s">
        <v>140</v>
      </c>
      <c r="L883" s="3008">
        <f>'Part V-Revenues &amp; Expenses'!L245</f>
        <v>36000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6453</v>
      </c>
    </row>
    <row r="885" spans="1:380" s="2550" customFormat="1" ht="16.5" customHeight="1">
      <c r="E885" s="3010" t="s">
        <v>184</v>
      </c>
      <c r="F885" s="2986">
        <f>SUM(F877:G884)</f>
        <v>45300</v>
      </c>
      <c r="G885" s="2986"/>
      <c r="K885" s="3010" t="s">
        <v>184</v>
      </c>
      <c r="L885" s="2989">
        <f>SUM(L881:L884)</f>
        <v>36000</v>
      </c>
      <c r="M885" s="2989"/>
      <c r="O885" s="2550" t="s">
        <v>2031</v>
      </c>
      <c r="Q885" s="2989">
        <f>Q866+Q872</f>
        <v>297035</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5"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3376</v>
      </c>
      <c r="B889" s="2550" t="s">
        <v>3875</v>
      </c>
      <c r="C889" s="3010"/>
      <c r="H889" s="2962"/>
      <c r="I889" s="3023" t="s">
        <v>3876</v>
      </c>
      <c r="K889" s="2999">
        <f>'Part V-Revenues &amp; Expenses'!K251</f>
        <v>10</v>
      </c>
      <c r="L889" s="2999"/>
      <c r="M889" s="2906" t="s">
        <v>3903</v>
      </c>
      <c r="N889" s="2924">
        <f>'Part V-Revenues &amp; Expenses'!N251</f>
        <v>75</v>
      </c>
      <c r="O889" s="2550" t="s">
        <v>3878</v>
      </c>
      <c r="Q889" s="2924">
        <f>'Part V-Revenues &amp; Expenses'!Q251</f>
        <v>750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3904</v>
      </c>
      <c r="C891" s="3010"/>
      <c r="F891" s="2962"/>
      <c r="G891" s="2962"/>
      <c r="J891" s="2912" t="str">
        <f>'Part V-Revenues &amp; Expenses'!J253</f>
        <v>No</v>
      </c>
      <c r="K891" s="3023" t="s">
        <v>3906</v>
      </c>
      <c r="L891" s="2912" t="str">
        <f>'Part V-Revenues &amp; Expenses'!L253</f>
        <v>No</v>
      </c>
      <c r="M891" s="2910" t="s">
        <v>3907</v>
      </c>
      <c r="N891" s="2924">
        <f>'Part V-Revenues &amp; Expenses'!N253</f>
        <v>0</v>
      </c>
      <c r="O891" s="2550" t="s">
        <v>3905</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6454</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3874</v>
      </c>
      <c r="B893" s="652" t="s">
        <v>530</v>
      </c>
      <c r="N893" s="652" t="s">
        <v>6655</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NWGHA does not pay real estate taxes on properties they own. The tax exemption opinion is included in the application tabs. The insurance estimate is included in Project Feasibility Tab.
Rents and Utility allowances for the RAD units are per the RAD CHAP and are for a commitment period of 20 years. As a result the CHAP rents were used, even when over the maximum tax credit limits. The
tenant paid portion will not be more than the tax credit limits.</v>
      </c>
      <c r="B894" s="2744"/>
      <c r="C894" s="2744"/>
      <c r="D894" s="2744"/>
      <c r="E894" s="2744"/>
      <c r="F894" s="2744"/>
      <c r="G894" s="2744"/>
      <c r="H894" s="2744"/>
      <c r="I894" s="2744"/>
      <c r="J894" s="2744"/>
      <c r="K894" s="2744"/>
      <c r="L894" s="2744"/>
      <c r="M894" s="2744"/>
      <c r="N894" s="2744"/>
      <c r="O894" s="2744"/>
      <c r="P894" s="2744"/>
      <c r="Q894" s="2744"/>
      <c r="R894" s="2678" t="s">
        <v>3375</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 customHeight="1">
      <c r="A897" s="2550" t="str">
        <f>CONCATENATE("PART SIX - OPERATING PRO FORMA","  -  ",'Part I-Project Identification'!$O$7," ",'Part I-Project Identification'!$F$29,", ",'Part I-Project Identification'!F925,", ",'Part I-Project Identification'!J925," County")</f>
        <v>PART SIX - OPERATING PRO FORMA  -  2022-0 Cave Spring Townhomes, ,  County</v>
      </c>
      <c r="B897" s="2904"/>
      <c r="C897" s="2904"/>
      <c r="D897" s="2904"/>
      <c r="E897" s="2904"/>
      <c r="F897" s="2904"/>
      <c r="G897" s="2904"/>
      <c r="H897" s="2904"/>
      <c r="I897" s="2904"/>
      <c r="J897" s="2904"/>
      <c r="K897" s="2904"/>
      <c r="L897" s="2550"/>
      <c r="M897" s="2550"/>
      <c r="N897" s="2550" t="str">
        <f>A897</f>
        <v>PART SIX - OPERATING PRO FORMA  -  2022-0 Cave Spring Townhomes,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6774</v>
      </c>
      <c r="N899" s="652" t="str">
        <f>A899</f>
        <v>I.  OPERATING ASSUMPTIONS</v>
      </c>
      <c r="O899" s="2755"/>
      <c r="Z899" s="2751"/>
      <c r="AA899" s="2671">
        <v>4</v>
      </c>
    </row>
    <row r="900" spans="1:27" s="652" customFormat="1" ht="2.5" customHeight="1">
      <c r="C900" s="3024"/>
      <c r="Z900" s="2751"/>
      <c r="AA900" s="2671">
        <v>5</v>
      </c>
    </row>
    <row r="901" spans="1:27" s="652" customFormat="1" ht="13.5" customHeight="1">
      <c r="A901" s="652" t="s">
        <v>2032</v>
      </c>
      <c r="B901" s="3025">
        <v>0.02</v>
      </c>
      <c r="C901" s="3024"/>
      <c r="D901" s="2969" t="s">
        <v>6855</v>
      </c>
      <c r="E901" s="2969"/>
      <c r="F901" s="2969"/>
      <c r="G901" s="3026">
        <f>'Part VI-Pro Forma'!G6</f>
        <v>5000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25" customHeight="1">
      <c r="A904" s="652" t="s">
        <v>2034</v>
      </c>
      <c r="B904" s="3030">
        <f>'Part VI-Pro Forma'!B9</f>
        <v>7.0000000000000007E-2</v>
      </c>
      <c r="C904" s="2682" t="str">
        <f>IF(B904&lt;0.07, "Must be &gt;= 7%!","")</f>
        <v/>
      </c>
      <c r="D904" s="2550" t="s">
        <v>2308</v>
      </c>
      <c r="G904" s="3031">
        <f>'Part VI-Pro Forma'!G9</f>
        <v>0</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0.06</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5" customHeight="1">
      <c r="Z908" s="2751"/>
      <c r="AA908" s="2671">
        <v>13</v>
      </c>
    </row>
    <row r="909" spans="1:27" s="652" customFormat="1" ht="1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25" customHeight="1">
      <c r="A910" s="652" t="s">
        <v>2216</v>
      </c>
      <c r="B910" s="3035">
        <f>'Part VI-Pro Forma'!B15</f>
        <v>451440</v>
      </c>
      <c r="C910" s="3035">
        <f>'Part VI-Pro Forma'!C15</f>
        <v>460468.8</v>
      </c>
      <c r="D910" s="3035">
        <f>'Part VI-Pro Forma'!D15</f>
        <v>469678.17599999998</v>
      </c>
      <c r="E910" s="3035">
        <f>'Part VI-Pro Forma'!E15</f>
        <v>479071.73951999994</v>
      </c>
      <c r="F910" s="3035">
        <f>'Part VI-Pro Forma'!F15</f>
        <v>488653.17431039998</v>
      </c>
      <c r="G910" s="3035">
        <f>'Part VI-Pro Forma'!G15</f>
        <v>498426.23779660801</v>
      </c>
      <c r="H910" s="3035">
        <f>'Part VI-Pro Forma'!H15</f>
        <v>508394.76255254017</v>
      </c>
      <c r="I910" s="3035">
        <f>'Part VI-Pro Forma'!I15</f>
        <v>518562.65780359088</v>
      </c>
      <c r="J910" s="3035">
        <f>'Part VI-Pro Forma'!J15</f>
        <v>528933.91095966275</v>
      </c>
      <c r="K910" s="3035">
        <f>'Part VI-Pro Forma'!K15</f>
        <v>539512.589178856</v>
      </c>
      <c r="N910" s="2846"/>
      <c r="O910" s="2846"/>
      <c r="S910" s="2918" t="s">
        <v>3410</v>
      </c>
      <c r="Z910" s="2751" t="s">
        <v>6465</v>
      </c>
      <c r="AA910" s="2671">
        <v>15</v>
      </c>
    </row>
    <row r="911" spans="1:27" s="652" customFormat="1" ht="13.25" customHeight="1">
      <c r="A911" s="652" t="s">
        <v>953</v>
      </c>
      <c r="B911" s="3035">
        <f>'Part VI-Pro Forma'!B16</f>
        <v>9028.8000000000011</v>
      </c>
      <c r="C911" s="3035">
        <f>'Part VI-Pro Forma'!C16</f>
        <v>9209.376000000002</v>
      </c>
      <c r="D911" s="3035">
        <f>'Part VI-Pro Forma'!D16</f>
        <v>9393.5635200000015</v>
      </c>
      <c r="E911" s="3035">
        <f>'Part VI-Pro Forma'!E16</f>
        <v>9581.4347904000006</v>
      </c>
      <c r="F911" s="3035">
        <f>'Part VI-Pro Forma'!F16</f>
        <v>9773.0634862080005</v>
      </c>
      <c r="G911" s="3035">
        <f>'Part VI-Pro Forma'!G16</f>
        <v>9968.5247559321615</v>
      </c>
      <c r="H911" s="3035">
        <f>'Part VI-Pro Forma'!H16</f>
        <v>10167.895251050804</v>
      </c>
      <c r="I911" s="3035">
        <f>'Part VI-Pro Forma'!I16</f>
        <v>10371.253156071818</v>
      </c>
      <c r="J911" s="3035">
        <f>'Part VI-Pro Forma'!J16</f>
        <v>10578.678219193256</v>
      </c>
      <c r="K911" s="3035">
        <f>'Part VI-Pro Forma'!K16</f>
        <v>10790.251783577121</v>
      </c>
      <c r="N911" s="2846"/>
      <c r="O911" s="2846"/>
      <c r="S911" s="2918"/>
      <c r="Z911" s="2751" t="s">
        <v>6465</v>
      </c>
      <c r="AA911" s="2671">
        <v>16</v>
      </c>
    </row>
    <row r="912" spans="1:27" s="652" customFormat="1" ht="13.25" customHeight="1">
      <c r="A912" s="652" t="s">
        <v>2217</v>
      </c>
      <c r="B912" s="3035">
        <f>'Part VI-Pro Forma'!B17</f>
        <v>-32232.816000000003</v>
      </c>
      <c r="C912" s="3035">
        <f>'Part VI-Pro Forma'!C17</f>
        <v>-32877.472320000001</v>
      </c>
      <c r="D912" s="3035">
        <f>'Part VI-Pro Forma'!D17</f>
        <v>-33535.021766400001</v>
      </c>
      <c r="E912" s="3035">
        <f>'Part VI-Pro Forma'!E17</f>
        <v>-34205.722201728</v>
      </c>
      <c r="F912" s="3035">
        <f>'Part VI-Pro Forma'!F17</f>
        <v>-34889.83664576256</v>
      </c>
      <c r="G912" s="3035">
        <f>'Part VI-Pro Forma'!G17</f>
        <v>-35587.633378677812</v>
      </c>
      <c r="H912" s="3035">
        <f>'Part VI-Pro Forma'!H17</f>
        <v>-36299.386046251369</v>
      </c>
      <c r="I912" s="3035">
        <f>'Part VI-Pro Forma'!I17</f>
        <v>-37025.373767176388</v>
      </c>
      <c r="J912" s="3035">
        <f>'Part VI-Pro Forma'!J17</f>
        <v>-37765.881242519921</v>
      </c>
      <c r="K912" s="3035">
        <f>'Part VI-Pro Forma'!K17</f>
        <v>-38521.198867370324</v>
      </c>
      <c r="N912" s="2846"/>
      <c r="O912" s="2846"/>
      <c r="Q912" s="2918" t="s">
        <v>3300</v>
      </c>
      <c r="R912" s="2918" t="s">
        <v>3409</v>
      </c>
      <c r="S912" s="2918"/>
      <c r="Z912" s="2751" t="s">
        <v>6465</v>
      </c>
      <c r="AA912" s="2671">
        <v>17</v>
      </c>
    </row>
    <row r="913" spans="1:27" s="652" customFormat="1" ht="13.2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6465</v>
      </c>
      <c r="AA913" s="2671">
        <v>18</v>
      </c>
    </row>
    <row r="914" spans="1:27" s="652" customFormat="1" ht="13.2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6465</v>
      </c>
      <c r="AA914" s="2857">
        <v>19</v>
      </c>
    </row>
    <row r="915" spans="1:27" s="652" customFormat="1" ht="13.25" customHeight="1">
      <c r="A915" s="652" t="s">
        <v>3840</v>
      </c>
      <c r="B915" s="3035">
        <f>SUM(B910:B914)</f>
        <v>428235.984</v>
      </c>
      <c r="C915" s="3035">
        <f t="shared" ref="C915:K915" si="382">SUM(C910:C914)</f>
        <v>436800.70367999998</v>
      </c>
      <c r="D915" s="3035">
        <f t="shared" si="382"/>
        <v>445536.71775359998</v>
      </c>
      <c r="E915" s="3035">
        <f t="shared" si="382"/>
        <v>454447.45210867189</v>
      </c>
      <c r="F915" s="3035">
        <f t="shared" si="382"/>
        <v>463536.4011508454</v>
      </c>
      <c r="G915" s="3035">
        <f t="shared" si="382"/>
        <v>472807.12917386234</v>
      </c>
      <c r="H915" s="3035">
        <f t="shared" si="382"/>
        <v>482263.27175733959</v>
      </c>
      <c r="I915" s="3035">
        <f t="shared" si="382"/>
        <v>491908.53719248623</v>
      </c>
      <c r="J915" s="3035">
        <f t="shared" si="382"/>
        <v>501746.70793633605</v>
      </c>
      <c r="K915" s="3035">
        <f t="shared" si="382"/>
        <v>511781.64209506282</v>
      </c>
      <c r="N915" s="2846"/>
      <c r="O915" s="2846"/>
      <c r="Z915" s="2751" t="s">
        <v>6465</v>
      </c>
      <c r="AA915" s="2671">
        <v>20</v>
      </c>
    </row>
    <row r="916" spans="1:27" s="652" customFormat="1" ht="13.25" customHeight="1">
      <c r="A916" s="652" t="s">
        <v>572</v>
      </c>
      <c r="B916" s="3035">
        <f>'Part VI-Pro Forma'!B21</f>
        <v>-258341</v>
      </c>
      <c r="C916" s="3035">
        <f>'Part VI-Pro Forma'!C21</f>
        <v>-266091.23</v>
      </c>
      <c r="D916" s="3035">
        <f>'Part VI-Pro Forma'!D21</f>
        <v>-274073.9669</v>
      </c>
      <c r="E916" s="3035">
        <f>'Part VI-Pro Forma'!E21</f>
        <v>-282296.18590699998</v>
      </c>
      <c r="F916" s="3035">
        <f>'Part VI-Pro Forma'!F21</f>
        <v>-290765.07148420997</v>
      </c>
      <c r="G916" s="3035">
        <f>'Part VI-Pro Forma'!G21</f>
        <v>-299488.02362873626</v>
      </c>
      <c r="H916" s="3035">
        <f>'Part VI-Pro Forma'!H21</f>
        <v>-308472.66433759837</v>
      </c>
      <c r="I916" s="3035">
        <f>'Part VI-Pro Forma'!I21</f>
        <v>-317726.84426772635</v>
      </c>
      <c r="J916" s="3035">
        <f>'Part VI-Pro Forma'!J21</f>
        <v>-327258.64959575806</v>
      </c>
      <c r="K916" s="3035">
        <f>'Part VI-Pro Forma'!K21</f>
        <v>-337076.40908363083</v>
      </c>
      <c r="N916" s="2846"/>
      <c r="O916" s="2846"/>
      <c r="Q916" s="2671">
        <v>1</v>
      </c>
      <c r="R916" s="2948">
        <f>-B927</f>
        <v>15000</v>
      </c>
      <c r="S916" s="2948">
        <f>B928+R916</f>
        <v>26071.40907871454</v>
      </c>
      <c r="Z916" s="2751" t="s">
        <v>6465</v>
      </c>
      <c r="AA916" s="2671">
        <v>21</v>
      </c>
    </row>
    <row r="917" spans="1:27" s="652" customFormat="1" ht="13.25" customHeight="1">
      <c r="A917" s="652" t="s">
        <v>1051</v>
      </c>
      <c r="B917" s="3035">
        <f>'Part VI-Pro Forma'!B22</f>
        <v>-25694</v>
      </c>
      <c r="C917" s="3035">
        <f>'Part VI-Pro Forma'!C22</f>
        <v>-26208</v>
      </c>
      <c r="D917" s="3035">
        <f>'Part VI-Pro Forma'!D22</f>
        <v>-26732</v>
      </c>
      <c r="E917" s="3035">
        <f>'Part VI-Pro Forma'!E22</f>
        <v>-27267</v>
      </c>
      <c r="F917" s="3035">
        <f>'Part VI-Pro Forma'!F22</f>
        <v>-27812</v>
      </c>
      <c r="G917" s="3035">
        <f>'Part VI-Pro Forma'!G22</f>
        <v>-28368</v>
      </c>
      <c r="H917" s="3035">
        <f>'Part VI-Pro Forma'!H22</f>
        <v>-28936</v>
      </c>
      <c r="I917" s="3035">
        <f>'Part VI-Pro Forma'!I22</f>
        <v>-29515</v>
      </c>
      <c r="J917" s="3035">
        <f>'Part VI-Pro Forma'!J22</f>
        <v>-30105</v>
      </c>
      <c r="K917" s="3035">
        <f>'Part VI-Pro Forma'!K22</f>
        <v>-30707</v>
      </c>
      <c r="N917" s="2846"/>
      <c r="O917" s="2846"/>
      <c r="Q917" s="2671">
        <v>2</v>
      </c>
      <c r="R917" s="2948">
        <f>-SUM(B927:C927)</f>
        <v>15000</v>
      </c>
      <c r="S917" s="2948">
        <f>SUM(B928:C928)+R917</f>
        <v>52053.307837429078</v>
      </c>
      <c r="Z917" s="2751" t="s">
        <v>6465</v>
      </c>
      <c r="AA917" s="2671">
        <v>22</v>
      </c>
    </row>
    <row r="918" spans="1:27" s="652" customFormat="1" ht="13.25" customHeight="1">
      <c r="A918" s="652" t="s">
        <v>1129</v>
      </c>
      <c r="B918" s="3035">
        <f>'Part VI-Pro Forma'!B23</f>
        <v>-13000</v>
      </c>
      <c r="C918" s="3035">
        <f>'Part VI-Pro Forma'!C23</f>
        <v>-13390</v>
      </c>
      <c r="D918" s="3035">
        <f>'Part VI-Pro Forma'!D23</f>
        <v>-13791.699999999999</v>
      </c>
      <c r="E918" s="3035">
        <f>'Part VI-Pro Forma'!E23</f>
        <v>-14205.451000000001</v>
      </c>
      <c r="F918" s="3035">
        <f>'Part VI-Pro Forma'!F23</f>
        <v>-14631.614529999999</v>
      </c>
      <c r="G918" s="3035">
        <f>'Part VI-Pro Forma'!G23</f>
        <v>-15070.562965899999</v>
      </c>
      <c r="H918" s="3035">
        <f>'Part VI-Pro Forma'!H23</f>
        <v>-15522.679854876998</v>
      </c>
      <c r="I918" s="3035">
        <f>'Part VI-Pro Forma'!I23</f>
        <v>-15988.36025052331</v>
      </c>
      <c r="J918" s="3035">
        <f>'Part VI-Pro Forma'!J23</f>
        <v>-16468.011058039006</v>
      </c>
      <c r="K918" s="3035">
        <f>'Part VI-Pro Forma'!K23</f>
        <v>-16962.051389780179</v>
      </c>
      <c r="N918" s="2846"/>
      <c r="O918" s="2846"/>
      <c r="Q918" s="2671">
        <v>3</v>
      </c>
      <c r="R918" s="2948">
        <f>-SUM(B927:D927)</f>
        <v>15000</v>
      </c>
      <c r="S918" s="2948">
        <f>SUM(B928:D928)+R918</f>
        <v>77862.783769743604</v>
      </c>
      <c r="Z918" s="2751" t="s">
        <v>6465</v>
      </c>
      <c r="AA918" s="2671">
        <v>23</v>
      </c>
    </row>
    <row r="919" spans="1:27" s="652" customFormat="1" ht="13.25" customHeight="1">
      <c r="A919" s="652" t="s">
        <v>3839</v>
      </c>
      <c r="B919" s="3036">
        <f>'Part VI-Pro Forma'!B24</f>
        <v>-10</v>
      </c>
      <c r="C919" s="3036">
        <f>'Part VI-Pro Forma'!C24</f>
        <v>-10</v>
      </c>
      <c r="D919" s="3036">
        <f>'Part VI-Pro Forma'!D24</f>
        <v>-10</v>
      </c>
      <c r="E919" s="3036">
        <f>'Part VI-Pro Forma'!E24</f>
        <v>-10</v>
      </c>
      <c r="F919" s="3036">
        <f>'Part VI-Pro Forma'!F24</f>
        <v>-10</v>
      </c>
      <c r="G919" s="3036">
        <f>'Part VI-Pro Forma'!G24</f>
        <v>-10</v>
      </c>
      <c r="H919" s="3036">
        <f>'Part VI-Pro Forma'!H24</f>
        <v>-10</v>
      </c>
      <c r="I919" s="3036">
        <f>'Part VI-Pro Forma'!I24</f>
        <v>-10</v>
      </c>
      <c r="J919" s="3036">
        <f>'Part VI-Pro Forma'!J24</f>
        <v>-10</v>
      </c>
      <c r="K919" s="3036">
        <f>'Part VI-Pro Forma'!K24</f>
        <v>-10</v>
      </c>
      <c r="N919" s="2846"/>
      <c r="O919" s="2846"/>
      <c r="Q919" s="2671">
        <v>4</v>
      </c>
      <c r="R919" s="2948">
        <f>-SUM(B927:E927)</f>
        <v>15000</v>
      </c>
      <c r="S919" s="2948">
        <f>SUM(B928:E928)+R919</f>
        <v>103412.02405013006</v>
      </c>
      <c r="Z919" s="2751" t="s">
        <v>6465</v>
      </c>
      <c r="AA919" s="2857">
        <v>24</v>
      </c>
    </row>
    <row r="920" spans="1:27" s="652" customFormat="1" ht="13.25" customHeight="1">
      <c r="A920" s="652" t="s">
        <v>1130</v>
      </c>
      <c r="B920" s="3035">
        <f>SUM(B915:B919)</f>
        <v>131190.984</v>
      </c>
      <c r="C920" s="3035">
        <f t="shared" ref="C920:K920" si="383">SUM(C915:C919)</f>
        <v>131101.47368</v>
      </c>
      <c r="D920" s="3035">
        <f t="shared" si="383"/>
        <v>130929.05085359998</v>
      </c>
      <c r="E920" s="3035">
        <f t="shared" si="383"/>
        <v>130668.81520167191</v>
      </c>
      <c r="F920" s="3035">
        <f t="shared" si="383"/>
        <v>130317.71513663544</v>
      </c>
      <c r="G920" s="3035">
        <f t="shared" si="383"/>
        <v>129870.54257922608</v>
      </c>
      <c r="H920" s="3035">
        <f t="shared" si="383"/>
        <v>129321.92756486422</v>
      </c>
      <c r="I920" s="3035">
        <f t="shared" si="383"/>
        <v>128668.33267423656</v>
      </c>
      <c r="J920" s="3035">
        <f t="shared" si="383"/>
        <v>127905.04728253899</v>
      </c>
      <c r="K920" s="3035">
        <f t="shared" si="383"/>
        <v>127026.18162165181</v>
      </c>
      <c r="N920" s="2846"/>
      <c r="O920" s="2846"/>
      <c r="Q920" s="2671">
        <v>5</v>
      </c>
      <c r="R920" s="2948">
        <f>-SUM(B927:F927)</f>
        <v>15000</v>
      </c>
      <c r="S920" s="2948">
        <f>SUM(B928:F928)+R920</f>
        <v>128610.16426548004</v>
      </c>
      <c r="Z920" s="2751" t="s">
        <v>6465</v>
      </c>
      <c r="AA920" s="2671">
        <v>25</v>
      </c>
    </row>
    <row r="921" spans="1:27" s="652" customFormat="1" ht="13.25" customHeight="1">
      <c r="A921" s="652" t="s">
        <v>1487</v>
      </c>
      <c r="B921" s="3036">
        <f>'Part VI-Pro Forma'!B26</f>
        <v>-100119.57492128546</v>
      </c>
      <c r="C921" s="3036">
        <f>'Part VI-Pro Forma'!C26</f>
        <v>-100119.57492128546</v>
      </c>
      <c r="D921" s="3036">
        <f>'Part VI-Pro Forma'!D26</f>
        <v>-100119.57492128546</v>
      </c>
      <c r="E921" s="3036">
        <f>'Part VI-Pro Forma'!E26</f>
        <v>-100119.57492128546</v>
      </c>
      <c r="F921" s="3036">
        <f>'Part VI-Pro Forma'!F26</f>
        <v>-100119.57492128546</v>
      </c>
      <c r="G921" s="3036">
        <f>'Part VI-Pro Forma'!G26</f>
        <v>-100119.57492128546</v>
      </c>
      <c r="H921" s="3036">
        <f>'Part VI-Pro Forma'!H26</f>
        <v>-100119.57492128546</v>
      </c>
      <c r="I921" s="3036">
        <f>'Part VI-Pro Forma'!I26</f>
        <v>-100119.57492128546</v>
      </c>
      <c r="J921" s="3036">
        <f>'Part VI-Pro Forma'!J26</f>
        <v>-100119.57492128546</v>
      </c>
      <c r="K921" s="3036">
        <f>'Part VI-Pro Forma'!K26</f>
        <v>-100119.57492128546</v>
      </c>
      <c r="N921" s="2846"/>
      <c r="O921" s="2846"/>
      <c r="Q921" s="2671">
        <v>6</v>
      </c>
      <c r="R921" s="2948">
        <f>-SUM(B927:G927)</f>
        <v>15000</v>
      </c>
      <c r="S921" s="2948">
        <f>SUM(B928:G928)+R921</f>
        <v>153361.13192342065</v>
      </c>
      <c r="Z921" s="2751" t="s">
        <v>6465</v>
      </c>
      <c r="AA921" s="2671">
        <v>26</v>
      </c>
    </row>
    <row r="922" spans="1:27" s="652" customFormat="1" ht="13.2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15000</v>
      </c>
      <c r="S922" s="2948">
        <f>SUM(B928:H928)+R922</f>
        <v>177563.48456699942</v>
      </c>
      <c r="Z922" s="2751" t="s">
        <v>6465</v>
      </c>
      <c r="AA922" s="2671">
        <v>27</v>
      </c>
    </row>
    <row r="923" spans="1:27" s="652" customFormat="1" ht="13.2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15000</v>
      </c>
      <c r="S923" s="2948">
        <f>SUM(B928:I928)+R923</f>
        <v>201112.24231995054</v>
      </c>
      <c r="Z923" s="2751" t="s">
        <v>6465</v>
      </c>
      <c r="AA923" s="2671">
        <v>28</v>
      </c>
    </row>
    <row r="924" spans="1:27" s="652" customFormat="1" ht="13.2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15000</v>
      </c>
      <c r="S924" s="2948">
        <f>SUM(B928:J928)+R924</f>
        <v>223897.71468120406</v>
      </c>
      <c r="Z924" s="2751" t="s">
        <v>6465</v>
      </c>
      <c r="AA924" s="2671">
        <v>29</v>
      </c>
    </row>
    <row r="925" spans="1:27" s="652" customFormat="1" ht="13.2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15000</v>
      </c>
      <c r="S925" s="2948">
        <f>SUM(B928:K928)+R925</f>
        <v>245804.32138157042</v>
      </c>
      <c r="Z925" s="2751" t="s">
        <v>6465</v>
      </c>
      <c r="AA925" s="2671">
        <v>30</v>
      </c>
    </row>
    <row r="926" spans="1:27" s="652" customFormat="1" ht="13.25" customHeight="1">
      <c r="A926" s="652" t="s">
        <v>1096</v>
      </c>
      <c r="B926" s="3036">
        <f>'Part VI-Pro Forma'!B31</f>
        <v>-5000</v>
      </c>
      <c r="C926" s="3036">
        <f>'Part VI-Pro Forma'!C31</f>
        <v>-5000</v>
      </c>
      <c r="D926" s="3036">
        <f>'Part VI-Pro Forma'!D31</f>
        <v>-5000</v>
      </c>
      <c r="E926" s="3036">
        <f>'Part VI-Pro Forma'!E31</f>
        <v>-5000</v>
      </c>
      <c r="F926" s="3036">
        <f>'Part VI-Pro Forma'!F31</f>
        <v>-5000</v>
      </c>
      <c r="G926" s="3036">
        <f>'Part VI-Pro Forma'!G31</f>
        <v>-5000</v>
      </c>
      <c r="H926" s="3036">
        <f>'Part VI-Pro Forma'!H31</f>
        <v>-5000</v>
      </c>
      <c r="I926" s="3036">
        <f>'Part VI-Pro Forma'!I31</f>
        <v>-5000</v>
      </c>
      <c r="J926" s="3036">
        <f>'Part VI-Pro Forma'!J31</f>
        <v>-5000</v>
      </c>
      <c r="K926" s="3036">
        <f>'Part VI-Pro Forma'!K31</f>
        <v>-5000</v>
      </c>
      <c r="N926" s="2846"/>
      <c r="O926" s="2846"/>
      <c r="Q926" s="2671">
        <v>11</v>
      </c>
      <c r="R926" s="2948">
        <f>-SUM(B927:K927)-B959</f>
        <v>15000</v>
      </c>
      <c r="S926" s="2948">
        <f>SUM(B928:K928)+B960+R926</f>
        <v>266711.40710963571</v>
      </c>
      <c r="Z926" s="2751" t="s">
        <v>6465</v>
      </c>
      <c r="AA926" s="2671">
        <v>31</v>
      </c>
    </row>
    <row r="927" spans="1:27" s="652" customFormat="1" ht="13.25" customHeight="1">
      <c r="A927" s="652" t="s">
        <v>3363</v>
      </c>
      <c r="B927" s="3036">
        <f>'Part VI-Pro Forma'!B32</f>
        <v>-15000</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15000</v>
      </c>
      <c r="S927" s="2948">
        <f>SUM(B928:K928) + SUM(B960:C960)+R927</f>
        <v>286493.04990781174</v>
      </c>
      <c r="Z927" s="2751" t="s">
        <v>6465</v>
      </c>
      <c r="AA927" s="2671">
        <v>32</v>
      </c>
    </row>
    <row r="928" spans="1:27" s="652" customFormat="1" ht="13.25" customHeight="1">
      <c r="A928" s="652" t="s">
        <v>1097</v>
      </c>
      <c r="B928" s="3035">
        <f t="shared" ref="B928:K928" si="384">SUM(B920:B927)</f>
        <v>11071.40907871454</v>
      </c>
      <c r="C928" s="3035">
        <f t="shared" si="384"/>
        <v>25981.898758714538</v>
      </c>
      <c r="D928" s="3035">
        <f t="shared" si="384"/>
        <v>25809.475932314526</v>
      </c>
      <c r="E928" s="3035">
        <f t="shared" si="384"/>
        <v>25549.240280386453</v>
      </c>
      <c r="F928" s="3035">
        <f t="shared" si="384"/>
        <v>25198.14021534998</v>
      </c>
      <c r="G928" s="3035">
        <f t="shared" si="384"/>
        <v>24750.967657940622</v>
      </c>
      <c r="H928" s="3035">
        <f t="shared" si="384"/>
        <v>24202.352643578764</v>
      </c>
      <c r="I928" s="3035">
        <f t="shared" si="384"/>
        <v>23548.757752951104</v>
      </c>
      <c r="J928" s="3035">
        <f t="shared" si="384"/>
        <v>22785.472361253531</v>
      </c>
      <c r="K928" s="3035">
        <f t="shared" si="384"/>
        <v>21906.606700366348</v>
      </c>
      <c r="N928" s="2846"/>
      <c r="O928" s="2846"/>
      <c r="Q928" s="2671">
        <v>13</v>
      </c>
      <c r="R928" s="2948">
        <f>-SUM(B927:K927) - SUM(B959:D959)</f>
        <v>15000</v>
      </c>
      <c r="S928" s="2948">
        <f>SUM(B928:K928) + SUM(B960:D960)+R928</f>
        <v>305016.86303321488</v>
      </c>
      <c r="Z928" s="2751" t="s">
        <v>6465</v>
      </c>
      <c r="AA928" s="2857">
        <v>33</v>
      </c>
    </row>
    <row r="929" spans="1:27" s="652" customFormat="1" ht="13.25" customHeight="1">
      <c r="A929" s="652" t="str">
        <f>IF('Part II-Sources of Funds'!$E$40 = "Neither", "", "DCR Mortgage A")</f>
        <v>DCR Mortgage A</v>
      </c>
      <c r="B929" s="3037">
        <f t="shared" ref="B929:K929" si="385">IF(B921=0,"",-B920/B921)</f>
        <v>1.3103429983911044</v>
      </c>
      <c r="C929" s="3037">
        <f t="shared" si="385"/>
        <v>1.3094489642317466</v>
      </c>
      <c r="D929" s="3037">
        <f t="shared" si="385"/>
        <v>1.3077267952499509</v>
      </c>
      <c r="E929" s="3037">
        <f t="shared" si="385"/>
        <v>1.3051275467799821</v>
      </c>
      <c r="F929" s="3037">
        <f t="shared" si="385"/>
        <v>1.3016207393917913</v>
      </c>
      <c r="G929" s="3037">
        <f t="shared" si="385"/>
        <v>1.2971543544939239</v>
      </c>
      <c r="H929" s="3037">
        <f t="shared" si="385"/>
        <v>1.2916747565752034</v>
      </c>
      <c r="I929" s="3037">
        <f t="shared" si="385"/>
        <v>1.2851466136906422</v>
      </c>
      <c r="J929" s="3037">
        <f t="shared" si="385"/>
        <v>1.2775228758521859</v>
      </c>
      <c r="K929" s="3037">
        <f t="shared" si="385"/>
        <v>1.2687447157213809</v>
      </c>
      <c r="N929" s="2846"/>
      <c r="O929" s="2846"/>
      <c r="Q929" s="2671">
        <v>14</v>
      </c>
      <c r="R929" s="2948">
        <f>-SUM(B927:K927) - SUM(B959:E959)</f>
        <v>15000</v>
      </c>
      <c r="S929" s="2948">
        <f>SUM(B928:K928) + SUM(B960:E960)+R929</f>
        <v>322144.79007157439</v>
      </c>
      <c r="Z929" s="2751" t="s">
        <v>6465</v>
      </c>
      <c r="AA929" s="2671">
        <v>34</v>
      </c>
    </row>
    <row r="930" spans="1:27" s="652" customFormat="1" ht="13.2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15000</v>
      </c>
      <c r="S930" s="2948">
        <f>SUM(B928:K928) + SUM(B960:F960)+R930</f>
        <v>337732.89308571024</v>
      </c>
      <c r="Z930" s="2751" t="s">
        <v>6465</v>
      </c>
      <c r="AA930" s="2671">
        <v>35</v>
      </c>
    </row>
    <row r="931" spans="1:27" s="652" customFormat="1" ht="13.2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15000</v>
      </c>
      <c r="S931" s="2948">
        <f>SUM(B928:K928) + SUM(B960:G960)+R931</f>
        <v>351631.13357323519</v>
      </c>
      <c r="Z931" s="2751" t="s">
        <v>6465</v>
      </c>
      <c r="AA931" s="2671">
        <v>36</v>
      </c>
    </row>
    <row r="932" spans="1:27" s="652" customFormat="1" ht="13.2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15000</v>
      </c>
      <c r="S932" s="2948">
        <f>SUM(B928:K928) + SUM(B960:H960)+R932</f>
        <v>363682.14600105782</v>
      </c>
      <c r="Z932" s="2751" t="s">
        <v>6465</v>
      </c>
      <c r="AA932" s="2671">
        <v>37</v>
      </c>
    </row>
    <row r="933" spans="1:27" s="652" customFormat="1" ht="13.25" customHeight="1">
      <c r="A933" s="652" t="s">
        <v>3215</v>
      </c>
      <c r="B933" s="3037">
        <f t="shared" ref="B933:K933" si="389">IF(AND(B921=0,B922=0,B923=0,B924=0),"",-B920/(B921+B922+B923+B924))</f>
        <v>1.3103429983911044</v>
      </c>
      <c r="C933" s="3037">
        <f t="shared" si="389"/>
        <v>1.3094489642317466</v>
      </c>
      <c r="D933" s="3037">
        <f t="shared" si="389"/>
        <v>1.3077267952499509</v>
      </c>
      <c r="E933" s="3037">
        <f t="shared" si="389"/>
        <v>1.3051275467799821</v>
      </c>
      <c r="F933" s="3037">
        <f t="shared" si="389"/>
        <v>1.3016207393917913</v>
      </c>
      <c r="G933" s="3037">
        <f t="shared" si="389"/>
        <v>1.2971543544939239</v>
      </c>
      <c r="H933" s="3037">
        <f t="shared" si="389"/>
        <v>1.2916747565752034</v>
      </c>
      <c r="I933" s="3037">
        <f t="shared" si="389"/>
        <v>1.2851466136906422</v>
      </c>
      <c r="J933" s="3037">
        <f t="shared" si="389"/>
        <v>1.2775228758521859</v>
      </c>
      <c r="K933" s="3037">
        <f t="shared" si="389"/>
        <v>1.2687447157213809</v>
      </c>
      <c r="N933" s="2846"/>
      <c r="O933" s="2846"/>
      <c r="Q933" s="2671">
        <v>18</v>
      </c>
      <c r="R933" s="2948">
        <f>-SUM(B927:K927) - SUM(B959:I959)</f>
        <v>15000</v>
      </c>
      <c r="S933" s="2948">
        <f>SUM(B928:K928) + SUM(B960:I960)+R933</f>
        <v>373723.00367694767</v>
      </c>
      <c r="Z933" s="2751" t="s">
        <v>6465</v>
      </c>
      <c r="AA933" s="2671">
        <v>38</v>
      </c>
    </row>
    <row r="934" spans="1:27" s="652" customFormat="1" ht="13.25" customHeight="1">
      <c r="A934" s="652" t="s">
        <v>718</v>
      </c>
      <c r="B934" s="3038">
        <f>'Part VI-Pro Forma'!B39</f>
        <v>1.4417021024458396</v>
      </c>
      <c r="C934" s="3038">
        <f>'Part VI-Pro Forma'!C39</f>
        <v>1.4289044585574704</v>
      </c>
      <c r="D934" s="3038">
        <f>'Part VI-Pro Forma'!D39</f>
        <v>1.4162111313280052</v>
      </c>
      <c r="E934" s="3038">
        <f>'Part VI-Pro Forma'!E39</f>
        <v>1.403617893474989</v>
      </c>
      <c r="F934" s="3038">
        <f>'Part VI-Pro Forma'!F39</f>
        <v>1.3911294051052363</v>
      </c>
      <c r="G934" s="3038">
        <f>'Part VI-Pro Forma'!G39</f>
        <v>1.3787415372747234</v>
      </c>
      <c r="H934" s="3038">
        <f>'Part VI-Pro Forma'!H39</f>
        <v>1.3664506700610062</v>
      </c>
      <c r="I934" s="3038">
        <f>'Part VI-Pro Forma'!I39</f>
        <v>1.3542611023907056</v>
      </c>
      <c r="J934" s="3038">
        <f>'Part VI-Pro Forma'!J39</f>
        <v>1.3421728567848623</v>
      </c>
      <c r="K934" s="3038">
        <f>'Part VI-Pro Forma'!K39</f>
        <v>1.3301824054410929</v>
      </c>
      <c r="N934" s="2846"/>
      <c r="O934" s="2846"/>
      <c r="Q934" s="2671">
        <v>19</v>
      </c>
      <c r="R934" s="2948">
        <f>-SUM(B927:K927) - SUM(B959:J959)</f>
        <v>15000</v>
      </c>
      <c r="S934" s="2948">
        <f>SUM(B928:K928) + SUM(B960:J960)+R934</f>
        <v>381581.97671089845</v>
      </c>
      <c r="Z934" s="2751" t="s">
        <v>6465</v>
      </c>
      <c r="AA934" s="2671">
        <v>39</v>
      </c>
    </row>
    <row r="935" spans="1:27" s="652" customFormat="1" ht="13.25" customHeight="1">
      <c r="A935" s="652" t="s">
        <v>2406</v>
      </c>
      <c r="B935" s="3036">
        <f>'Part VI-Pro Forma'!B40</f>
        <v>1305246.0238097282</v>
      </c>
      <c r="C935" s="3036">
        <f>'Part VI-Pro Forma'!C40</f>
        <v>1289503.9465095927</v>
      </c>
      <c r="D935" s="3036">
        <f>'Part VI-Pro Forma'!D40</f>
        <v>1272707.5931382999</v>
      </c>
      <c r="E935" s="3036">
        <f>'Part VI-Pro Forma'!E40</f>
        <v>1254786.3568748424</v>
      </c>
      <c r="F935" s="3036">
        <f>'Part VI-Pro Forma'!F40</f>
        <v>1235664.902228646</v>
      </c>
      <c r="G935" s="3036">
        <f>'Part VI-Pro Forma'!G40</f>
        <v>1215262.8483518113</v>
      </c>
      <c r="H935" s="3036">
        <f>'Part VI-Pro Forma'!H40</f>
        <v>1193494.4311421893</v>
      </c>
      <c r="I935" s="3036">
        <f>'Part VI-Pro Forma'!I40</f>
        <v>1170268.1427168748</v>
      </c>
      <c r="J935" s="3036">
        <f>'Part VI-Pro Forma'!J40</f>
        <v>1145486.3467405718</v>
      </c>
      <c r="K935" s="3036">
        <f>'Part VI-Pro Forma'!K40</f>
        <v>1119044.8679917865</v>
      </c>
      <c r="N935" s="2846"/>
      <c r="O935" s="2846"/>
      <c r="Q935" s="2671">
        <v>20</v>
      </c>
      <c r="R935" s="2948">
        <f>-SUM(B927:K927) - SUM(B959:K959)</f>
        <v>15000</v>
      </c>
      <c r="S935" s="2948">
        <f>SUM(B928:K928) + SUM(B960:K960)+R935</f>
        <v>387081.28181125491</v>
      </c>
      <c r="Z935" s="2751" t="s">
        <v>6465</v>
      </c>
      <c r="AA935" s="2671">
        <v>40</v>
      </c>
    </row>
    <row r="936" spans="1:27" s="652" customFormat="1" ht="13.2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6465</v>
      </c>
      <c r="AA936" s="2671">
        <v>41</v>
      </c>
    </row>
    <row r="937" spans="1:27" s="652" customFormat="1" ht="13.2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6465</v>
      </c>
      <c r="AA937" s="2857">
        <v>42</v>
      </c>
    </row>
    <row r="938" spans="1:27" s="652" customFormat="1" ht="13.2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6465</v>
      </c>
      <c r="AA938" s="2671">
        <v>43</v>
      </c>
    </row>
    <row r="939" spans="1:27" s="652" customFormat="1" ht="13.25" customHeight="1">
      <c r="A939" s="652" t="s">
        <v>3364</v>
      </c>
      <c r="B939" s="3036">
        <f>'Part VI-Pro Forma'!B44</f>
        <v>67230</v>
      </c>
      <c r="C939" s="3036">
        <f>'Part VI-Pro Forma'!C44</f>
        <v>67230</v>
      </c>
      <c r="D939" s="3036">
        <f>'Part VI-Pro Forma'!D44</f>
        <v>67230</v>
      </c>
      <c r="E939" s="3036">
        <f>'Part VI-Pro Forma'!E44</f>
        <v>67230</v>
      </c>
      <c r="F939" s="3036">
        <f>'Part VI-Pro Forma'!F44</f>
        <v>67230</v>
      </c>
      <c r="G939" s="3036">
        <f>'Part VI-Pro Forma'!G44</f>
        <v>67230</v>
      </c>
      <c r="H939" s="3036">
        <f>'Part VI-Pro Forma'!H44</f>
        <v>67230</v>
      </c>
      <c r="I939" s="3036">
        <f>'Part VI-Pro Forma'!I44</f>
        <v>67230</v>
      </c>
      <c r="J939" s="3036">
        <f>'Part VI-Pro Forma'!J44</f>
        <v>67230</v>
      </c>
      <c r="K939" s="3036">
        <f>'Part VI-Pro Forma'!K44</f>
        <v>67230</v>
      </c>
      <c r="N939" s="2846"/>
      <c r="O939" s="2846"/>
      <c r="Z939" s="2751" t="s">
        <v>6465</v>
      </c>
      <c r="AA939" s="2671">
        <v>44</v>
      </c>
    </row>
    <row r="940" spans="1:27" s="652" customFormat="1" ht="4.25" customHeight="1">
      <c r="B940" s="3035"/>
      <c r="C940" s="3035"/>
      <c r="D940" s="3035"/>
      <c r="E940" s="3035"/>
      <c r="F940" s="3035"/>
      <c r="G940" s="3035"/>
      <c r="H940" s="3035"/>
      <c r="I940" s="3035"/>
      <c r="J940" s="3035"/>
      <c r="K940" s="3035"/>
      <c r="Z940" s="2751"/>
      <c r="AA940" s="2671">
        <v>45</v>
      </c>
    </row>
    <row r="941" spans="1:27" s="652" customFormat="1" ht="1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25" customHeight="1">
      <c r="A942" s="652" t="s">
        <v>2216</v>
      </c>
      <c r="B942" s="3035">
        <f>'Part VI-Pro Forma'!B47</f>
        <v>550302.84096243314</v>
      </c>
      <c r="C942" s="3035">
        <f>'Part VI-Pro Forma'!C47</f>
        <v>561308.89778168174</v>
      </c>
      <c r="D942" s="3035">
        <f>'Part VI-Pro Forma'!D47</f>
        <v>572535.07573731546</v>
      </c>
      <c r="E942" s="3035">
        <f>'Part VI-Pro Forma'!E47</f>
        <v>583985.77725206176</v>
      </c>
      <c r="F942" s="3035">
        <f>'Part VI-Pro Forma'!F47</f>
        <v>595665.49279710301</v>
      </c>
      <c r="G942" s="3035">
        <f>'Part VI-Pro Forma'!G47</f>
        <v>607578.80265304493</v>
      </c>
      <c r="H942" s="3035">
        <f>'Part VI-Pro Forma'!H47</f>
        <v>619730.37870610587</v>
      </c>
      <c r="I942" s="3035">
        <f>'Part VI-Pro Forma'!I47</f>
        <v>632124.98628022813</v>
      </c>
      <c r="J942" s="3035">
        <f>'Part VI-Pro Forma'!J47</f>
        <v>644767.48600583256</v>
      </c>
      <c r="K942" s="3035">
        <f>'Part VI-Pro Forma'!K47</f>
        <v>657662.83572594915</v>
      </c>
      <c r="N942" s="2846"/>
      <c r="O942" s="2846"/>
      <c r="Z942" s="2751" t="s">
        <v>6466</v>
      </c>
      <c r="AA942" s="2857">
        <v>47</v>
      </c>
    </row>
    <row r="943" spans="1:27" s="652" customFormat="1" ht="13.25" customHeight="1">
      <c r="A943" s="652" t="s">
        <v>953</v>
      </c>
      <c r="B943" s="3035">
        <f>'Part VI-Pro Forma'!B48</f>
        <v>11006.056819248664</v>
      </c>
      <c r="C943" s="3035">
        <f>'Part VI-Pro Forma'!C48</f>
        <v>11226.177955633635</v>
      </c>
      <c r="D943" s="3035">
        <f>'Part VI-Pro Forma'!D48</f>
        <v>11450.70151474631</v>
      </c>
      <c r="E943" s="3035">
        <f>'Part VI-Pro Forma'!E48</f>
        <v>11679.715545041236</v>
      </c>
      <c r="F943" s="3035">
        <f>'Part VI-Pro Forma'!F48</f>
        <v>11913.309855942061</v>
      </c>
      <c r="G943" s="3035">
        <f>'Part VI-Pro Forma'!G48</f>
        <v>12151.576053060899</v>
      </c>
      <c r="H943" s="3035">
        <f>'Part VI-Pro Forma'!H48</f>
        <v>12394.607574122119</v>
      </c>
      <c r="I943" s="3035">
        <f>'Part VI-Pro Forma'!I48</f>
        <v>12642.499725604563</v>
      </c>
      <c r="J943" s="3035">
        <f>'Part VI-Pro Forma'!J48</f>
        <v>12895.349720116652</v>
      </c>
      <c r="K943" s="3035">
        <f>'Part VI-Pro Forma'!K48</f>
        <v>13153.256714518986</v>
      </c>
      <c r="N943" s="2846"/>
      <c r="O943" s="2846"/>
      <c r="Z943" s="2751" t="s">
        <v>6466</v>
      </c>
      <c r="AA943" s="2671">
        <v>48</v>
      </c>
    </row>
    <row r="944" spans="1:27" s="652" customFormat="1" ht="13.25" customHeight="1">
      <c r="A944" s="652" t="s">
        <v>2217</v>
      </c>
      <c r="B944" s="3035">
        <f>'Part VI-Pro Forma'!B49</f>
        <v>-39291.622844717735</v>
      </c>
      <c r="C944" s="3035">
        <f>'Part VI-Pro Forma'!C49</f>
        <v>-40077.455301612077</v>
      </c>
      <c r="D944" s="3035">
        <f>'Part VI-Pro Forma'!D49</f>
        <v>-40879.00440764433</v>
      </c>
      <c r="E944" s="3035">
        <f>'Part VI-Pro Forma'!E49</f>
        <v>-41696.584495797215</v>
      </c>
      <c r="F944" s="3035">
        <f>'Part VI-Pro Forma'!F49</f>
        <v>-42530.516185713161</v>
      </c>
      <c r="G944" s="3035">
        <f>'Part VI-Pro Forma'!G49</f>
        <v>-43381.126509427413</v>
      </c>
      <c r="H944" s="3035">
        <f>'Part VI-Pro Forma'!H49</f>
        <v>-44248.749039615963</v>
      </c>
      <c r="I944" s="3035">
        <f>'Part VI-Pro Forma'!I49</f>
        <v>-45133.724020408292</v>
      </c>
      <c r="J944" s="3035">
        <f>'Part VI-Pro Forma'!J49</f>
        <v>-46036.398500816453</v>
      </c>
      <c r="K944" s="3035">
        <f>'Part VI-Pro Forma'!K49</f>
        <v>-46957.126470832773</v>
      </c>
      <c r="N944" s="2846"/>
      <c r="O944" s="2846"/>
      <c r="Z944" s="2751" t="s">
        <v>6466</v>
      </c>
      <c r="AA944" s="2671">
        <v>49</v>
      </c>
    </row>
    <row r="945" spans="1:27" s="652" customFormat="1" ht="13.2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6466</v>
      </c>
      <c r="AA945" s="2857">
        <v>50</v>
      </c>
    </row>
    <row r="946" spans="1:27" s="652" customFormat="1" ht="13.2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6466</v>
      </c>
      <c r="AA946" s="2671">
        <v>51</v>
      </c>
    </row>
    <row r="947" spans="1:27" s="652" customFormat="1" ht="13.25" customHeight="1">
      <c r="A947" s="652" t="s">
        <v>3840</v>
      </c>
      <c r="B947" s="3035">
        <f>SUM(B942:B946)</f>
        <v>522017.2749369641</v>
      </c>
      <c r="C947" s="3035">
        <f t="shared" ref="C947" si="391">SUM(C942:C946)</f>
        <v>532457.62043570331</v>
      </c>
      <c r="D947" s="3035">
        <f t="shared" ref="D947" si="392">SUM(D942:D946)</f>
        <v>543106.77284441749</v>
      </c>
      <c r="E947" s="3035">
        <f t="shared" ref="E947" si="393">SUM(E942:E946)</f>
        <v>553968.90830130584</v>
      </c>
      <c r="F947" s="3035">
        <f t="shared" ref="F947" si="394">SUM(F942:F946)</f>
        <v>565048.28646733193</v>
      </c>
      <c r="G947" s="3035">
        <f t="shared" ref="G947" si="395">SUM(G942:G946)</f>
        <v>576349.25219667843</v>
      </c>
      <c r="H947" s="3035">
        <f t="shared" ref="H947" si="396">SUM(H942:H946)</f>
        <v>587876.23724061204</v>
      </c>
      <c r="I947" s="3035">
        <f t="shared" ref="I947" si="397">SUM(I942:I946)</f>
        <v>599633.76198542444</v>
      </c>
      <c r="J947" s="3035">
        <f t="shared" ref="J947" si="398">SUM(J942:J946)</f>
        <v>611626.43722513283</v>
      </c>
      <c r="K947" s="3035">
        <f t="shared" ref="K947" si="399">SUM(K942:K946)</f>
        <v>623858.96596963541</v>
      </c>
      <c r="N947" s="2846"/>
      <c r="O947" s="2846"/>
      <c r="Z947" s="2751" t="s">
        <v>6466</v>
      </c>
      <c r="AA947" s="2671">
        <v>52</v>
      </c>
    </row>
    <row r="948" spans="1:27" s="652" customFormat="1" ht="13.25" customHeight="1">
      <c r="A948" s="652" t="s">
        <v>572</v>
      </c>
      <c r="B948" s="3035">
        <f>'Part VI-Pro Forma'!B53</f>
        <v>-347188.70135613979</v>
      </c>
      <c r="C948" s="3035">
        <f>'Part VI-Pro Forma'!C53</f>
        <v>-357604.362396824</v>
      </c>
      <c r="D948" s="3035">
        <f>'Part VI-Pro Forma'!D53</f>
        <v>-368332.49326872861</v>
      </c>
      <c r="E948" s="3035">
        <f>'Part VI-Pro Forma'!E53</f>
        <v>-379382.46806679049</v>
      </c>
      <c r="F948" s="3035">
        <f>'Part VI-Pro Forma'!F53</f>
        <v>-390763.94210879423</v>
      </c>
      <c r="G948" s="3035">
        <f>'Part VI-Pro Forma'!G53</f>
        <v>-402486.86037205806</v>
      </c>
      <c r="H948" s="3035">
        <f>'Part VI-Pro Forma'!H53</f>
        <v>-414561.46618321975</v>
      </c>
      <c r="I948" s="3035">
        <f>'Part VI-Pro Forma'!I53</f>
        <v>-426998.31016871636</v>
      </c>
      <c r="J948" s="3035">
        <f>'Part VI-Pro Forma'!J53</f>
        <v>-439808.25947377784</v>
      </c>
      <c r="K948" s="3035">
        <f>'Part VI-Pro Forma'!K53</f>
        <v>-453002.50725799118</v>
      </c>
      <c r="N948" s="2846"/>
      <c r="O948" s="2846"/>
      <c r="Z948" s="2751" t="s">
        <v>6466</v>
      </c>
      <c r="AA948" s="2671">
        <v>53</v>
      </c>
    </row>
    <row r="949" spans="1:27" s="652" customFormat="1" ht="13.25" customHeight="1">
      <c r="A949" s="652" t="s">
        <v>1051</v>
      </c>
      <c r="B949" s="3035">
        <f>'Part VI-Pro Forma'!B54</f>
        <v>-31321</v>
      </c>
      <c r="C949" s="3035">
        <f>'Part VI-Pro Forma'!C54</f>
        <v>-31947</v>
      </c>
      <c r="D949" s="3035">
        <f>'Part VI-Pro Forma'!D54</f>
        <v>-32586</v>
      </c>
      <c r="E949" s="3035">
        <f>'Part VI-Pro Forma'!E54</f>
        <v>-33238</v>
      </c>
      <c r="F949" s="3035">
        <f>'Part VI-Pro Forma'!F54</f>
        <v>-33903</v>
      </c>
      <c r="G949" s="3035">
        <f>'Part VI-Pro Forma'!G54</f>
        <v>-34581</v>
      </c>
      <c r="H949" s="3035">
        <f>'Part VI-Pro Forma'!H54</f>
        <v>-35273</v>
      </c>
      <c r="I949" s="3035">
        <f>'Part VI-Pro Forma'!I54</f>
        <v>-35978</v>
      </c>
      <c r="J949" s="3035">
        <f>'Part VI-Pro Forma'!J54</f>
        <v>-36698</v>
      </c>
      <c r="K949" s="3035">
        <f>'Part VI-Pro Forma'!K54</f>
        <v>-37432</v>
      </c>
      <c r="N949" s="2846"/>
      <c r="O949" s="2846"/>
      <c r="Z949" s="2751" t="s">
        <v>6466</v>
      </c>
      <c r="AA949" s="2671">
        <v>54</v>
      </c>
    </row>
    <row r="950" spans="1:27" s="652" customFormat="1" ht="13.25" customHeight="1">
      <c r="A950" s="652" t="s">
        <v>1129</v>
      </c>
      <c r="B950" s="3035">
        <f>'Part VI-Pro Forma'!B55</f>
        <v>-17470.912931473584</v>
      </c>
      <c r="C950" s="3035">
        <f>'Part VI-Pro Forma'!C55</f>
        <v>-17995.040319417792</v>
      </c>
      <c r="D950" s="3035">
        <f>'Part VI-Pro Forma'!D55</f>
        <v>-18534.891529000321</v>
      </c>
      <c r="E950" s="3035">
        <f>'Part VI-Pro Forma'!E55</f>
        <v>-19090.938274870332</v>
      </c>
      <c r="F950" s="3035">
        <f>'Part VI-Pro Forma'!F55</f>
        <v>-19663.666423116443</v>
      </c>
      <c r="G950" s="3035">
        <f>'Part VI-Pro Forma'!G55</f>
        <v>-20253.576415809937</v>
      </c>
      <c r="H950" s="3035">
        <f>'Part VI-Pro Forma'!H55</f>
        <v>-20861.183708284232</v>
      </c>
      <c r="I950" s="3035">
        <f>'Part VI-Pro Forma'!I55</f>
        <v>-21487.019219532758</v>
      </c>
      <c r="J950" s="3035">
        <f>'Part VI-Pro Forma'!J55</f>
        <v>-22131.629796118741</v>
      </c>
      <c r="K950" s="3035">
        <f>'Part VI-Pro Forma'!K55</f>
        <v>-22795.578690002305</v>
      </c>
      <c r="N950" s="2846"/>
      <c r="O950" s="2846"/>
      <c r="Q950" s="2671">
        <v>10</v>
      </c>
      <c r="R950" s="2948">
        <f>-SUM(B956:K956)</f>
        <v>0</v>
      </c>
      <c r="S950" s="2948">
        <f>SUM(B957:K957)+R950</f>
        <v>0</v>
      </c>
      <c r="Z950" s="2751" t="s">
        <v>6466</v>
      </c>
      <c r="AA950" s="2671">
        <v>55</v>
      </c>
    </row>
    <row r="951" spans="1:27" s="652" customFormat="1" ht="13.25" customHeight="1">
      <c r="A951" s="652" t="s">
        <v>3839</v>
      </c>
      <c r="B951" s="3036">
        <f>'Part VI-Pro Forma'!B56</f>
        <v>-10</v>
      </c>
      <c r="C951" s="3036">
        <f>'Part VI-Pro Forma'!C56</f>
        <v>-10</v>
      </c>
      <c r="D951" s="3036">
        <f>'Part VI-Pro Forma'!D56</f>
        <v>-10</v>
      </c>
      <c r="E951" s="3036">
        <f>'Part VI-Pro Forma'!E56</f>
        <v>-10</v>
      </c>
      <c r="F951" s="3036">
        <f>'Part VI-Pro Forma'!F56</f>
        <v>-10</v>
      </c>
      <c r="G951" s="3036">
        <f>'Part VI-Pro Forma'!G56</f>
        <v>-10</v>
      </c>
      <c r="H951" s="3036">
        <f>'Part VI-Pro Forma'!H56</f>
        <v>-10</v>
      </c>
      <c r="I951" s="3036">
        <f>'Part VI-Pro Forma'!I56</f>
        <v>-10</v>
      </c>
      <c r="J951" s="3036">
        <f>'Part VI-Pro Forma'!J56</f>
        <v>-10</v>
      </c>
      <c r="K951" s="3036">
        <f>'Part VI-Pro Forma'!K56</f>
        <v>-10</v>
      </c>
      <c r="N951" s="2846"/>
      <c r="O951" s="2846"/>
      <c r="Z951" s="2751" t="s">
        <v>6466</v>
      </c>
      <c r="AA951" s="2671">
        <v>56</v>
      </c>
    </row>
    <row r="952" spans="1:27" s="652" customFormat="1" ht="13.25" customHeight="1">
      <c r="A952" s="652" t="s">
        <v>1130</v>
      </c>
      <c r="B952" s="3035">
        <f>SUM(B947:B951)</f>
        <v>126026.66064935073</v>
      </c>
      <c r="C952" s="3035">
        <f t="shared" ref="C952" si="400">SUM(C947:C951)</f>
        <v>124901.21771946152</v>
      </c>
      <c r="D952" s="3035">
        <f t="shared" ref="D952" si="401">SUM(D947:D951)</f>
        <v>123643.38804668856</v>
      </c>
      <c r="E952" s="3035">
        <f t="shared" ref="E952" si="402">SUM(E947:E951)</f>
        <v>122247.50195964501</v>
      </c>
      <c r="F952" s="3035">
        <f t="shared" ref="F952" si="403">SUM(F947:F951)</f>
        <v>120707.67793542125</v>
      </c>
      <c r="G952" s="3035">
        <f t="shared" ref="G952" si="404">SUM(G947:G951)</f>
        <v>119017.81540881043</v>
      </c>
      <c r="H952" s="3035">
        <f t="shared" ref="H952" si="405">SUM(H947:H951)</f>
        <v>117170.58734910807</v>
      </c>
      <c r="I952" s="3035">
        <f t="shared" ref="I952" si="406">SUM(I947:I951)</f>
        <v>115160.43259717533</v>
      </c>
      <c r="J952" s="3035">
        <f t="shared" ref="J952" si="407">SUM(J947:J951)</f>
        <v>112978.54795523625</v>
      </c>
      <c r="K952" s="3035">
        <f t="shared" ref="K952" si="408">SUM(K947:K951)</f>
        <v>110618.88002164192</v>
      </c>
      <c r="N952" s="2846"/>
      <c r="O952" s="2846"/>
      <c r="Z952" s="2751" t="s">
        <v>6466</v>
      </c>
      <c r="AA952" s="2671">
        <v>57</v>
      </c>
    </row>
    <row r="953" spans="1:27" s="652" customFormat="1" ht="13.25" customHeight="1">
      <c r="A953" s="652" t="str">
        <f>$A921</f>
        <v>Mortgage A</v>
      </c>
      <c r="B953" s="3036">
        <f>'Part VI-Pro Forma'!B58</f>
        <v>-100119.57492128546</v>
      </c>
      <c r="C953" s="3036">
        <f>'Part VI-Pro Forma'!C58</f>
        <v>-100119.57492128546</v>
      </c>
      <c r="D953" s="3036">
        <f>'Part VI-Pro Forma'!D58</f>
        <v>-100119.57492128546</v>
      </c>
      <c r="E953" s="3036">
        <f>'Part VI-Pro Forma'!E58</f>
        <v>-100119.57492128546</v>
      </c>
      <c r="F953" s="3036">
        <f>'Part VI-Pro Forma'!F58</f>
        <v>-100119.57492128546</v>
      </c>
      <c r="G953" s="3036">
        <f>'Part VI-Pro Forma'!G58</f>
        <v>-100119.57492128546</v>
      </c>
      <c r="H953" s="3036">
        <f>'Part VI-Pro Forma'!H58</f>
        <v>-100119.57492128546</v>
      </c>
      <c r="I953" s="3036">
        <f>'Part VI-Pro Forma'!I58</f>
        <v>-100119.57492128546</v>
      </c>
      <c r="J953" s="3036">
        <f>'Part VI-Pro Forma'!J58</f>
        <v>-100119.57492128546</v>
      </c>
      <c r="K953" s="3036">
        <f>'Part VI-Pro Forma'!K58</f>
        <v>-100119.57492128546</v>
      </c>
      <c r="N953" s="2846"/>
      <c r="O953" s="2846"/>
      <c r="Z953" s="2751" t="s">
        <v>6466</v>
      </c>
      <c r="AA953" s="2671">
        <v>58</v>
      </c>
    </row>
    <row r="954" spans="1:27" s="652" customFormat="1" ht="13.2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6466</v>
      </c>
      <c r="AA954" s="2857">
        <v>59</v>
      </c>
    </row>
    <row r="955" spans="1:27" s="652" customFormat="1" ht="13.2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6466</v>
      </c>
      <c r="AA955" s="2671">
        <v>60</v>
      </c>
    </row>
    <row r="956" spans="1:27" s="652" customFormat="1" ht="13.2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6466</v>
      </c>
      <c r="AA956" s="2671">
        <v>61</v>
      </c>
    </row>
    <row r="957" spans="1:27" s="652" customFormat="1" ht="13.2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6466</v>
      </c>
      <c r="AA957" s="2671">
        <v>62</v>
      </c>
    </row>
    <row r="958" spans="1:27" s="652" customFormat="1" ht="13.25" customHeight="1">
      <c r="A958" s="652" t="s">
        <v>1096</v>
      </c>
      <c r="B958" s="3036">
        <f>'Part VI-Pro Forma'!B63</f>
        <v>-5000</v>
      </c>
      <c r="C958" s="3036">
        <f>'Part VI-Pro Forma'!C63</f>
        <v>-5000</v>
      </c>
      <c r="D958" s="3036">
        <f>'Part VI-Pro Forma'!D63</f>
        <v>-5000</v>
      </c>
      <c r="E958" s="3036">
        <f>'Part VI-Pro Forma'!E63</f>
        <v>-5000</v>
      </c>
      <c r="F958" s="3036">
        <f>'Part VI-Pro Forma'!F63</f>
        <v>-5000</v>
      </c>
      <c r="G958" s="3036">
        <f>'Part VI-Pro Forma'!G63</f>
        <v>-5000</v>
      </c>
      <c r="H958" s="3036">
        <f>'Part VI-Pro Forma'!H63</f>
        <v>-5000</v>
      </c>
      <c r="I958" s="3036">
        <f>'Part VI-Pro Forma'!I63</f>
        <v>-5000</v>
      </c>
      <c r="J958" s="3036">
        <f>'Part VI-Pro Forma'!J63</f>
        <v>-5000</v>
      </c>
      <c r="K958" s="3036">
        <f>'Part VI-Pro Forma'!K63</f>
        <v>-5000</v>
      </c>
      <c r="N958" s="2846"/>
      <c r="O958" s="2846"/>
      <c r="Z958" s="2751" t="s">
        <v>6466</v>
      </c>
      <c r="AA958" s="2671">
        <v>63</v>
      </c>
    </row>
    <row r="959" spans="1:27" s="652" customFormat="1" ht="13.25" customHeight="1">
      <c r="A959" s="652" t="s">
        <v>3363</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6466</v>
      </c>
      <c r="AA959" s="2671">
        <v>64</v>
      </c>
    </row>
    <row r="960" spans="1:27" s="652" customFormat="1" ht="13.25" customHeight="1">
      <c r="A960" s="652" t="s">
        <v>1097</v>
      </c>
      <c r="B960" s="3035">
        <f t="shared" ref="B960:K960" si="409">SUM(B952:B959)</f>
        <v>20907.085728065271</v>
      </c>
      <c r="C960" s="3035">
        <f t="shared" si="409"/>
        <v>19781.642798176064</v>
      </c>
      <c r="D960" s="3035">
        <f t="shared" si="409"/>
        <v>18523.813125403103</v>
      </c>
      <c r="E960" s="3035">
        <f t="shared" si="409"/>
        <v>17127.927038359558</v>
      </c>
      <c r="F960" s="3035">
        <f t="shared" si="409"/>
        <v>15588.103014135791</v>
      </c>
      <c r="G960" s="3035">
        <f t="shared" si="409"/>
        <v>13898.240487524978</v>
      </c>
      <c r="H960" s="3035">
        <f t="shared" si="409"/>
        <v>12051.012427822614</v>
      </c>
      <c r="I960" s="3035">
        <f t="shared" si="409"/>
        <v>10040.857675889871</v>
      </c>
      <c r="J960" s="3035">
        <f t="shared" si="409"/>
        <v>7858.9730339507951</v>
      </c>
      <c r="K960" s="3035">
        <f t="shared" si="409"/>
        <v>5499.3051003564615</v>
      </c>
      <c r="N960" s="2846"/>
      <c r="O960" s="2846"/>
      <c r="Z960" s="2751" t="s">
        <v>6466</v>
      </c>
      <c r="AA960" s="2671">
        <v>65</v>
      </c>
    </row>
    <row r="961" spans="1:27" s="652" customFormat="1" ht="13.25" customHeight="1">
      <c r="A961" s="652" t="str">
        <f>$A929</f>
        <v>DCR Mortgage A</v>
      </c>
      <c r="B961" s="3037">
        <f t="shared" ref="B961:K961" si="410">IF(B953=0,"",-B952/B953)</f>
        <v>1.2587614434882846</v>
      </c>
      <c r="C961" s="3037">
        <f t="shared" si="410"/>
        <v>1.2475204555918213</v>
      </c>
      <c r="D961" s="3037">
        <f t="shared" si="410"/>
        <v>1.2349571813893303</v>
      </c>
      <c r="E961" s="3037">
        <f t="shared" si="410"/>
        <v>1.2210149918810247</v>
      </c>
      <c r="F961" s="3037">
        <f t="shared" si="410"/>
        <v>1.2056351420820781</v>
      </c>
      <c r="G961" s="3037">
        <f t="shared" si="410"/>
        <v>1.1887566992007594</v>
      </c>
      <c r="H961" s="3037">
        <f t="shared" si="410"/>
        <v>1.1703064804382981</v>
      </c>
      <c r="I961" s="3037">
        <f t="shared" si="410"/>
        <v>1.1502289406214028</v>
      </c>
      <c r="J961" s="3037">
        <f t="shared" si="410"/>
        <v>1.1284361529107629</v>
      </c>
      <c r="K961" s="3037">
        <f t="shared" si="410"/>
        <v>1.1048676555869426</v>
      </c>
      <c r="N961" s="2846"/>
      <c r="O961" s="2846"/>
      <c r="Z961" s="2751" t="s">
        <v>6466</v>
      </c>
      <c r="AA961" s="2671">
        <v>66</v>
      </c>
    </row>
    <row r="962" spans="1:27" s="652" customFormat="1" ht="13.2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6466</v>
      </c>
      <c r="AA962" s="2671">
        <v>67</v>
      </c>
    </row>
    <row r="963" spans="1:27" s="652" customFormat="1" ht="13.2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6466</v>
      </c>
      <c r="AA963" s="2857">
        <v>68</v>
      </c>
    </row>
    <row r="964" spans="1:27" s="652" customFormat="1" ht="13.2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6466</v>
      </c>
      <c r="AA964" s="2671">
        <v>69</v>
      </c>
    </row>
    <row r="965" spans="1:27" s="652" customFormat="1" ht="13.25" customHeight="1">
      <c r="A965" s="652" t="s">
        <v>3215</v>
      </c>
      <c r="B965" s="3037">
        <f t="shared" ref="B965:K965" si="414">IF(AND(B953=0,B954=0,B955=0,B956=0),"",-B952/(B953+B954+B955+B956))</f>
        <v>1.2587614434882846</v>
      </c>
      <c r="C965" s="3037">
        <f t="shared" si="414"/>
        <v>1.2475204555918213</v>
      </c>
      <c r="D965" s="3037">
        <f t="shared" si="414"/>
        <v>1.2349571813893303</v>
      </c>
      <c r="E965" s="3037">
        <f t="shared" si="414"/>
        <v>1.2210149918810247</v>
      </c>
      <c r="F965" s="3037">
        <f t="shared" si="414"/>
        <v>1.2056351420820781</v>
      </c>
      <c r="G965" s="3037">
        <f t="shared" si="414"/>
        <v>1.1887566992007594</v>
      </c>
      <c r="H965" s="3037">
        <f t="shared" si="414"/>
        <v>1.1703064804382981</v>
      </c>
      <c r="I965" s="3037">
        <f t="shared" si="414"/>
        <v>1.1502289406214028</v>
      </c>
      <c r="J965" s="3037">
        <f t="shared" si="414"/>
        <v>1.1284361529107629</v>
      </c>
      <c r="K965" s="3037">
        <f t="shared" si="414"/>
        <v>1.1048676555869426</v>
      </c>
      <c r="N965" s="2846"/>
      <c r="O965" s="2846"/>
      <c r="Z965" s="2751" t="s">
        <v>6466</v>
      </c>
      <c r="AA965" s="2671">
        <v>70</v>
      </c>
    </row>
    <row r="966" spans="1:27" s="652" customFormat="1" ht="13.25" customHeight="1">
      <c r="A966" s="652" t="s">
        <v>718</v>
      </c>
      <c r="B966" s="3038">
        <f>'Part VI-Pro Forma'!B71</f>
        <v>1.3182899770891467</v>
      </c>
      <c r="C966" s="3038">
        <f>'Part VI-Pro Forma'!C71</f>
        <v>1.3064956944459456</v>
      </c>
      <c r="D966" s="3038">
        <f>'Part VI-Pro Forma'!D71</f>
        <v>1.2947964959355791</v>
      </c>
      <c r="E966" s="3038">
        <f>'Part VI-Pro Forma'!E71</f>
        <v>1.283192661031729</v>
      </c>
      <c r="F966" s="3038">
        <f>'Part VI-Pro Forma'!F71</f>
        <v>1.2716843620885767</v>
      </c>
      <c r="G966" s="3038">
        <f>'Part VI-Pro Forma'!G71</f>
        <v>1.2602716729065608</v>
      </c>
      <c r="H966" s="3038">
        <f>'Part VI-Pro Forma'!H71</f>
        <v>1.2489519233417992</v>
      </c>
      <c r="I966" s="3038">
        <f>'Part VI-Pro Forma'!I71</f>
        <v>1.2377278642381571</v>
      </c>
      <c r="J966" s="3038">
        <f>'Part VI-Pro Forma'!J71</f>
        <v>1.2265943892083162</v>
      </c>
      <c r="K966" s="3038">
        <f>'Part VI-Pro Forma'!K71</f>
        <v>1.2155541599189337</v>
      </c>
      <c r="N966" s="2846"/>
      <c r="O966" s="2846"/>
      <c r="Z966" s="2751" t="s">
        <v>6466</v>
      </c>
      <c r="AA966" s="2671">
        <v>71</v>
      </c>
    </row>
    <row r="967" spans="1:27" s="652" customFormat="1" ht="13.25" customHeight="1">
      <c r="A967" s="652" t="s">
        <v>2406</v>
      </c>
      <c r="B967" s="3036">
        <f>'Part VI-Pro Forma'!B72</f>
        <v>1090832.5544415093</v>
      </c>
      <c r="C967" s="3036">
        <f>'Part VI-Pro Forma'!C72</f>
        <v>1060730.8100034934</v>
      </c>
      <c r="D967" s="3036">
        <f>'Part VI-Pro Forma'!D72</f>
        <v>1028613.0959919565</v>
      </c>
      <c r="E967" s="3036">
        <f>'Part VI-Pro Forma'!E72</f>
        <v>994344.39919097885</v>
      </c>
      <c r="F967" s="3036">
        <f>'Part VI-Pro Forma'!F72</f>
        <v>957780.66429952625</v>
      </c>
      <c r="G967" s="3036">
        <f>'Part VI-Pro Forma'!G72</f>
        <v>918768.18836626294</v>
      </c>
      <c r="H967" s="3036">
        <f>'Part VI-Pro Forma'!H72</f>
        <v>877142.97466854437</v>
      </c>
      <c r="I967" s="3036">
        <f>'Part VI-Pro Forma'!I72</f>
        <v>832730.04331948794</v>
      </c>
      <c r="J967" s="3036">
        <f>'Part VI-Pro Forma'!J72</f>
        <v>785342.69570512348</v>
      </c>
      <c r="K967" s="3036">
        <f>'Part VI-Pro Forma'!K72</f>
        <v>734781.72965953674</v>
      </c>
      <c r="N967" s="2846"/>
      <c r="O967" s="2846"/>
      <c r="Z967" s="2751" t="s">
        <v>6466</v>
      </c>
      <c r="AA967" s="2671">
        <v>72</v>
      </c>
    </row>
    <row r="968" spans="1:27" s="652" customFormat="1" ht="13.2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6466</v>
      </c>
      <c r="AA968" s="2857">
        <v>73</v>
      </c>
    </row>
    <row r="969" spans="1:27" s="652" customFormat="1" ht="13.2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6466</v>
      </c>
      <c r="AA969" s="2671">
        <v>74</v>
      </c>
    </row>
    <row r="970" spans="1:27" s="652" customFormat="1" ht="13.2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6466</v>
      </c>
      <c r="AA970" s="2671">
        <v>75</v>
      </c>
    </row>
    <row r="971" spans="1:27" s="652" customFormat="1" ht="13.25" customHeight="1">
      <c r="A971" s="652" t="s">
        <v>3364</v>
      </c>
      <c r="B971" s="3036">
        <f>'Part VI-Pro Forma'!B76</f>
        <v>67230</v>
      </c>
      <c r="C971" s="3036">
        <f>'Part VI-Pro Forma'!C76</f>
        <v>67230</v>
      </c>
      <c r="D971" s="3036">
        <f>'Part VI-Pro Forma'!D76</f>
        <v>67230</v>
      </c>
      <c r="E971" s="3036">
        <f>'Part VI-Pro Forma'!E76</f>
        <v>67230</v>
      </c>
      <c r="F971" s="3036">
        <f>'Part VI-Pro Forma'!F76</f>
        <v>67230</v>
      </c>
      <c r="G971" s="3036">
        <f>'Part VI-Pro Forma'!G76</f>
        <v>67230</v>
      </c>
      <c r="H971" s="3036" t="str">
        <f>'Part VI-Pro Forma'!H76</f>
        <v/>
      </c>
      <c r="I971" s="3036" t="str">
        <f>'Part VI-Pro Forma'!I76</f>
        <v/>
      </c>
      <c r="J971" s="3036" t="str">
        <f>'Part VI-Pro Forma'!J76</f>
        <v/>
      </c>
      <c r="K971" s="3036" t="str">
        <f>'Part VI-Pro Forma'!K76</f>
        <v/>
      </c>
      <c r="N971" s="2846"/>
      <c r="O971" s="2846"/>
      <c r="Z971" s="2751" t="s">
        <v>6466</v>
      </c>
      <c r="AA971" s="2671">
        <v>76</v>
      </c>
    </row>
    <row r="972" spans="1:27" s="652" customFormat="1" ht="4.25" customHeight="1">
      <c r="B972" s="3035"/>
      <c r="C972" s="3035"/>
      <c r="D972" s="3035"/>
      <c r="E972" s="3035"/>
      <c r="F972" s="3035"/>
      <c r="G972" s="3035"/>
      <c r="H972" s="3035"/>
      <c r="I972" s="3035"/>
      <c r="J972" s="3035"/>
      <c r="K972" s="3035"/>
      <c r="Z972" s="2751"/>
      <c r="AA972" s="2671">
        <v>77</v>
      </c>
    </row>
    <row r="973" spans="1:27" s="652" customFormat="1" ht="1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25" customHeight="1">
      <c r="A974" s="652" t="s">
        <v>2216</v>
      </c>
      <c r="B974" s="3035">
        <f>'Part VI-Pro Forma'!B79</f>
        <v>670816.09244046826</v>
      </c>
      <c r="C974" s="3035">
        <f>'Part VI-Pro Forma'!C79</f>
        <v>684232.41428927751</v>
      </c>
      <c r="D974" s="3035">
        <f>'Part VI-Pro Forma'!D79</f>
        <v>697917.06257506309</v>
      </c>
      <c r="E974" s="3035">
        <f>'Part VI-Pro Forma'!E79</f>
        <v>711875.40382656432</v>
      </c>
      <c r="F974" s="3035">
        <f>'Part VI-Pro Forma'!F79</f>
        <v>726112.91190309555</v>
      </c>
      <c r="G974" s="3035">
        <f>'Part VI-Pro Forma'!G79</f>
        <v>740635.17014115746</v>
      </c>
      <c r="H974" s="3035">
        <f>'Part VI-Pro Forma'!H79</f>
        <v>755447.87354398076</v>
      </c>
      <c r="I974" s="3035">
        <f>'Part VI-Pro Forma'!I79</f>
        <v>770556.83101486019</v>
      </c>
      <c r="J974" s="3035">
        <f>'Part VI-Pro Forma'!J79</f>
        <v>785967.96763515763</v>
      </c>
      <c r="K974" s="3035">
        <f>'Part VI-Pro Forma'!K79</f>
        <v>801687.32698786061</v>
      </c>
      <c r="N974" s="2846"/>
      <c r="O974" s="2846"/>
      <c r="Z974" s="2751" t="s">
        <v>6467</v>
      </c>
      <c r="AA974" s="2671">
        <v>79</v>
      </c>
    </row>
    <row r="975" spans="1:27" s="652" customFormat="1" ht="13.25" customHeight="1">
      <c r="A975" s="652" t="s">
        <v>953</v>
      </c>
      <c r="B975" s="3035">
        <f>'Part VI-Pro Forma'!B80</f>
        <v>13416.321848809366</v>
      </c>
      <c r="C975" s="3035">
        <f>'Part VI-Pro Forma'!C80</f>
        <v>13684.648285785554</v>
      </c>
      <c r="D975" s="3035">
        <f>'Part VI-Pro Forma'!D80</f>
        <v>13958.341251501264</v>
      </c>
      <c r="E975" s="3035">
        <f>'Part VI-Pro Forma'!E80</f>
        <v>14237.508076531287</v>
      </c>
      <c r="F975" s="3035">
        <f>'Part VI-Pro Forma'!F80</f>
        <v>14522.258238061913</v>
      </c>
      <c r="G975" s="3035">
        <f>'Part VI-Pro Forma'!G80</f>
        <v>14812.703402823152</v>
      </c>
      <c r="H975" s="3035">
        <f>'Part VI-Pro Forma'!H80</f>
        <v>15108.957470879617</v>
      </c>
      <c r="I975" s="3035">
        <f>'Part VI-Pro Forma'!I80</f>
        <v>15411.136620297206</v>
      </c>
      <c r="J975" s="3035">
        <f>'Part VI-Pro Forma'!J80</f>
        <v>15719.359352703153</v>
      </c>
      <c r="K975" s="3035">
        <f>'Part VI-Pro Forma'!K80</f>
        <v>16033.746539757214</v>
      </c>
      <c r="N975" s="2846"/>
      <c r="O975" s="2846"/>
      <c r="Z975" s="2751" t="s">
        <v>6467</v>
      </c>
      <c r="AA975" s="2671">
        <v>80</v>
      </c>
    </row>
    <row r="976" spans="1:27" s="652" customFormat="1" ht="13.25" customHeight="1">
      <c r="A976" s="652" t="s">
        <v>2217</v>
      </c>
      <c r="B976" s="3035">
        <f>'Part VI-Pro Forma'!B81</f>
        <v>-47896.269000249442</v>
      </c>
      <c r="C976" s="3035">
        <f>'Part VI-Pro Forma'!C81</f>
        <v>-48854.194380254419</v>
      </c>
      <c r="D976" s="3035">
        <f>'Part VI-Pro Forma'!D81</f>
        <v>-49831.27826785951</v>
      </c>
      <c r="E976" s="3035">
        <f>'Part VI-Pro Forma'!E81</f>
        <v>-50827.903833216697</v>
      </c>
      <c r="F976" s="3035">
        <f>'Part VI-Pro Forma'!F81</f>
        <v>-51844.461909881029</v>
      </c>
      <c r="G976" s="3035">
        <f>'Part VI-Pro Forma'!G81</f>
        <v>-52881.351148078647</v>
      </c>
      <c r="H976" s="3035">
        <f>'Part VI-Pro Forma'!H81</f>
        <v>-53938.978171040231</v>
      </c>
      <c r="I976" s="3035">
        <f>'Part VI-Pro Forma'!I81</f>
        <v>-55017.757734461025</v>
      </c>
      <c r="J976" s="3035">
        <f>'Part VI-Pro Forma'!J81</f>
        <v>-56118.112889150267</v>
      </c>
      <c r="K976" s="3035">
        <f>'Part VI-Pro Forma'!K81</f>
        <v>-57240.475146933255</v>
      </c>
      <c r="N976" s="2846"/>
      <c r="O976" s="2846"/>
      <c r="Z976" s="2751" t="s">
        <v>6467</v>
      </c>
      <c r="AA976" s="2671">
        <v>81</v>
      </c>
    </row>
    <row r="977" spans="1:27" s="652" customFormat="1" ht="13.2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6467</v>
      </c>
      <c r="AA977" s="2857">
        <v>82</v>
      </c>
    </row>
    <row r="978" spans="1:27" s="652" customFormat="1" ht="13.2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6467</v>
      </c>
      <c r="AA978" s="2671">
        <v>83</v>
      </c>
    </row>
    <row r="979" spans="1:27" s="652" customFormat="1" ht="13.25" customHeight="1">
      <c r="A979" s="652" t="s">
        <v>3840</v>
      </c>
      <c r="B979" s="3035">
        <f>SUM(B974:B978)</f>
        <v>636336.14528902818</v>
      </c>
      <c r="C979" s="3035">
        <f t="shared" ref="C979" si="416">SUM(C974:C978)</f>
        <v>649062.86819480872</v>
      </c>
      <c r="D979" s="3035">
        <f t="shared" ref="D979" si="417">SUM(D974:D978)</f>
        <v>662044.12555870484</v>
      </c>
      <c r="E979" s="3035">
        <f t="shared" ref="E979" si="418">SUM(E974:E978)</f>
        <v>675285.00806987891</v>
      </c>
      <c r="F979" s="3035">
        <f t="shared" ref="F979" si="419">SUM(F974:F978)</f>
        <v>688790.70823127648</v>
      </c>
      <c r="G979" s="3035">
        <f t="shared" ref="G979" si="420">SUM(G974:G978)</f>
        <v>702566.52239590196</v>
      </c>
      <c r="H979" s="3035">
        <f t="shared" ref="H979" si="421">SUM(H974:H978)</f>
        <v>716617.85284382023</v>
      </c>
      <c r="I979" s="3035">
        <f t="shared" ref="I979" si="422">SUM(I974:I978)</f>
        <v>730950.20990069641</v>
      </c>
      <c r="J979" s="3035">
        <f t="shared" ref="J979" si="423">SUM(J974:J978)</f>
        <v>745569.21409871057</v>
      </c>
      <c r="K979" s="3035">
        <f t="shared" ref="K979" si="424">SUM(K974:K978)</f>
        <v>760480.59838068462</v>
      </c>
      <c r="N979" s="2846"/>
      <c r="O979" s="2846"/>
      <c r="Z979" s="2751" t="s">
        <v>6467</v>
      </c>
      <c r="AA979" s="2671">
        <v>84</v>
      </c>
    </row>
    <row r="980" spans="1:27" s="652" customFormat="1" ht="13.25" customHeight="1">
      <c r="A980" s="652" t="s">
        <v>572</v>
      </c>
      <c r="B980" s="3035">
        <f>'Part VI-Pro Forma'!B85</f>
        <v>-466592.58247573092</v>
      </c>
      <c r="C980" s="3035">
        <f>'Part VI-Pro Forma'!C85</f>
        <v>-480590.35995000275</v>
      </c>
      <c r="D980" s="3035">
        <f>'Part VI-Pro Forma'!D85</f>
        <v>-495008.07074850291</v>
      </c>
      <c r="E980" s="3035">
        <f>'Part VI-Pro Forma'!E85</f>
        <v>-509858.31287095801</v>
      </c>
      <c r="F980" s="3035">
        <f>'Part VI-Pro Forma'!F85</f>
        <v>-525154.06225708663</v>
      </c>
      <c r="G980" s="3035">
        <f>'Part VI-Pro Forma'!G85</f>
        <v>-540908.68412479921</v>
      </c>
      <c r="H980" s="3035">
        <f>'Part VI-Pro Forma'!H85</f>
        <v>-557135.94464854337</v>
      </c>
      <c r="I980" s="3035">
        <f>'Part VI-Pro Forma'!I85</f>
        <v>-573850.0229879996</v>
      </c>
      <c r="J980" s="3035">
        <f>'Part VI-Pro Forma'!J85</f>
        <v>-591065.52367763955</v>
      </c>
      <c r="K980" s="3035">
        <f>'Part VI-Pro Forma'!K85</f>
        <v>-608797.48938796867</v>
      </c>
      <c r="N980" s="2846"/>
      <c r="O980" s="2846"/>
      <c r="Z980" s="2751" t="s">
        <v>6467</v>
      </c>
      <c r="AA980" s="2671">
        <v>85</v>
      </c>
    </row>
    <row r="981" spans="1:27" s="652" customFormat="1" ht="13.25" customHeight="1">
      <c r="A981" s="652" t="s">
        <v>1051</v>
      </c>
      <c r="B981" s="3035">
        <f>'Part VI-Pro Forma'!B86</f>
        <v>-38180</v>
      </c>
      <c r="C981" s="3035">
        <f>'Part VI-Pro Forma'!C86</f>
        <v>-38944</v>
      </c>
      <c r="D981" s="3035">
        <f>'Part VI-Pro Forma'!D86</f>
        <v>-39723</v>
      </c>
      <c r="E981" s="3035">
        <f>'Part VI-Pro Forma'!E86</f>
        <v>-40517</v>
      </c>
      <c r="F981" s="3035">
        <f>'Part VI-Pro Forma'!F86</f>
        <v>-41327</v>
      </c>
      <c r="G981" s="3035">
        <f>'Part VI-Pro Forma'!G86</f>
        <v>-42154</v>
      </c>
      <c r="H981" s="3035">
        <f>'Part VI-Pro Forma'!H86</f>
        <v>-42997</v>
      </c>
      <c r="I981" s="3035">
        <f>'Part VI-Pro Forma'!I86</f>
        <v>-43857</v>
      </c>
      <c r="J981" s="3035">
        <f>'Part VI-Pro Forma'!J86</f>
        <v>-44734</v>
      </c>
      <c r="K981" s="3035">
        <f>'Part VI-Pro Forma'!K86</f>
        <v>-45629</v>
      </c>
      <c r="N981" s="2846"/>
      <c r="O981" s="2846"/>
      <c r="Z981" s="2751" t="s">
        <v>6467</v>
      </c>
      <c r="AA981" s="2671">
        <v>86</v>
      </c>
    </row>
    <row r="982" spans="1:27" s="652" customFormat="1" ht="13.25" customHeight="1">
      <c r="A982" s="652" t="s">
        <v>1129</v>
      </c>
      <c r="B982" s="3035">
        <f>'Part VI-Pro Forma'!B87</f>
        <v>-23479.446050702372</v>
      </c>
      <c r="C982" s="3035">
        <f>'Part VI-Pro Forma'!C87</f>
        <v>-24183.82943222344</v>
      </c>
      <c r="D982" s="3035">
        <f>'Part VI-Pro Forma'!D87</f>
        <v>-24909.344315190145</v>
      </c>
      <c r="E982" s="3035">
        <f>'Part VI-Pro Forma'!E87</f>
        <v>-25656.624644645854</v>
      </c>
      <c r="F982" s="3035">
        <f>'Part VI-Pro Forma'!F87</f>
        <v>-26426.323383985222</v>
      </c>
      <c r="G982" s="3035">
        <f>'Part VI-Pro Forma'!G87</f>
        <v>-27219.113085504781</v>
      </c>
      <c r="H982" s="3035">
        <f>'Part VI-Pro Forma'!H87</f>
        <v>-28035.686478069929</v>
      </c>
      <c r="I982" s="3035">
        <f>'Part VI-Pro Forma'!I87</f>
        <v>-28876.757072412023</v>
      </c>
      <c r="J982" s="3035">
        <f>'Part VI-Pro Forma'!J87</f>
        <v>-29743.059784584384</v>
      </c>
      <c r="K982" s="3035">
        <f>'Part VI-Pro Forma'!K87</f>
        <v>-30635.35157812191</v>
      </c>
      <c r="N982" s="2846"/>
      <c r="O982" s="2846"/>
      <c r="Q982" s="2671">
        <v>10</v>
      </c>
      <c r="R982" s="2948">
        <f>-SUM(B988:K988)</f>
        <v>0</v>
      </c>
      <c r="S982" s="2948">
        <f>SUM(B989:K989)+R982</f>
        <v>0</v>
      </c>
      <c r="Z982" s="2751" t="s">
        <v>6467</v>
      </c>
      <c r="AA982" s="2671">
        <v>87</v>
      </c>
    </row>
    <row r="983" spans="1:27" s="652" customFormat="1" ht="13.25" customHeight="1">
      <c r="A983" s="652" t="s">
        <v>3839</v>
      </c>
      <c r="B983" s="3036">
        <f>'Part VI-Pro Forma'!B88</f>
        <v>-10</v>
      </c>
      <c r="C983" s="3036">
        <f>'Part VI-Pro Forma'!C88</f>
        <v>-10</v>
      </c>
      <c r="D983" s="3036">
        <f>'Part VI-Pro Forma'!D88</f>
        <v>-10</v>
      </c>
      <c r="E983" s="3036">
        <f>'Part VI-Pro Forma'!E88</f>
        <v>-10</v>
      </c>
      <c r="F983" s="3036">
        <f>'Part VI-Pro Forma'!F88</f>
        <v>-10</v>
      </c>
      <c r="G983" s="3036">
        <f>'Part VI-Pro Forma'!G88</f>
        <v>-10</v>
      </c>
      <c r="H983" s="3036">
        <f>'Part VI-Pro Forma'!H88</f>
        <v>-10</v>
      </c>
      <c r="I983" s="3036">
        <f>'Part VI-Pro Forma'!I88</f>
        <v>-10</v>
      </c>
      <c r="J983" s="3036">
        <f>'Part VI-Pro Forma'!J88</f>
        <v>-10</v>
      </c>
      <c r="K983" s="3036">
        <f>'Part VI-Pro Forma'!K88</f>
        <v>-10</v>
      </c>
      <c r="N983" s="2846"/>
      <c r="O983" s="2846"/>
      <c r="Z983" s="2751" t="s">
        <v>6467</v>
      </c>
      <c r="AA983" s="2671">
        <v>88</v>
      </c>
    </row>
    <row r="984" spans="1:27" s="652" customFormat="1" ht="13.25" customHeight="1">
      <c r="A984" s="652" t="s">
        <v>1130</v>
      </c>
      <c r="B984" s="3035">
        <f>SUM(B979:B983)</f>
        <v>108074.11676259489</v>
      </c>
      <c r="C984" s="3035">
        <f t="shared" ref="C984" si="425">SUM(C979:C983)</f>
        <v>105334.67881258253</v>
      </c>
      <c r="D984" s="3035">
        <f t="shared" ref="D984" si="426">SUM(D979:D983)</f>
        <v>102393.71049501178</v>
      </c>
      <c r="E984" s="3035">
        <f t="shared" ref="E984" si="427">SUM(E979:E983)</f>
        <v>99243.070554275051</v>
      </c>
      <c r="F984" s="3035">
        <f t="shared" ref="F984" si="428">SUM(F979:F983)</f>
        <v>95873.32259020464</v>
      </c>
      <c r="G984" s="3035">
        <f t="shared" ref="G984" si="429">SUM(G979:G983)</f>
        <v>92274.72518559797</v>
      </c>
      <c r="H984" s="3035">
        <f t="shared" ref="H984" si="430">SUM(H979:H983)</f>
        <v>88439.221717206936</v>
      </c>
      <c r="I984" s="3035">
        <f t="shared" ref="I984" si="431">SUM(I979:I983)</f>
        <v>84356.429840284778</v>
      </c>
      <c r="J984" s="3035">
        <f t="shared" ref="J984" si="432">SUM(J979:J983)</f>
        <v>80016.630636486632</v>
      </c>
      <c r="K984" s="3035">
        <f t="shared" ref="K984" si="433">SUM(K979:K983)</f>
        <v>75408.757414594031</v>
      </c>
      <c r="N984" s="2846"/>
      <c r="O984" s="2846"/>
      <c r="Z984" s="2751" t="s">
        <v>6467</v>
      </c>
      <c r="AA984" s="2671">
        <v>89</v>
      </c>
    </row>
    <row r="985" spans="1:27" s="652" customFormat="1" ht="13.25" customHeight="1">
      <c r="A985" s="652" t="str">
        <f>$A953</f>
        <v>Mortgage A</v>
      </c>
      <c r="B985" s="3036">
        <f>'Part VI-Pro Forma'!B90</f>
        <v>-100119.57492128546</v>
      </c>
      <c r="C985" s="3036">
        <f>'Part VI-Pro Forma'!C90</f>
        <v>-100119.57492128546</v>
      </c>
      <c r="D985" s="3036">
        <f>'Part VI-Pro Forma'!D90</f>
        <v>-100119.57492128546</v>
      </c>
      <c r="E985" s="3036">
        <f>'Part VI-Pro Forma'!E90</f>
        <v>-100119.57492128546</v>
      </c>
      <c r="F985" s="3036">
        <f>'Part VI-Pro Forma'!F90</f>
        <v>-100119.57492128546</v>
      </c>
      <c r="G985" s="3036">
        <f>'Part VI-Pro Forma'!G90</f>
        <v>-100119.57492128546</v>
      </c>
      <c r="H985" s="3036">
        <f>'Part VI-Pro Forma'!H90</f>
        <v>-100119.57492128546</v>
      </c>
      <c r="I985" s="3036">
        <f>'Part VI-Pro Forma'!I90</f>
        <v>-100119.57492128546</v>
      </c>
      <c r="J985" s="3036">
        <f>'Part VI-Pro Forma'!J90</f>
        <v>-100119.57492128546</v>
      </c>
      <c r="K985" s="3036">
        <f>'Part VI-Pro Forma'!K90</f>
        <v>-100119.57492128546</v>
      </c>
      <c r="N985" s="2846"/>
      <c r="O985" s="2846"/>
      <c r="Z985" s="2751" t="s">
        <v>6467</v>
      </c>
      <c r="AA985" s="2671">
        <v>90</v>
      </c>
    </row>
    <row r="986" spans="1:27" s="652" customFormat="1" ht="13.2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6467</v>
      </c>
      <c r="AA986" s="2857">
        <v>91</v>
      </c>
    </row>
    <row r="987" spans="1:27" s="652" customFormat="1" ht="13.2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6467</v>
      </c>
      <c r="AA987" s="2671">
        <v>92</v>
      </c>
    </row>
    <row r="988" spans="1:27" s="652" customFormat="1" ht="13.2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6467</v>
      </c>
      <c r="AA988" s="2671">
        <v>93</v>
      </c>
    </row>
    <row r="989" spans="1:27" s="652" customFormat="1" ht="13.2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6467</v>
      </c>
      <c r="AA989" s="2671">
        <v>94</v>
      </c>
    </row>
    <row r="990" spans="1:27" s="652" customFormat="1" ht="13.25" customHeight="1">
      <c r="A990" s="652" t="s">
        <v>1096</v>
      </c>
      <c r="B990" s="3036">
        <f>'Part VI-Pro Forma'!B95</f>
        <v>-5000</v>
      </c>
      <c r="C990" s="3036">
        <f>'Part VI-Pro Forma'!C95</f>
        <v>-5000</v>
      </c>
      <c r="D990" s="3036">
        <f>'Part VI-Pro Forma'!D95</f>
        <v>-5000</v>
      </c>
      <c r="E990" s="3036">
        <f>'Part VI-Pro Forma'!E95</f>
        <v>-5000</v>
      </c>
      <c r="F990" s="3036">
        <f>'Part VI-Pro Forma'!F95</f>
        <v>-5000</v>
      </c>
      <c r="G990" s="3036">
        <f>'Part VI-Pro Forma'!G95</f>
        <v>-5000</v>
      </c>
      <c r="H990" s="3036">
        <f>'Part VI-Pro Forma'!H95</f>
        <v>-5000</v>
      </c>
      <c r="I990" s="3036">
        <f>'Part VI-Pro Forma'!I95</f>
        <v>-5000</v>
      </c>
      <c r="J990" s="3036">
        <f>'Part VI-Pro Forma'!J95</f>
        <v>-5000</v>
      </c>
      <c r="K990" s="3036">
        <f>'Part VI-Pro Forma'!K95</f>
        <v>-5000</v>
      </c>
      <c r="N990" s="2846"/>
      <c r="O990" s="2846"/>
      <c r="Z990" s="2751" t="s">
        <v>6467</v>
      </c>
      <c r="AA990" s="2671">
        <v>95</v>
      </c>
    </row>
    <row r="991" spans="1:27" s="652" customFormat="1" ht="13.25" customHeight="1">
      <c r="A991" s="652" t="s">
        <v>1097</v>
      </c>
      <c r="B991" s="3035">
        <f t="shared" ref="B991:K991" si="434">SUM(B984:B990)</f>
        <v>2954.5418413094303</v>
      </c>
      <c r="C991" s="3035">
        <f t="shared" si="434"/>
        <v>215.10389129706891</v>
      </c>
      <c r="D991" s="3035">
        <f t="shared" si="434"/>
        <v>-2725.864426273678</v>
      </c>
      <c r="E991" s="3035">
        <f t="shared" si="434"/>
        <v>-5876.504367010406</v>
      </c>
      <c r="F991" s="3035">
        <f t="shared" si="434"/>
        <v>-9246.2523310808174</v>
      </c>
      <c r="G991" s="3035">
        <f t="shared" si="434"/>
        <v>-12844.849735687487</v>
      </c>
      <c r="H991" s="3035">
        <f t="shared" si="434"/>
        <v>-16680.353204078521</v>
      </c>
      <c r="I991" s="3035">
        <f t="shared" si="434"/>
        <v>-20763.145081000679</v>
      </c>
      <c r="J991" s="3035">
        <f t="shared" si="434"/>
        <v>-25102.944284798825</v>
      </c>
      <c r="K991" s="3035">
        <f t="shared" si="434"/>
        <v>-29710.817506691426</v>
      </c>
      <c r="N991" s="2846"/>
      <c r="O991" s="2846"/>
      <c r="Z991" s="2751" t="s">
        <v>6467</v>
      </c>
      <c r="AA991" s="2857">
        <v>96</v>
      </c>
    </row>
    <row r="992" spans="1:27" s="652" customFormat="1" ht="13.25" customHeight="1">
      <c r="A992" s="652" t="str">
        <f>$A961</f>
        <v>DCR Mortgage A</v>
      </c>
      <c r="B992" s="3037">
        <f t="shared" ref="B992:K992" si="435">IF(B985=0,"",-B984/B985)</f>
        <v>1.0794504156411304</v>
      </c>
      <c r="C992" s="3037">
        <f t="shared" si="435"/>
        <v>1.052088753826584</v>
      </c>
      <c r="D992" s="3037">
        <f t="shared" si="435"/>
        <v>1.0227141952561651</v>
      </c>
      <c r="E992" s="3037">
        <f t="shared" si="435"/>
        <v>0.99124542460653153</v>
      </c>
      <c r="F992" s="3037">
        <f t="shared" si="435"/>
        <v>0.95758819057692524</v>
      </c>
      <c r="G992" s="3037">
        <f t="shared" si="435"/>
        <v>0.9216451953391217</v>
      </c>
      <c r="H992" s="3037">
        <f t="shared" si="435"/>
        <v>0.88333596888259192</v>
      </c>
      <c r="I992" s="3037">
        <f t="shared" si="435"/>
        <v>0.84255681175840247</v>
      </c>
      <c r="J992" s="3037">
        <f t="shared" si="435"/>
        <v>0.79921065085819765</v>
      </c>
      <c r="K992" s="3037">
        <f t="shared" si="435"/>
        <v>0.75318695144162162</v>
      </c>
      <c r="N992" s="2846"/>
      <c r="O992" s="2846"/>
      <c r="Z992" s="2751" t="s">
        <v>6467</v>
      </c>
      <c r="AA992" s="2671">
        <v>97</v>
      </c>
    </row>
    <row r="993" spans="1:27" s="652" customFormat="1" ht="13.2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6467</v>
      </c>
      <c r="AA993" s="2671">
        <v>98</v>
      </c>
    </row>
    <row r="994" spans="1:27" s="652" customFormat="1" ht="13.2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6467</v>
      </c>
      <c r="AA994" s="2857">
        <v>99</v>
      </c>
    </row>
    <row r="995" spans="1:27" s="652" customFormat="1" ht="13.2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6467</v>
      </c>
      <c r="AA995" s="2671">
        <v>100</v>
      </c>
    </row>
    <row r="996" spans="1:27" s="652" customFormat="1" ht="13.25" customHeight="1">
      <c r="A996" s="652" t="s">
        <v>3215</v>
      </c>
      <c r="B996" s="3037">
        <f t="shared" ref="B996:K996" si="439">IF(AND(B985=0,B986=0,B987=0,B988=0),"",-B984/(B985+B986+B987+B988))</f>
        <v>1.0794504156411304</v>
      </c>
      <c r="C996" s="3037">
        <f t="shared" si="439"/>
        <v>1.052088753826584</v>
      </c>
      <c r="D996" s="3037">
        <f t="shared" si="439"/>
        <v>1.0227141952561651</v>
      </c>
      <c r="E996" s="3037">
        <f t="shared" si="439"/>
        <v>0.99124542460653153</v>
      </c>
      <c r="F996" s="3037">
        <f t="shared" si="439"/>
        <v>0.95758819057692524</v>
      </c>
      <c r="G996" s="3037">
        <f t="shared" si="439"/>
        <v>0.9216451953391217</v>
      </c>
      <c r="H996" s="3037">
        <f t="shared" si="439"/>
        <v>0.88333596888259192</v>
      </c>
      <c r="I996" s="3037">
        <f t="shared" si="439"/>
        <v>0.84255681175840247</v>
      </c>
      <c r="J996" s="3037">
        <f t="shared" si="439"/>
        <v>0.79921065085819765</v>
      </c>
      <c r="K996" s="3037">
        <f t="shared" si="439"/>
        <v>0.75318695144162162</v>
      </c>
      <c r="N996" s="2846"/>
      <c r="O996" s="2846"/>
      <c r="Z996" s="2751" t="s">
        <v>6467</v>
      </c>
      <c r="AA996" s="2671">
        <v>101</v>
      </c>
    </row>
    <row r="997" spans="1:27" s="652" customFormat="1" ht="13.25" customHeight="1">
      <c r="A997" s="652" t="s">
        <v>718</v>
      </c>
      <c r="B997" s="3038">
        <f>IF(OR(B981="Choose mgt fee",B981="Choose One!"),"",(B974+B975+B976+B977+B978) / -(B980+B981+B982))</f>
        <v>1.2046071021517837</v>
      </c>
      <c r="C997" s="3038">
        <f t="shared" ref="C997:K997" si="440">IF(OR(C981="Choose mgt fee",C981="Choose One!"),"",(C974+C975+C976+C977+C978) / -(C980+C981+C982))</f>
        <v>1.1937486750852961</v>
      </c>
      <c r="D997" s="3038">
        <f t="shared" si="440"/>
        <v>1.182981263930621</v>
      </c>
      <c r="E997" s="3038">
        <f t="shared" si="440"/>
        <v>1.1723048048036164</v>
      </c>
      <c r="F997" s="3038">
        <f t="shared" si="440"/>
        <v>1.1617172005481637</v>
      </c>
      <c r="G997" s="3038">
        <f t="shared" si="440"/>
        <v>1.1512165783207795</v>
      </c>
      <c r="H997" s="3038">
        <f t="shared" si="440"/>
        <v>1.1408049006818028</v>
      </c>
      <c r="I997" s="3038">
        <f t="shared" si="440"/>
        <v>1.1304802756301777</v>
      </c>
      <c r="J997" s="3038">
        <f t="shared" si="440"/>
        <v>1.1202426901373908</v>
      </c>
      <c r="K997" s="3038">
        <f t="shared" si="440"/>
        <v>1.1100904369571025</v>
      </c>
      <c r="N997" s="2846"/>
      <c r="O997" s="2846"/>
      <c r="Z997" s="2751" t="s">
        <v>6467</v>
      </c>
      <c r="AA997" s="2671">
        <v>102</v>
      </c>
    </row>
    <row r="998" spans="1:27" s="652" customFormat="1" ht="13.25" customHeight="1">
      <c r="A998" s="652" t="s">
        <v>2406</v>
      </c>
      <c r="B998" s="3036">
        <f>'Part VI-Pro Forma'!B103</f>
        <v>680834.60207883932</v>
      </c>
      <c r="C998" s="3036">
        <f>'Part VI-Pro Forma'!C103</f>
        <v>623274.53545384516</v>
      </c>
      <c r="D998" s="3036">
        <f>'Part VI-Pro Forma'!D103</f>
        <v>561859.56456558534</v>
      </c>
      <c r="E998" s="3036">
        <f>'Part VI-Pro Forma'!E103</f>
        <v>496331.51933625655</v>
      </c>
      <c r="F998" s="3036">
        <f>'Part VI-Pro Forma'!F103</f>
        <v>426414.93955981312</v>
      </c>
      <c r="G998" s="3036">
        <f>'Part VI-Pro Forma'!G103</f>
        <v>351815.91695005773</v>
      </c>
      <c r="H998" s="3036">
        <f>'Part VI-Pro Forma'!H103</f>
        <v>272220.85963854752</v>
      </c>
      <c r="I998" s="3036">
        <f>'Part VI-Pro Forma'!I103</f>
        <v>187295.17392863685</v>
      </c>
      <c r="J998" s="3036">
        <f>'Part VI-Pro Forma'!J103</f>
        <v>96681.857764147571</v>
      </c>
      <c r="K998" s="3036">
        <f>'Part VI-Pro Forma'!K103</f>
        <v>3.0486262403428555E-8</v>
      </c>
      <c r="N998" s="2846"/>
      <c r="O998" s="2846"/>
      <c r="Z998" s="2751" t="s">
        <v>6467</v>
      </c>
      <c r="AA998" s="2671">
        <v>103</v>
      </c>
    </row>
    <row r="999" spans="1:27" s="652" customFormat="1" ht="13.2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6467</v>
      </c>
      <c r="AA999" s="2671">
        <v>104</v>
      </c>
    </row>
    <row r="1000" spans="1:27" s="652" customFormat="1" ht="13.2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6467</v>
      </c>
      <c r="AA1000" s="2671">
        <v>105</v>
      </c>
    </row>
    <row r="1001" spans="1:27" s="652" customFormat="1" ht="13.2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6467</v>
      </c>
      <c r="AA1001" s="2671">
        <v>106</v>
      </c>
    </row>
    <row r="1002" spans="1:27" s="652" customFormat="1" ht="4.25" customHeight="1">
      <c r="B1002" s="3035"/>
      <c r="C1002" s="3035"/>
      <c r="D1002" s="3035"/>
      <c r="E1002" s="3035"/>
      <c r="F1002" s="3035"/>
      <c r="G1002" s="3035"/>
      <c r="H1002" s="3035"/>
      <c r="I1002" s="3035"/>
      <c r="J1002" s="3035"/>
      <c r="K1002" s="3035"/>
      <c r="Z1002" s="2751"/>
      <c r="AA1002" s="2671">
        <v>107</v>
      </c>
    </row>
    <row r="1003" spans="1:27" s="652" customFormat="1" ht="1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3207</v>
      </c>
      <c r="O1003" s="2755"/>
      <c r="Z1003" s="2751"/>
      <c r="AA1003" s="2857">
        <v>108</v>
      </c>
    </row>
    <row r="1004" spans="1:27" s="652" customFormat="1" ht="13.25" customHeight="1">
      <c r="A1004" s="652" t="s">
        <v>2216</v>
      </c>
      <c r="B1004" s="3035">
        <f>'Part VI-Pro Forma'!B109</f>
        <v>817721.07352761785</v>
      </c>
      <c r="C1004" s="3035">
        <f>'Part VI-Pro Forma'!C109</f>
        <v>834075.49499817006</v>
      </c>
      <c r="D1004" s="3035">
        <f>'Part VI-Pro Forma'!D109</f>
        <v>850757.00489813357</v>
      </c>
      <c r="E1004" s="3035">
        <f>'Part VI-Pro Forma'!E109</f>
        <v>867772.14499609638</v>
      </c>
      <c r="F1004" s="3035">
        <f>'Part VI-Pro Forma'!F109</f>
        <v>885127.58789601817</v>
      </c>
      <c r="G1004" s="3035"/>
      <c r="H1004" s="3035"/>
      <c r="I1004" s="3035"/>
      <c r="J1004" s="3035"/>
      <c r="K1004" s="3035"/>
      <c r="N1004" s="2846"/>
      <c r="O1004" s="2846"/>
      <c r="Z1004" s="2751" t="s">
        <v>6468</v>
      </c>
      <c r="AA1004" s="2671">
        <v>109</v>
      </c>
    </row>
    <row r="1005" spans="1:27" s="652" customFormat="1" ht="13.25" customHeight="1">
      <c r="A1005" s="652" t="s">
        <v>953</v>
      </c>
      <c r="B1005" s="3035">
        <f>'Part VI-Pro Forma'!B110</f>
        <v>16354.421470552359</v>
      </c>
      <c r="C1005" s="3035">
        <f>'Part VI-Pro Forma'!C110</f>
        <v>16681.509899963403</v>
      </c>
      <c r="D1005" s="3035">
        <f>'Part VI-Pro Forma'!D110</f>
        <v>17015.140097962674</v>
      </c>
      <c r="E1005" s="3035">
        <f>'Part VI-Pro Forma'!E110</f>
        <v>17355.442899921931</v>
      </c>
      <c r="F1005" s="3035">
        <f>'Part VI-Pro Forma'!F110</f>
        <v>17702.551757920366</v>
      </c>
      <c r="G1005" s="3035"/>
      <c r="H1005" s="3035"/>
      <c r="I1005" s="3035"/>
      <c r="J1005" s="3035"/>
      <c r="K1005" s="3035"/>
      <c r="N1005" s="2846"/>
      <c r="O1005" s="2846"/>
      <c r="Z1005" s="2751" t="s">
        <v>6468</v>
      </c>
      <c r="AA1005" s="2671">
        <v>110</v>
      </c>
    </row>
    <row r="1006" spans="1:27" s="652" customFormat="1" ht="13.25" customHeight="1">
      <c r="A1006" s="652" t="s">
        <v>2217</v>
      </c>
      <c r="B1006" s="3035">
        <f>'Part VI-Pro Forma'!B111</f>
        <v>-58385.284649871915</v>
      </c>
      <c r="C1006" s="3035">
        <f>'Part VI-Pro Forma'!C111</f>
        <v>-59552.990342869351</v>
      </c>
      <c r="D1006" s="3035">
        <f>'Part VI-Pro Forma'!D111</f>
        <v>-60744.050149726747</v>
      </c>
      <c r="E1006" s="3035">
        <f>'Part VI-Pro Forma'!E111</f>
        <v>-61958.931152721285</v>
      </c>
      <c r="F1006" s="3035">
        <f>'Part VI-Pro Forma'!F111</f>
        <v>-63198.109775775709</v>
      </c>
      <c r="G1006" s="3035"/>
      <c r="H1006" s="3035"/>
      <c r="I1006" s="3035"/>
      <c r="J1006" s="3035"/>
      <c r="K1006" s="3035"/>
      <c r="N1006" s="2846"/>
      <c r="O1006" s="2846"/>
      <c r="Z1006" s="2751" t="s">
        <v>6468</v>
      </c>
      <c r="AA1006" s="2671">
        <v>111</v>
      </c>
    </row>
    <row r="1007" spans="1:27" s="652" customFormat="1" ht="13.2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6468</v>
      </c>
      <c r="AA1007" s="2671">
        <v>112</v>
      </c>
    </row>
    <row r="1008" spans="1:27" s="652" customFormat="1" ht="13.2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6468</v>
      </c>
      <c r="AA1008" s="2671">
        <v>113</v>
      </c>
    </row>
    <row r="1009" spans="1:27" s="652" customFormat="1" ht="13.25" customHeight="1">
      <c r="A1009" s="652" t="s">
        <v>3840</v>
      </c>
      <c r="B1009" s="3035">
        <f>SUM(B1004:B1008)</f>
        <v>775690.21034829831</v>
      </c>
      <c r="C1009" s="3035">
        <f t="shared" ref="C1009" si="441">SUM(C1004:C1008)</f>
        <v>791204.01455526415</v>
      </c>
      <c r="D1009" s="3035">
        <f t="shared" ref="D1009" si="442">SUM(D1004:D1008)</f>
        <v>807028.09484636947</v>
      </c>
      <c r="E1009" s="3035">
        <f t="shared" ref="E1009" si="443">SUM(E1004:E1008)</f>
        <v>823168.656743297</v>
      </c>
      <c r="F1009" s="3035">
        <f t="shared" ref="F1009" si="444">SUM(F1004:F1008)</f>
        <v>839632.0298781629</v>
      </c>
      <c r="G1009" s="3035"/>
      <c r="H1009" s="3035"/>
      <c r="I1009" s="3035"/>
      <c r="J1009" s="3035"/>
      <c r="K1009" s="3035"/>
      <c r="N1009" s="2846"/>
      <c r="O1009" s="2846"/>
      <c r="Z1009" s="2751" t="s">
        <v>6468</v>
      </c>
      <c r="AA1009" s="2671">
        <v>114</v>
      </c>
    </row>
    <row r="1010" spans="1:27" s="652" customFormat="1" ht="13.25" customHeight="1">
      <c r="A1010" s="652" t="s">
        <v>572</v>
      </c>
      <c r="B1010" s="3035">
        <f>'Part VI-Pro Forma'!B115</f>
        <v>-627061.41406960774</v>
      </c>
      <c r="C1010" s="3035">
        <f>'Part VI-Pro Forma'!C115</f>
        <v>-645873.25649169611</v>
      </c>
      <c r="D1010" s="3035">
        <f>'Part VI-Pro Forma'!D115</f>
        <v>-665249.45418644685</v>
      </c>
      <c r="E1010" s="3035">
        <f>'Part VI-Pro Forma'!E115</f>
        <v>-685206.93781204021</v>
      </c>
      <c r="F1010" s="3035">
        <f>'Part VI-Pro Forma'!F115</f>
        <v>-705763.14594640129</v>
      </c>
      <c r="G1010" s="3035"/>
      <c r="H1010" s="3035"/>
      <c r="I1010" s="3035"/>
      <c r="J1010" s="3035"/>
      <c r="K1010" s="3035"/>
      <c r="N1010" s="2846"/>
      <c r="O1010" s="2846"/>
      <c r="Z1010" s="2751" t="s">
        <v>6468</v>
      </c>
      <c r="AA1010" s="2671">
        <v>115</v>
      </c>
    </row>
    <row r="1011" spans="1:27" s="652" customFormat="1" ht="13.25" customHeight="1">
      <c r="A1011" s="652" t="s">
        <v>1051</v>
      </c>
      <c r="B1011" s="3035">
        <f>'Part VI-Pro Forma'!B116</f>
        <v>-46541</v>
      </c>
      <c r="C1011" s="3035">
        <f>'Part VI-Pro Forma'!C116</f>
        <v>-47472</v>
      </c>
      <c r="D1011" s="3035">
        <f>'Part VI-Pro Forma'!D116</f>
        <v>-48422</v>
      </c>
      <c r="E1011" s="3035">
        <f>'Part VI-Pro Forma'!E116</f>
        <v>-49390</v>
      </c>
      <c r="F1011" s="3035">
        <f>'Part VI-Pro Forma'!F116</f>
        <v>-50378</v>
      </c>
      <c r="G1011" s="3035"/>
      <c r="H1011" s="3035"/>
      <c r="I1011" s="3035"/>
      <c r="J1011" s="3035"/>
      <c r="K1011" s="3035"/>
      <c r="N1011" s="2846"/>
      <c r="O1011" s="2846"/>
      <c r="Z1011" s="2751" t="s">
        <v>6468</v>
      </c>
      <c r="AA1011" s="2671">
        <v>116</v>
      </c>
    </row>
    <row r="1012" spans="1:27" s="652" customFormat="1" ht="13.25" customHeight="1">
      <c r="A1012" s="652" t="s">
        <v>1129</v>
      </c>
      <c r="B1012" s="3035">
        <f>'Part VI-Pro Forma'!B117</f>
        <v>-31554.412125465569</v>
      </c>
      <c r="C1012" s="3035">
        <f>'Part VI-Pro Forma'!C117</f>
        <v>-32501.044489229542</v>
      </c>
      <c r="D1012" s="3035">
        <f>'Part VI-Pro Forma'!D117</f>
        <v>-33476.075823906423</v>
      </c>
      <c r="E1012" s="3035">
        <f>'Part VI-Pro Forma'!E117</f>
        <v>-34480.358098623612</v>
      </c>
      <c r="F1012" s="3035">
        <f>'Part VI-Pro Forma'!F117</f>
        <v>-35514.768841582314</v>
      </c>
      <c r="G1012" s="3035"/>
      <c r="H1012" s="3035"/>
      <c r="I1012" s="3035"/>
      <c r="J1012" s="3035"/>
      <c r="K1012" s="3035"/>
      <c r="N1012" s="2846"/>
      <c r="O1012" s="2846"/>
      <c r="Q1012" s="2671">
        <v>10</v>
      </c>
      <c r="R1012" s="2948">
        <f>-SUM(B1018:K1018)</f>
        <v>0</v>
      </c>
      <c r="S1012" s="2948">
        <f>SUM(B1019:K1019)+R1012</f>
        <v>0</v>
      </c>
      <c r="Z1012" s="2751" t="s">
        <v>6468</v>
      </c>
      <c r="AA1012" s="2857">
        <v>117</v>
      </c>
    </row>
    <row r="1013" spans="1:27" s="652" customFormat="1" ht="13.25" customHeight="1">
      <c r="A1013" s="652" t="s">
        <v>3839</v>
      </c>
      <c r="B1013" s="3036">
        <f>'Part VI-Pro Forma'!B118</f>
        <v>-10</v>
      </c>
      <c r="C1013" s="3036">
        <f>'Part VI-Pro Forma'!C118</f>
        <v>-10</v>
      </c>
      <c r="D1013" s="3036">
        <f>'Part VI-Pro Forma'!D118</f>
        <v>-10</v>
      </c>
      <c r="E1013" s="3036">
        <f>'Part VI-Pro Forma'!E118</f>
        <v>-10</v>
      </c>
      <c r="F1013" s="3036">
        <f>'Part VI-Pro Forma'!F118</f>
        <v>-10</v>
      </c>
      <c r="G1013" s="3035"/>
      <c r="H1013" s="3035"/>
      <c r="I1013" s="3035"/>
      <c r="J1013" s="3035"/>
      <c r="K1013" s="3035"/>
      <c r="N1013" s="2846"/>
      <c r="O1013" s="2846"/>
      <c r="Z1013" s="2751" t="s">
        <v>6468</v>
      </c>
      <c r="AA1013" s="2671">
        <v>118</v>
      </c>
    </row>
    <row r="1014" spans="1:27" s="652" customFormat="1" ht="13.25" customHeight="1">
      <c r="A1014" s="652" t="s">
        <v>1130</v>
      </c>
      <c r="B1014" s="3035">
        <f>SUM(B1009:B1013)</f>
        <v>70523.384153224993</v>
      </c>
      <c r="C1014" s="3035">
        <f t="shared" ref="C1014" si="445">SUM(C1009:C1013)</f>
        <v>65347.713574338493</v>
      </c>
      <c r="D1014" s="3035">
        <f t="shared" ref="D1014" si="446">SUM(D1009:D1013)</f>
        <v>59870.564836016194</v>
      </c>
      <c r="E1014" s="3035">
        <f t="shared" ref="E1014" si="447">SUM(E1009:E1013)</f>
        <v>54081.360832633181</v>
      </c>
      <c r="F1014" s="3035">
        <f t="shared" ref="F1014" si="448">SUM(F1009:F1013)</f>
        <v>47966.115090179293</v>
      </c>
      <c r="G1014" s="3035"/>
      <c r="H1014" s="3035"/>
      <c r="I1014" s="3035"/>
      <c r="J1014" s="3035"/>
      <c r="K1014" s="3035"/>
      <c r="N1014" s="2846"/>
      <c r="O1014" s="2846"/>
      <c r="Z1014" s="2751" t="s">
        <v>6468</v>
      </c>
      <c r="AA1014" s="2671">
        <v>119</v>
      </c>
    </row>
    <row r="1015" spans="1:27" s="652" customFormat="1" ht="13.25" customHeight="1">
      <c r="A1015" s="652" t="str">
        <f>$A985</f>
        <v>Mortgage A</v>
      </c>
      <c r="B1015" s="3036">
        <f>'Part VI-Pro Forma'!B120</f>
        <v>-100119.57492128546</v>
      </c>
      <c r="C1015" s="3036">
        <f>'Part VI-Pro Forma'!C120</f>
        <v>-100119.57492128546</v>
      </c>
      <c r="D1015" s="3036">
        <f>'Part VI-Pro Forma'!D120</f>
        <v>-100119.57492128546</v>
      </c>
      <c r="E1015" s="3036">
        <f>'Part VI-Pro Forma'!E120</f>
        <v>-100119.57492128546</v>
      </c>
      <c r="F1015" s="3036">
        <f>'Part VI-Pro Forma'!F120</f>
        <v>-100119.57492128546</v>
      </c>
      <c r="G1015" s="3035"/>
      <c r="H1015" s="3035"/>
      <c r="I1015" s="3035"/>
      <c r="J1015" s="3035"/>
      <c r="K1015" s="3035"/>
      <c r="N1015" s="2846"/>
      <c r="O1015" s="2846"/>
      <c r="Z1015" s="2751" t="s">
        <v>6468</v>
      </c>
      <c r="AA1015" s="2671">
        <v>120</v>
      </c>
    </row>
    <row r="1016" spans="1:27" s="652" customFormat="1" ht="13.2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6468</v>
      </c>
      <c r="AA1016" s="2671">
        <v>121</v>
      </c>
    </row>
    <row r="1017" spans="1:27" s="652" customFormat="1" ht="13.2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6468</v>
      </c>
      <c r="AA1017" s="2857">
        <v>122</v>
      </c>
    </row>
    <row r="1018" spans="1:27" s="652" customFormat="1" ht="13.2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6468</v>
      </c>
      <c r="AA1018" s="2671">
        <v>123</v>
      </c>
    </row>
    <row r="1019" spans="1:27" s="652" customFormat="1" ht="13.2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6468</v>
      </c>
      <c r="AA1019" s="2671">
        <v>124</v>
      </c>
    </row>
    <row r="1020" spans="1:27" s="652" customFormat="1" ht="13.25" customHeight="1">
      <c r="A1020" s="652" t="s">
        <v>1096</v>
      </c>
      <c r="B1020" s="3036">
        <f>'Part VI-Pro Forma'!B125</f>
        <v>-5000</v>
      </c>
      <c r="C1020" s="3036">
        <f>'Part VI-Pro Forma'!C125</f>
        <v>-5000</v>
      </c>
      <c r="D1020" s="3036">
        <f>'Part VI-Pro Forma'!D125</f>
        <v>-5000</v>
      </c>
      <c r="E1020" s="3036">
        <f>'Part VI-Pro Forma'!E125</f>
        <v>-5000</v>
      </c>
      <c r="F1020" s="3036">
        <f>'Part VI-Pro Forma'!F125</f>
        <v>-5000</v>
      </c>
      <c r="G1020" s="3035"/>
      <c r="H1020" s="3035"/>
      <c r="I1020" s="3035"/>
      <c r="J1020" s="3035"/>
      <c r="K1020" s="3035"/>
      <c r="N1020" s="2846"/>
      <c r="O1020" s="2846"/>
      <c r="Z1020" s="2751" t="s">
        <v>6468</v>
      </c>
      <c r="AA1020" s="2671">
        <v>125</v>
      </c>
    </row>
    <row r="1021" spans="1:27" s="652" customFormat="1" ht="13.25" customHeight="1">
      <c r="A1021" s="652" t="s">
        <v>1097</v>
      </c>
      <c r="B1021" s="3035">
        <f t="shared" ref="B1021:F1021" si="449">SUM(B1014:B1020)</f>
        <v>-34596.190768060464</v>
      </c>
      <c r="C1021" s="3035">
        <f t="shared" si="449"/>
        <v>-39771.861346946964</v>
      </c>
      <c r="D1021" s="3035">
        <f t="shared" si="449"/>
        <v>-45249.010085269263</v>
      </c>
      <c r="E1021" s="3035">
        <f t="shared" si="449"/>
        <v>-51038.214088652276</v>
      </c>
      <c r="F1021" s="3035">
        <f t="shared" si="449"/>
        <v>-57153.459831106164</v>
      </c>
      <c r="G1021" s="3035"/>
      <c r="H1021" s="3035"/>
      <c r="I1021" s="3035"/>
      <c r="J1021" s="3035"/>
      <c r="K1021" s="3035"/>
      <c r="N1021" s="2846"/>
      <c r="O1021" s="2846"/>
      <c r="Z1021" s="2751" t="s">
        <v>6468</v>
      </c>
      <c r="AA1021" s="2671">
        <v>126</v>
      </c>
    </row>
    <row r="1022" spans="1:27" s="652" customFormat="1" ht="13.25" customHeight="1">
      <c r="A1022" s="652" t="str">
        <f>$A992</f>
        <v>DCR Mortgage A</v>
      </c>
      <c r="B1022" s="3037">
        <f t="shared" ref="B1022:F1022" si="450">IF(B1015=0,"",-B1014/B1015)</f>
        <v>0.70439156587181728</v>
      </c>
      <c r="C1022" s="3037">
        <f t="shared" si="450"/>
        <v>0.65269667420896682</v>
      </c>
      <c r="D1022" s="3037">
        <f t="shared" si="450"/>
        <v>0.59799060156904138</v>
      </c>
      <c r="E1022" s="3037">
        <f t="shared" si="450"/>
        <v>0.54016770322039653</v>
      </c>
      <c r="F1022" s="3037">
        <f t="shared" si="450"/>
        <v>0.47908828146634169</v>
      </c>
      <c r="G1022" s="3035"/>
      <c r="H1022" s="3035"/>
      <c r="I1022" s="3035"/>
      <c r="J1022" s="3035"/>
      <c r="K1022" s="3035"/>
      <c r="N1022" s="2846"/>
      <c r="O1022" s="2846"/>
      <c r="Z1022" s="2751" t="s">
        <v>6468</v>
      </c>
      <c r="AA1022" s="2671">
        <v>127</v>
      </c>
    </row>
    <row r="1023" spans="1:27" s="652" customFormat="1" ht="13.2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6468</v>
      </c>
      <c r="AA1023" s="2671">
        <v>128</v>
      </c>
    </row>
    <row r="1024" spans="1:27" s="652" customFormat="1" ht="13.2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6468</v>
      </c>
      <c r="AA1024" s="2671">
        <v>129</v>
      </c>
    </row>
    <row r="1025" spans="1:27" s="652" customFormat="1" ht="13.2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6468</v>
      </c>
      <c r="AA1025" s="2671">
        <v>130</v>
      </c>
    </row>
    <row r="1026" spans="1:27" s="652" customFormat="1" ht="13.25" customHeight="1">
      <c r="A1026" s="652" t="s">
        <v>3215</v>
      </c>
      <c r="B1026" s="3037">
        <f t="shared" ref="B1026:F1026" si="454">IF(AND(B1015=0,B1016=0,B1017=0,B1018=0),"",-B1014/(B1015+B1016+B1017+B1018))</f>
        <v>0.70439156587181728</v>
      </c>
      <c r="C1026" s="3037">
        <f t="shared" si="454"/>
        <v>0.65269667420896682</v>
      </c>
      <c r="D1026" s="3037">
        <f t="shared" si="454"/>
        <v>0.59799060156904138</v>
      </c>
      <c r="E1026" s="3037">
        <f t="shared" si="454"/>
        <v>0.54016770322039653</v>
      </c>
      <c r="F1026" s="3037">
        <f t="shared" si="454"/>
        <v>0.47908828146634169</v>
      </c>
      <c r="G1026" s="3035"/>
      <c r="H1026" s="3035"/>
      <c r="I1026" s="3035"/>
      <c r="J1026" s="3035"/>
      <c r="K1026" s="3035"/>
      <c r="N1026" s="2846"/>
      <c r="O1026" s="2846"/>
      <c r="Z1026" s="2751" t="s">
        <v>6468</v>
      </c>
      <c r="AA1026" s="2857">
        <v>131</v>
      </c>
    </row>
    <row r="1027" spans="1:27" s="652" customFormat="1" ht="13.25" customHeight="1">
      <c r="A1027" s="652" t="s">
        <v>718</v>
      </c>
      <c r="B1027" s="3038">
        <f>IF(OR(B1011="Choose mgt fee",B1011="Choose One!"),"",(B1004+B1005+B1006+B1007+B1008) / -(B1010+B1011+B1012))</f>
        <v>1.1000251029743457</v>
      </c>
      <c r="C1027" s="3038">
        <f t="shared" ref="C1027:F1027" si="455">IF(OR(C1011="Choose mgt fee",C1011="Choose One!"),"",(C1004+C1005+C1006+C1007+C1008) / -(C1010+C1011+C1012))</f>
        <v>1.0900434616612533</v>
      </c>
      <c r="D1027" s="3038">
        <f t="shared" si="455"/>
        <v>1.0801455702265206</v>
      </c>
      <c r="E1027" s="3038">
        <f t="shared" si="455"/>
        <v>1.07033280155356</v>
      </c>
      <c r="F1027" s="3038">
        <f t="shared" si="455"/>
        <v>1.0606022315932899</v>
      </c>
      <c r="G1027" s="3035"/>
      <c r="H1027" s="3035"/>
      <c r="I1027" s="3035"/>
      <c r="J1027" s="3035"/>
      <c r="K1027" s="3035"/>
      <c r="N1027" s="2846"/>
      <c r="O1027" s="2846"/>
      <c r="Z1027" s="2751" t="s">
        <v>6468</v>
      </c>
      <c r="AA1027" s="2671">
        <v>132</v>
      </c>
    </row>
    <row r="1028" spans="1:27" s="652" customFormat="1" ht="13.25" customHeight="1">
      <c r="A1028" s="652" t="s">
        <v>2406</v>
      </c>
      <c r="B1028" s="3036">
        <f>'Part VI-Pro Forma'!B133</f>
        <v>-103156.82083359598</v>
      </c>
      <c r="C1028" s="3036">
        <f>'Part VI-Pro Forma'!C133</f>
        <v>-213222.24500514491</v>
      </c>
      <c r="D1028" s="3036">
        <f>'Part VI-Pro Forma'!D133</f>
        <v>-330658.95447490795</v>
      </c>
      <c r="E1028" s="3036">
        <f>'Part VI-Pro Forma'!E133</f>
        <v>-455960.6178709456</v>
      </c>
      <c r="F1028" s="3036">
        <f>'Part VI-Pro Forma'!F133</f>
        <v>-589653.96572361514</v>
      </c>
      <c r="G1028" s="3035"/>
      <c r="H1028" s="3035"/>
      <c r="I1028" s="3035"/>
      <c r="J1028" s="3035"/>
      <c r="K1028" s="3035"/>
      <c r="N1028" s="2846"/>
      <c r="O1028" s="2846"/>
      <c r="Z1028" s="2751" t="s">
        <v>6468</v>
      </c>
      <c r="AA1028" s="2671">
        <v>133</v>
      </c>
    </row>
    <row r="1029" spans="1:27" s="652" customFormat="1" ht="13.2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6468</v>
      </c>
      <c r="AA1029" s="2671">
        <v>134</v>
      </c>
    </row>
    <row r="1030" spans="1:27" s="652" customFormat="1" ht="13.2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6468</v>
      </c>
      <c r="AA1030" s="2671">
        <v>135</v>
      </c>
    </row>
    <row r="1031" spans="1:27" s="652" customFormat="1" ht="13.2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6468</v>
      </c>
      <c r="AA1031" s="2671">
        <v>136</v>
      </c>
    </row>
    <row r="1032" spans="1:27" s="652" customFormat="1" ht="4.25"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6">
      <c r="A1035" s="2722" t="str">
        <f>'Part VI-Pro Forma'!A140</f>
        <v xml:space="preserve">"Debt service coverage ratio is at or above 1.20 through Year 15.  Deferred developer fee is shown repaid by year 15 as equal payments out of available cash flow.
Asset Management Fees:  $5,000/year for federal tax credit investor </v>
      </c>
      <c r="B1035" s="2722"/>
      <c r="C1035" s="2722"/>
      <c r="D1035" s="2722"/>
      <c r="E1035" s="2722"/>
      <c r="F1035" s="2722"/>
      <c r="G1035" s="2722"/>
      <c r="H1035" s="2722"/>
      <c r="I1035" s="2722"/>
      <c r="J1035" s="2722"/>
      <c r="K1035" s="2722"/>
      <c r="N1035" s="2678" t="s">
        <v>2453</v>
      </c>
      <c r="O1035" s="2678"/>
      <c r="Z1035" s="2904"/>
      <c r="AA1035" s="2671"/>
    </row>
    <row r="1039" spans="1:27" s="652" customFormat="1" ht="14" customHeight="1">
      <c r="A1039" s="2550" t="str">
        <f>CONCATENATE("PART SEVEN - THRESHOLD CRITERIA","  -  ",'Part I-Project Identification'!$O$7," ",'Part I-Project Identification'!$F$29,", ",'Part I-Project Identification'!F1068,", ",'Part I-Project Identification'!J1068," County")</f>
        <v>PART SEVEN - THRESHOLD CRITERIA  -  2022-0 Cave Spring Townhomes,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6536</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6535</v>
      </c>
      <c r="M1043" s="474" t="str">
        <f>'Part I-Project Identification'!$F$12</f>
        <v>9% Credit Competitive Round only</v>
      </c>
      <c r="N1043" s="2917"/>
      <c r="P1043" s="3011"/>
      <c r="Q1043" s="2925"/>
      <c r="R1043" s="3040"/>
      <c r="S1043" s="3040"/>
    </row>
    <row r="1044" spans="1:19" s="652" customFormat="1" ht="17.25" customHeight="1">
      <c r="A1044" s="3041" t="s">
        <v>6856</v>
      </c>
      <c r="I1044" s="474"/>
      <c r="J1044" s="474"/>
      <c r="K1044" s="2872" t="s">
        <v>6857</v>
      </c>
      <c r="L1044" s="2872"/>
      <c r="M1044" s="2872"/>
      <c r="N1044" s="2872"/>
      <c r="O1044" s="2872"/>
      <c r="P1044" s="3042"/>
      <c r="Q1044" s="3042"/>
      <c r="R1044" s="3040"/>
      <c r="S1044" s="3040"/>
    </row>
    <row r="1045" spans="1:19" s="652" customFormat="1" ht="12.5"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 customHeight="1">
      <c r="A1065" s="3045" t="s">
        <v>689</v>
      </c>
      <c r="B1065" s="2980" t="s">
        <v>6640</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6">
      <c r="A1068" s="3049" t="str">
        <f>'Part VII-Threshold Criteria'!A30</f>
        <v xml:space="preserve">The project team is fully experienced and received a qualification determination during the pre-application process. The project meets all QAP standards and is appropriately sourced. The Applicant has submitted an proposal which conforms to the 2022 QAP.   All costs for Development and Construction have been carefully underwritten by experienced estimators.  Federal ($0.89)and State ($0.59) Equity Pricing are competitive and worked out with experinced Investors and are appropriate for their yields.  Operating Costs have been proposed by the experienced Management Company, NWGHA, which has operated comparable properties at these expenses.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6858</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6647</v>
      </c>
      <c r="C1074" s="2550"/>
      <c r="D1074" s="2550"/>
      <c r="E1074" s="3052"/>
      <c r="F1074" s="3052"/>
      <c r="G1074" s="3054"/>
      <c r="H1074" s="3052"/>
      <c r="J1074" s="2698" t="str">
        <f>'Part VII-Threshold Criteria'!J36</f>
        <v>Family</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The proposed tenancy is for families.</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3791</v>
      </c>
      <c r="M1078" s="3057" t="s">
        <v>3792</v>
      </c>
      <c r="O1078" s="3047" t="s">
        <v>1731</v>
      </c>
      <c r="P1078" s="2135"/>
      <c r="Q1078" s="2135"/>
    </row>
    <row r="1079" spans="1:31" s="652" customFormat="1" ht="1.5" customHeight="1"/>
    <row r="1080" spans="1:31" s="652" customFormat="1" ht="12" customHeight="1">
      <c r="A1080" s="3058" t="s">
        <v>1842</v>
      </c>
      <c r="B1080" s="3053" t="s">
        <v>3786</v>
      </c>
      <c r="C1080" s="3053"/>
      <c r="D1080" s="3053"/>
      <c r="E1080" s="3053"/>
      <c r="F1080" s="3053"/>
      <c r="G1080" s="3053"/>
      <c r="H1080" s="3053"/>
      <c r="I1080" s="3053"/>
      <c r="J1080" s="3053"/>
      <c r="L1080" s="3059" t="s">
        <v>2582</v>
      </c>
      <c r="M1080" s="2860">
        <v>2</v>
      </c>
      <c r="N1080" s="3046" t="s">
        <v>4023</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3790</v>
      </c>
      <c r="M1081" s="3059">
        <v>4</v>
      </c>
      <c r="O1081" s="3053"/>
      <c r="P1081" s="3060"/>
      <c r="Q1081" s="3046"/>
    </row>
    <row r="1082" spans="1:31" s="652" customFormat="1" ht="12" customHeight="1">
      <c r="A1082" s="3058"/>
      <c r="D1082" s="3052"/>
      <c r="E1082" s="3052"/>
      <c r="F1082" s="3052"/>
      <c r="G1082" s="3052"/>
      <c r="H1082" s="3052"/>
      <c r="I1082" s="3052"/>
      <c r="J1082" s="3052"/>
      <c r="L1082" s="3061" t="s">
        <v>6165</v>
      </c>
      <c r="M1082" s="3059"/>
      <c r="O1082" s="3053"/>
      <c r="P1082" s="3062">
        <f>'Part VII-Threshold Criteria'!P44</f>
        <v>2</v>
      </c>
      <c r="Q1082" s="3063"/>
    </row>
    <row r="1083" spans="1:31" s="652" customFormat="1" ht="12" customHeight="1">
      <c r="A1083" s="3064" t="s">
        <v>1844</v>
      </c>
      <c r="B1083" s="3046" t="s">
        <v>3793</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3797</v>
      </c>
      <c r="D1084" s="3046"/>
      <c r="E1084" s="3046"/>
      <c r="F1084" s="3046"/>
      <c r="G1084" s="3046"/>
      <c r="H1084" s="3046"/>
      <c r="I1084" s="3046"/>
      <c r="J1084" s="3046"/>
      <c r="K1084" s="3053"/>
      <c r="L1084" s="3046"/>
      <c r="N1084" s="3046" t="s">
        <v>4024</v>
      </c>
      <c r="O1084" s="3065"/>
      <c r="P1084" s="3066" t="str">
        <f>'Part VII-Threshold Criteria'!P46</f>
        <v>Agree</v>
      </c>
      <c r="Q1084" s="2976"/>
    </row>
    <row r="1085" spans="1:31" s="652" customFormat="1" ht="12.75" customHeight="1">
      <c r="A1085" s="3064"/>
      <c r="B1085" s="3061" t="s">
        <v>1616</v>
      </c>
      <c r="C1085" s="3046" t="s">
        <v>3794</v>
      </c>
      <c r="D1085" s="3046"/>
      <c r="E1085" s="3046"/>
      <c r="F1085" s="3046"/>
      <c r="G1085" s="3046"/>
      <c r="H1085" s="3046"/>
      <c r="I1085" s="3046"/>
      <c r="J1085" s="3046"/>
      <c r="K1085" s="3053"/>
      <c r="L1085" s="3046"/>
      <c r="N1085" s="3046" t="s">
        <v>4025</v>
      </c>
      <c r="O1085" s="3065"/>
      <c r="P1085" s="3066" t="str">
        <f>'Part VII-Threshold Criteria'!P47</f>
        <v>Agree</v>
      </c>
      <c r="Q1085" s="2976"/>
    </row>
    <row r="1086" spans="1:31" s="652" customFormat="1" ht="12.75" customHeight="1">
      <c r="A1086" s="3058"/>
      <c r="B1086" s="3061" t="s">
        <v>1617</v>
      </c>
      <c r="C1086" s="3046" t="s">
        <v>3795</v>
      </c>
      <c r="E1086" s="3046"/>
      <c r="F1086" s="3046"/>
      <c r="G1086" s="3046"/>
      <c r="H1086" s="3046"/>
      <c r="I1086" s="3046"/>
      <c r="J1086" s="3046"/>
      <c r="K1086" s="3053"/>
      <c r="L1086" s="3046"/>
      <c r="M1086" s="3065"/>
      <c r="N1086" s="3046" t="s">
        <v>4026</v>
      </c>
      <c r="O1086" s="3065"/>
      <c r="P1086" s="3066" t="str">
        <f>'Part VII-Threshold Criteria'!P48</f>
        <v>Agree</v>
      </c>
      <c r="Q1086" s="2976"/>
    </row>
    <row r="1087" spans="1:31" s="652" customFormat="1" ht="12.75" customHeight="1">
      <c r="A1087" s="3067"/>
      <c r="B1087" s="3061" t="s">
        <v>2183</v>
      </c>
      <c r="C1087" s="3061" t="s">
        <v>3798</v>
      </c>
      <c r="D1087" s="3011"/>
      <c r="E1087" s="3011"/>
      <c r="F1087" s="3011"/>
      <c r="G1087" s="3011"/>
      <c r="H1087" s="3011"/>
      <c r="I1087" s="2550"/>
      <c r="J1087" s="2550"/>
      <c r="N1087" s="3046" t="s">
        <v>4027</v>
      </c>
      <c r="O1087" s="3065"/>
      <c r="P1087" s="3066" t="str">
        <f>'Part VII-Threshold Criteria'!P49</f>
        <v>N/Ap</v>
      </c>
      <c r="Q1087" s="2976"/>
    </row>
    <row r="1088" spans="1:31" s="652" customFormat="1" ht="12.75" customHeight="1">
      <c r="A1088" s="3067"/>
      <c r="B1088" s="3061"/>
      <c r="C1088" s="3046" t="s">
        <v>3799</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3796</v>
      </c>
      <c r="D1089" s="3053"/>
      <c r="E1089" s="3053"/>
      <c r="F1089" s="3053"/>
      <c r="G1089" s="3053"/>
      <c r="H1089" s="3053"/>
      <c r="I1089" s="3053"/>
      <c r="J1089" s="3053"/>
      <c r="K1089" s="3053"/>
      <c r="L1089" s="3053"/>
      <c r="M1089" s="3068"/>
      <c r="N1089" s="3046" t="s">
        <v>4028</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Applicant certifies that it will include in the property a minimum of 2 required services.</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 customHeight="1">
      <c r="A1094" s="2906" t="s">
        <v>1669</v>
      </c>
      <c r="B1094" s="2906" t="s">
        <v>4021</v>
      </c>
      <c r="C1094" s="2906"/>
      <c r="D1094" s="3052"/>
      <c r="E1094" s="3052"/>
      <c r="F1094" s="3052"/>
      <c r="G1094" s="3052"/>
      <c r="H1094" s="3069" t="str">
        <f>'Part I-Project Identification'!$K$32</f>
        <v>Rural</v>
      </c>
      <c r="J1094" s="2802" t="s">
        <v>6641</v>
      </c>
      <c r="K1094" s="2692" t="str">
        <f>'Part VIII Scoring Criteria'!$M$59</f>
        <v>Rural</v>
      </c>
      <c r="L1094" s="2802" t="s">
        <v>3823</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Bowen National Research</v>
      </c>
      <c r="N1096" s="2913"/>
      <c r="O1096" s="2913"/>
      <c r="P1096" s="2757"/>
      <c r="Q1096" s="2976"/>
    </row>
    <row r="1097" spans="1:31" s="652" customFormat="1" ht="12.75" customHeight="1">
      <c r="A1097" s="3064" t="s">
        <v>1844</v>
      </c>
      <c r="B1097" s="474" t="s">
        <v>3948</v>
      </c>
      <c r="D1097" s="3011"/>
      <c r="E1097" s="3011"/>
      <c r="F1097" s="3011"/>
      <c r="L1097" s="3064" t="s">
        <v>1844</v>
      </c>
      <c r="M1097" s="2913" t="str">
        <f>'Part VII-Threshold Criteria'!M59</f>
        <v>4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1</v>
      </c>
      <c r="N1098" s="3070"/>
      <c r="O1098" s="3070"/>
      <c r="P1098" s="3071"/>
      <c r="Q1098" s="2976"/>
    </row>
    <row r="1099" spans="1:31" s="652" customFormat="1" ht="12.75" customHeight="1">
      <c r="A1099" s="3064" t="s">
        <v>1963</v>
      </c>
      <c r="B1099" s="474" t="s">
        <v>3305</v>
      </c>
      <c r="D1099" s="3011"/>
      <c r="E1099" s="3011"/>
      <c r="F1099" s="3011"/>
      <c r="J1099" s="3064" t="s">
        <v>3306</v>
      </c>
      <c r="K1099" s="3072">
        <f>'Part VII-Threshold Criteria'!K61</f>
        <v>0.16900000000000001</v>
      </c>
      <c r="L1099" s="3073"/>
      <c r="N1099" s="3074"/>
      <c r="O1099" s="3075" t="s">
        <v>3391</v>
      </c>
      <c r="P1099" s="3072">
        <f>'Part VII-Threshold Criteria'!P61</f>
        <v>0</v>
      </c>
      <c r="Q1099" s="3073"/>
    </row>
    <row r="1100" spans="1:31" s="652" customFormat="1" ht="12.75" customHeight="1">
      <c r="A1100" s="3064" t="s">
        <v>1613</v>
      </c>
      <c r="B1100" s="474" t="s">
        <v>3949</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1999-049</v>
      </c>
      <c r="E1102" s="2913" t="str">
        <f>'Part VII-Threshold Criteria'!E64</f>
        <v>Spring Haven Apts</v>
      </c>
      <c r="F1102" s="2913"/>
      <c r="G1102" s="2913"/>
      <c r="H1102" s="3064" t="s">
        <v>2183</v>
      </c>
      <c r="I1102" s="3066" t="str">
        <f>'Part VII-Threshold Criteria'!I64</f>
        <v>2001-06</v>
      </c>
      <c r="J1102" s="2913" t="str">
        <f>'Part VII-Threshold Criteria'!J64</f>
        <v>Kirkwood Trails Apts</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2018-026</v>
      </c>
      <c r="E1103" s="2913" t="str">
        <f>'Part VII-Threshold Criteria'!E65</f>
        <v>Evergreen Village Apts</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1989-090</v>
      </c>
      <c r="E1104" s="2913" t="str">
        <f>'Part VII-Threshold Criteria'!E66</f>
        <v>Hummingbird Pointe Apts</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6108</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6109</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6110</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168">
      <c r="A1109" s="3049" t="str">
        <f>'Part VII-Threshold Criteria'!A71</f>
        <v>The property has RAD PBRA greater than 10 years on all LIHTC units. The excerpts above from the market study reflect extremely stong demand for these units for LIHTC.</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4029</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3838</v>
      </c>
      <c r="O1116" s="3064" t="s">
        <v>1616</v>
      </c>
      <c r="P1116" s="3066">
        <f>'Part VII-Threshold Criteria'!P78</f>
        <v>0</v>
      </c>
      <c r="Q1116" s="2976"/>
    </row>
    <row r="1117" spans="1:31" s="2550" customFormat="1" ht="12.75" customHeight="1">
      <c r="B1117" s="3061" t="s">
        <v>1617</v>
      </c>
      <c r="C1117" s="474" t="s">
        <v>4056</v>
      </c>
      <c r="O1117" s="3058" t="s">
        <v>1617</v>
      </c>
      <c r="P1117" s="3076">
        <f>'Part VII-Threshold Criteria'!P79</f>
        <v>0</v>
      </c>
      <c r="Q1117" s="3077"/>
    </row>
    <row r="1118" spans="1:31" s="652" customFormat="1" ht="12.75" customHeight="1">
      <c r="A1118" s="2976"/>
      <c r="B1118" s="3061" t="s">
        <v>2183</v>
      </c>
      <c r="C1118" s="2923" t="s">
        <v>3800</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3951</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3950</v>
      </c>
      <c r="C1123" s="474"/>
      <c r="E1123" s="474"/>
      <c r="F1123" s="474"/>
      <c r="G1123" s="474"/>
      <c r="H1123" s="474"/>
      <c r="I1123" s="474"/>
      <c r="J1123" s="474"/>
      <c r="K1123" s="474"/>
      <c r="L1123" s="474"/>
      <c r="M1123" s="474"/>
      <c r="O1123" s="3064" t="s">
        <v>1844</v>
      </c>
      <c r="P1123" s="3066">
        <f>'Part VII-Threshold Criteria'!P85</f>
        <v>0</v>
      </c>
      <c r="Q1123" s="2976"/>
    </row>
    <row r="1124" spans="1:31" s="652" customFormat="1" ht="12.75" customHeight="1">
      <c r="B1124" s="3061" t="s">
        <v>1615</v>
      </c>
      <c r="C1124" s="474" t="s">
        <v>4075</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4074</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60">
      <c r="A1127" s="3049" t="str">
        <f>'Part VII-Threshold Criteria'!A89</f>
        <v>Appraisal not needed. Land will be ground-leased for a 75-year term.</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 customHeight="1">
      <c r="A1130" s="2906" t="s">
        <v>720</v>
      </c>
      <c r="B1130" s="2906" t="s">
        <v>2425</v>
      </c>
      <c r="C1130" s="2923"/>
      <c r="D1130" s="3052"/>
      <c r="E1130" s="3052"/>
      <c r="F1130" s="3052"/>
      <c r="G1130" s="3052"/>
      <c r="H1130" s="3052"/>
      <c r="I1130" s="3052"/>
      <c r="J1130" s="3052"/>
      <c r="K1130" s="3052"/>
      <c r="L1130" s="3052"/>
      <c r="M1130" s="3052"/>
      <c r="N1130" s="2833" t="s">
        <v>6537</v>
      </c>
      <c r="O1130" s="3047" t="s">
        <v>1731</v>
      </c>
      <c r="P1130" s="2135"/>
      <c r="Q1130" s="2135"/>
      <c r="R1130" s="2833" t="s">
        <v>6524</v>
      </c>
    </row>
    <row r="1131" spans="1:31" s="652" customFormat="1" ht="6.5" customHeight="1"/>
    <row r="1132" spans="1:31" s="652" customFormat="1">
      <c r="A1132" s="3064" t="s">
        <v>1842</v>
      </c>
      <c r="B1132" s="474" t="s">
        <v>6190</v>
      </c>
      <c r="D1132" s="3011"/>
      <c r="E1132" s="3011"/>
      <c r="F1132" s="3011"/>
      <c r="G1132" s="3011"/>
      <c r="H1132" s="3011"/>
      <c r="I1132" s="2550"/>
      <c r="J1132" s="2550"/>
      <c r="K1132" s="3064" t="s">
        <v>1842</v>
      </c>
      <c r="L1132" s="3000" t="str">
        <f>'Part VII-Threshold Criteria'!L94</f>
        <v>Geotechnical &amp; Environmental Consultants, Inc.</v>
      </c>
      <c r="M1132" s="3000"/>
      <c r="N1132" s="3000"/>
      <c r="O1132" s="3000"/>
      <c r="P1132" s="3000"/>
      <c r="Q1132" s="2976"/>
    </row>
    <row r="1133" spans="1:31" s="652" customFormat="1" ht="12" customHeight="1">
      <c r="B1133" s="1024" t="s">
        <v>6631</v>
      </c>
      <c r="O1133" s="3064" t="s">
        <v>1616</v>
      </c>
      <c r="P1133" s="3066" t="str">
        <f>'Part VII-Threshold Criteria'!P95</f>
        <v>No</v>
      </c>
      <c r="Q1133" s="2976"/>
    </row>
    <row r="1134" spans="1:31" s="652" customFormat="1" ht="12" customHeight="1">
      <c r="B1134" s="1024" t="s">
        <v>6525</v>
      </c>
      <c r="I1134" s="1024" t="s">
        <v>6527</v>
      </c>
      <c r="K1134" s="3076">
        <f>'Part VII-Threshold Criteria'!K96</f>
        <v>44684</v>
      </c>
      <c r="L1134" s="3077"/>
      <c r="N1134" s="1024" t="s">
        <v>6526</v>
      </c>
      <c r="P1134" s="3076" t="str">
        <f>'Part VII-Threshold Criteria'!P96</f>
        <v>d</v>
      </c>
      <c r="Q1134" s="3077"/>
    </row>
    <row r="1135" spans="1:31" s="652" customFormat="1" ht="12" customHeight="1">
      <c r="A1135" s="3064" t="s">
        <v>1844</v>
      </c>
      <c r="B1135" s="474" t="s">
        <v>6638</v>
      </c>
      <c r="D1135" s="3011"/>
      <c r="E1135" s="3011"/>
      <c r="F1135" s="3011"/>
      <c r="G1135" s="3011"/>
      <c r="H1135" s="3011"/>
      <c r="I1135" s="2550"/>
      <c r="J1135" s="2550"/>
      <c r="K1135" s="3011"/>
      <c r="L1135" s="2963"/>
      <c r="O1135" s="3064" t="s">
        <v>1844</v>
      </c>
      <c r="P1135" s="3066" t="str">
        <f>'Part VII-Threshold Criteria'!P97</f>
        <v>Yes</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GEC</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65</v>
      </c>
      <c r="Q1138" s="2976"/>
    </row>
    <row r="1139" spans="1:17" s="652" customFormat="1" ht="12" customHeight="1">
      <c r="A1139" s="2950"/>
      <c r="B1139" s="2923" t="s">
        <v>1617</v>
      </c>
      <c r="C1139" s="474" t="s">
        <v>3787</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6624</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6625</v>
      </c>
      <c r="E1142" s="3080"/>
      <c r="F1142" s="3080"/>
      <c r="G1142" s="3080"/>
      <c r="H1142" s="2914"/>
      <c r="I1142" s="2914"/>
      <c r="J1142" s="2914"/>
      <c r="K1142" s="3080"/>
      <c r="L1142" s="3081"/>
      <c r="M1142" s="3081"/>
      <c r="O1142" s="3079" t="s">
        <v>1616</v>
      </c>
      <c r="P1142" s="3066" t="str">
        <f>'Part VII-Threshold Criteria'!P104</f>
        <v>Yes</v>
      </c>
      <c r="Q1142" s="2954"/>
    </row>
    <row r="1143" spans="1:17" ht="12" customHeight="1">
      <c r="A1143" s="3079"/>
      <c r="B1143" s="3082"/>
      <c r="C1143" s="2971" t="s">
        <v>6626</v>
      </c>
      <c r="E1143" s="3079" t="s">
        <v>2241</v>
      </c>
      <c r="F1143" s="2971" t="s">
        <v>6627</v>
      </c>
      <c r="G1143" s="2914"/>
      <c r="H1143" s="2971"/>
      <c r="I1143" s="2914"/>
      <c r="J1143" s="2914"/>
      <c r="K1143" s="3080"/>
      <c r="L1143" s="3081"/>
      <c r="M1143" s="3081"/>
      <c r="O1143" s="3079" t="s">
        <v>2241</v>
      </c>
      <c r="P1143" s="3083">
        <f>'Part VII-Threshold Criteria'!P105</f>
        <v>0.02</v>
      </c>
      <c r="Q1143" s="3084"/>
    </row>
    <row r="1144" spans="1:17" ht="12" customHeight="1">
      <c r="A1144" s="3079"/>
      <c r="B1144" s="3082"/>
      <c r="E1144" s="3079" t="s">
        <v>2242</v>
      </c>
      <c r="F1144" s="2971" t="s">
        <v>6628</v>
      </c>
      <c r="G1144" s="2914"/>
      <c r="H1144" s="2971"/>
      <c r="I1144" s="2914"/>
      <c r="J1144" s="2914"/>
      <c r="K1144" s="3080"/>
      <c r="L1144" s="3081"/>
      <c r="M1144" s="3081"/>
      <c r="O1144" s="3079" t="s">
        <v>2242</v>
      </c>
      <c r="P1144" s="3066" t="str">
        <f>'Part VII-Threshold Criteria'!P106</f>
        <v>No</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6626</v>
      </c>
      <c r="E1146" s="3079" t="s">
        <v>2241</v>
      </c>
      <c r="F1146" s="2971" t="s">
        <v>6629</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6630</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3860</v>
      </c>
      <c r="I1149" s="474" t="s">
        <v>2502</v>
      </c>
      <c r="J1149" s="3066" t="str">
        <f>'Part VII-Threshold Criteria'!J111</f>
        <v>No</v>
      </c>
      <c r="K1149" s="2976"/>
      <c r="L1149" s="3064" t="s">
        <v>3864</v>
      </c>
      <c r="M1149" s="3046" t="s">
        <v>6195</v>
      </c>
      <c r="P1149" s="3066" t="str">
        <f>'Part VII-Threshold Criteria'!P111</f>
        <v>No</v>
      </c>
      <c r="Q1149" s="2976"/>
    </row>
    <row r="1150" spans="1:17" s="652" customFormat="1" ht="12.75" customHeight="1">
      <c r="B1150" s="2923" t="s">
        <v>1616</v>
      </c>
      <c r="C1150" s="474" t="s">
        <v>6191</v>
      </c>
      <c r="E1150" s="3011"/>
      <c r="F1150" s="3066" t="str">
        <f>'Part VII-Threshold Criteria'!F112</f>
        <v>No</v>
      </c>
      <c r="G1150" s="2976"/>
      <c r="H1150" s="3064" t="s">
        <v>3861</v>
      </c>
      <c r="I1150" s="474" t="s">
        <v>6111</v>
      </c>
      <c r="J1150" s="3066" t="str">
        <f>'Part VII-Threshold Criteria'!J112</f>
        <v>Yes</v>
      </c>
      <c r="K1150" s="2976"/>
      <c r="L1150" s="3064" t="s">
        <v>3865</v>
      </c>
      <c r="M1150" s="1024" t="s">
        <v>3283</v>
      </c>
      <c r="O1150" s="2963"/>
      <c r="P1150" s="3066" t="str">
        <f>'Part VII-Threshold Criteria'!P112</f>
        <v>No</v>
      </c>
      <c r="Q1150" s="2976"/>
    </row>
    <row r="1151" spans="1:17" s="652" customFormat="1" ht="12" customHeight="1">
      <c r="A1151" s="474"/>
      <c r="B1151" s="2923" t="s">
        <v>1617</v>
      </c>
      <c r="C1151" s="474" t="s">
        <v>6192</v>
      </c>
      <c r="E1151" s="3011"/>
      <c r="F1151" s="3066" t="str">
        <f>'Part VII-Threshold Criteria'!F113</f>
        <v>No</v>
      </c>
      <c r="G1151" s="2976"/>
      <c r="H1151" s="3064" t="s">
        <v>3862</v>
      </c>
      <c r="I1151" s="474" t="s">
        <v>6112</v>
      </c>
      <c r="J1151" s="3066" t="str">
        <f>'Part VII-Threshold Criteria'!J113</f>
        <v>Yes</v>
      </c>
      <c r="K1151" s="2976"/>
      <c r="L1151" s="3064" t="s">
        <v>3866</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3863</v>
      </c>
      <c r="I1152" s="1024" t="s">
        <v>6193</v>
      </c>
      <c r="J1152" s="3066" t="str">
        <f>'Part VII-Threshold Criteria'!J114</f>
        <v>Yes</v>
      </c>
      <c r="K1152" s="2976"/>
      <c r="L1152" s="3064" t="s">
        <v>6194</v>
      </c>
      <c r="M1152" s="1024" t="s">
        <v>6113</v>
      </c>
      <c r="P1152" s="3066" t="str">
        <f>'Part VII-Threshold Criteria'!P114</f>
        <v>No</v>
      </c>
      <c r="Q1152" s="2976"/>
    </row>
    <row r="1153" spans="1:31" s="652" customFormat="1" ht="12" customHeight="1">
      <c r="A1153" s="474"/>
      <c r="B1153" s="3064" t="s">
        <v>6528</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6632</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3848</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3952</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6859</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108">
      <c r="A1163" s="3049" t="str">
        <f>'Part VII-Threshold Criteria'!A125</f>
        <v>Phase 1 and 2 have been included. We plan to remediate during demolition for any hazardous materials.</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 customHeight="1">
      <c r="A1168" s="2906" t="s">
        <v>280</v>
      </c>
      <c r="B1168" s="2906" t="s">
        <v>2426</v>
      </c>
      <c r="C1168" s="2906"/>
      <c r="D1168" s="3052"/>
      <c r="E1168" s="3052"/>
      <c r="F1168" s="3052"/>
      <c r="G1168" s="3052"/>
      <c r="H1168" s="3052"/>
      <c r="I1168" s="3052"/>
      <c r="J1168" s="3052"/>
      <c r="K1168" s="3052"/>
      <c r="N1168" s="2833" t="s">
        <v>6537</v>
      </c>
      <c r="O1168" s="3047" t="s">
        <v>1731</v>
      </c>
      <c r="P1168" s="2135"/>
      <c r="Q1168" s="2135"/>
      <c r="R1168" s="2833" t="s">
        <v>6524</v>
      </c>
    </row>
    <row r="1169" spans="1:31" s="652" customFormat="1" ht="12" customHeight="1">
      <c r="A1169" s="3064" t="s">
        <v>1842</v>
      </c>
      <c r="B1169" s="2923" t="s">
        <v>1615</v>
      </c>
      <c r="C1169" s="474" t="s">
        <v>6805</v>
      </c>
      <c r="D1169" s="474"/>
      <c r="E1169" s="474"/>
      <c r="F1169" s="474"/>
      <c r="G1169" s="474"/>
      <c r="K1169" s="474" t="s">
        <v>2461</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6806</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Ground lease/Option:</v>
      </c>
      <c r="H1171" s="474" t="str">
        <f>IF(M1171="Ground lease/Option","Annual Pymt:","")</f>
        <v>Annual Pymt:</v>
      </c>
      <c r="I1171" s="3021">
        <f>IF(M1171="Ground lease/Option",'Part V-Revenues &amp; Expenses'!$K$251,"")</f>
        <v>10</v>
      </c>
      <c r="J1171" s="3064" t="str">
        <f>IF(M1171="Ground lease/Option","Term:","")</f>
        <v>Term:</v>
      </c>
      <c r="K1171" s="2923">
        <f>IF(M1171="Ground lease/Option",'Part V-Revenues &amp; Expenses'!$N$251,"")</f>
        <v>75</v>
      </c>
      <c r="L1171" s="3064" t="s">
        <v>1844</v>
      </c>
      <c r="M1171" s="3087" t="str">
        <f>'Part VII-Threshold Criteria'!M133</f>
        <v>Ground lease/Option</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Cave Spring NWGHA 2022, LP</v>
      </c>
      <c r="L1172" s="2913"/>
      <c r="M1172" s="2913"/>
      <c r="N1172" s="2913"/>
      <c r="O1172" s="2913"/>
      <c r="P1172" s="2913"/>
      <c r="Q1172" s="2976"/>
    </row>
    <row r="1173" spans="1:31" s="652" customFormat="1" ht="21.75" customHeight="1">
      <c r="A1173" s="3058" t="s">
        <v>1963</v>
      </c>
      <c r="B1173" s="3053" t="s">
        <v>6196</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5" customHeight="1">
      <c r="A1175" s="3049" t="str">
        <f>'Part VII-Threshold Criteria'!A137</f>
        <v>An executed Option Agreement for a 75-year ground lease is included in the Site Control folder.</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3234</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3801</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3235</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3834</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5" customHeight="1">
      <c r="A1185" s="3049" t="str">
        <f>'Part VII-Threshold Criteria'!A147</f>
        <v>Site is accessible by paved roads. There are city streets connected to all entrances and sidewalks.</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 customHeight="1">
      <c r="A1189" s="2926" t="s">
        <v>342</v>
      </c>
      <c r="B1189" s="2550" t="s">
        <v>2428</v>
      </c>
      <c r="C1189" s="2550"/>
      <c r="D1189" s="2550"/>
      <c r="E1189" s="2833"/>
      <c r="N1189" s="2833" t="s">
        <v>6537</v>
      </c>
      <c r="O1189" s="3047" t="s">
        <v>1731</v>
      </c>
      <c r="P1189" s="2135"/>
      <c r="Q1189" s="2135"/>
      <c r="R1189" s="2833" t="s">
        <v>6524</v>
      </c>
    </row>
    <row r="1190" spans="1:44" s="652" customFormat="1" ht="11.5" customHeight="1">
      <c r="B1190" s="1024" t="s">
        <v>6662</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6114</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3836</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6860</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3236</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3307</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5" customHeight="1">
      <c r="A1203" s="3049" t="str">
        <f>'Part VII-Threshold Criteria'!A165</f>
        <v>Zoning for the two sites are appropriate for multifamily housing.</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 customHeight="1">
      <c r="A1207" s="2906" t="s">
        <v>343</v>
      </c>
      <c r="B1207" s="2906" t="s">
        <v>2429</v>
      </c>
      <c r="C1207" s="2906"/>
      <c r="D1207" s="3052"/>
      <c r="E1207" s="3090"/>
      <c r="F1207" s="2833"/>
      <c r="G1207" s="3052"/>
      <c r="J1207" s="3053"/>
      <c r="K1207" s="3053"/>
      <c r="L1207" s="3053"/>
      <c r="M1207" s="3053"/>
      <c r="N1207" s="2833" t="s">
        <v>6537</v>
      </c>
      <c r="O1207" s="3047" t="s">
        <v>1731</v>
      </c>
      <c r="P1207" s="2135"/>
      <c r="Q1207" s="2135"/>
      <c r="R1207" s="2833" t="s">
        <v>6524</v>
      </c>
    </row>
    <row r="1208" spans="1:44" s="652" customFormat="1" ht="12.75" customHeight="1">
      <c r="B1208" s="1024" t="s">
        <v>6662</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No</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There is no gas on the property. Georgia Power already supplies power to the existing site.</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25" customHeight="1">
      <c r="B1214" s="2976"/>
      <c r="C1214" s="3052"/>
      <c r="D1214" s="3052"/>
      <c r="E1214" s="3052"/>
      <c r="F1214" s="3052"/>
      <c r="G1214" s="3052"/>
      <c r="H1214" s="3052"/>
      <c r="I1214" s="3052"/>
      <c r="J1214" s="3052"/>
      <c r="K1214" s="3052"/>
      <c r="L1214" s="3052"/>
      <c r="M1214" s="3052"/>
      <c r="Q1214" s="2917"/>
    </row>
    <row r="1215" spans="1:44" s="652" customFormat="1" ht="14" customHeight="1">
      <c r="A1215" s="2906" t="s">
        <v>344</v>
      </c>
      <c r="B1215" s="2550" t="s">
        <v>2430</v>
      </c>
      <c r="C1215" s="2550"/>
      <c r="D1215" s="474"/>
      <c r="E1215" s="474"/>
      <c r="F1215" s="474"/>
      <c r="G1215" s="3052"/>
      <c r="H1215" s="3052"/>
      <c r="I1215" s="3091"/>
      <c r="J1215" s="3052"/>
      <c r="K1215" s="3052"/>
      <c r="L1215" s="3052"/>
      <c r="M1215" s="3052"/>
      <c r="N1215" s="2833" t="s">
        <v>6537</v>
      </c>
      <c r="O1215" s="3047" t="s">
        <v>1731</v>
      </c>
      <c r="P1215" s="2135"/>
      <c r="Q1215" s="2135"/>
      <c r="R1215" s="2833" t="s">
        <v>6524</v>
      </c>
    </row>
    <row r="1216" spans="1:44" s="652" customFormat="1" ht="12.75" customHeight="1">
      <c r="B1216" s="1024" t="s">
        <v>6662</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Cave Spring</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Cave Spring</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6861</v>
      </c>
      <c r="E1219" s="474"/>
      <c r="F1219" s="474"/>
      <c r="G1219" s="474"/>
      <c r="H1219" s="474"/>
      <c r="I1219" s="474"/>
      <c r="J1219" s="474"/>
      <c r="K1219" s="2550"/>
      <c r="L1219" s="474"/>
      <c r="M1219" s="474"/>
      <c r="O1219" s="3058" t="s">
        <v>6507</v>
      </c>
      <c r="P1219" s="3066" t="str">
        <f>'Part VII-Threshold Criteria'!P181</f>
        <v>Yes</v>
      </c>
      <c r="Q1219" s="2976"/>
    </row>
    <row r="1220" spans="1:44" s="652" customFormat="1" ht="12.75" customHeight="1">
      <c r="A1220" s="3064"/>
      <c r="B1220" s="2923" t="s">
        <v>1616</v>
      </c>
      <c r="C1220" s="474" t="s">
        <v>6862</v>
      </c>
      <c r="D1220" s="474"/>
      <c r="E1220" s="474"/>
      <c r="F1220" s="474"/>
      <c r="G1220" s="474"/>
      <c r="H1220" s="474"/>
      <c r="I1220" s="474"/>
      <c r="J1220" s="474"/>
      <c r="K1220" s="2550"/>
      <c r="L1220" s="474"/>
      <c r="M1220" s="474"/>
      <c r="O1220" s="3058" t="s">
        <v>1616</v>
      </c>
      <c r="P1220" s="3066" t="str">
        <f>'Part VII-Threshold Criteria'!P182</f>
        <v>Yes</v>
      </c>
      <c r="Q1220" s="2976"/>
    </row>
    <row r="1221" spans="1:44" s="652" customFormat="1" ht="12.75" customHeight="1">
      <c r="A1221" s="3064" t="s">
        <v>698</v>
      </c>
      <c r="B1221" s="474" t="s">
        <v>6531</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City of Cave Spring Water and Sewer already services the two sites.</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6863</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6723</v>
      </c>
      <c r="E1231" s="2923"/>
      <c r="F1231" s="2923"/>
      <c r="G1231" s="2923"/>
      <c r="H1231" s="2923"/>
      <c r="I1231" s="2550"/>
      <c r="J1231" s="3064" t="s">
        <v>1393</v>
      </c>
      <c r="K1231" s="2913" t="str">
        <f>'Part VII-Threshold Criteria'!K193</f>
        <v>Gazebo</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3788</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6864</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6775</v>
      </c>
      <c r="D1235" s="474"/>
      <c r="E1235" s="474"/>
      <c r="F1235" s="474"/>
      <c r="G1235" s="474"/>
      <c r="H1235" s="474"/>
      <c r="I1235" s="474"/>
      <c r="J1235" s="474"/>
      <c r="K1235" s="2550"/>
      <c r="L1235" s="2550"/>
      <c r="M1235" s="2550"/>
      <c r="N1235" s="3064" t="s">
        <v>3154</v>
      </c>
      <c r="O1235" s="3092">
        <f>'Part V-Revenues &amp; Expenses'!$P$67</f>
        <v>52</v>
      </c>
      <c r="P1235" s="3006" t="s">
        <v>3857</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3858</v>
      </c>
      <c r="D1236" s="474"/>
      <c r="E1236" s="474"/>
      <c r="F1236" s="474"/>
      <c r="H1236" s="3064" t="s">
        <v>3859</v>
      </c>
      <c r="I1236" s="474" t="s">
        <v>6865</v>
      </c>
      <c r="M1236" s="2550"/>
      <c r="N1236" s="2550"/>
      <c r="O1236" s="2822"/>
      <c r="P1236" s="2936" t="s">
        <v>721</v>
      </c>
      <c r="Q1236" s="2936" t="s">
        <v>3856</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Equipped playground</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 xml:space="preserve">Covered pavilion with picnic/BBQ facilities </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3867</v>
      </c>
      <c r="C1240" s="3060" t="str">
        <f>'Part VII-Threshold Criteria'!C202</f>
        <v>(Select an amenity from options provided here)</v>
      </c>
      <c r="D1240" s="3049"/>
      <c r="E1240" s="3049"/>
      <c r="F1240" s="3049"/>
      <c r="G1240" s="3049"/>
      <c r="H1240" s="3064" t="s">
        <v>3867</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6115</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6750</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6099</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3802</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 amenities for Cave Spring Townhomes were selected for family tenancy.</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 customHeight="1">
      <c r="A1255" s="2906" t="s">
        <v>2497</v>
      </c>
      <c r="B1255" s="2906" t="s">
        <v>6116</v>
      </c>
      <c r="C1255" s="2923"/>
      <c r="D1255" s="3052"/>
      <c r="E1255" s="3052"/>
      <c r="F1255" s="3052"/>
      <c r="G1255" s="3052"/>
      <c r="H1255" s="3052"/>
      <c r="I1255" s="3052"/>
      <c r="J1255" s="3052"/>
      <c r="K1255" s="3064" t="s">
        <v>6745</v>
      </c>
      <c r="L1255" s="3069" t="str">
        <f>'Part I-Project Identification'!$P$29</f>
        <v>No</v>
      </c>
      <c r="M1255" s="3052"/>
      <c r="O1255" s="3047" t="s">
        <v>1731</v>
      </c>
      <c r="P1255" s="2135"/>
      <c r="Q1255" s="2135"/>
    </row>
    <row r="1256" spans="1:44" s="652" customFormat="1" ht="11.25" customHeight="1">
      <c r="A1256" s="3058" t="s">
        <v>1842</v>
      </c>
      <c r="B1256" s="3046" t="s">
        <v>6119</v>
      </c>
    </row>
    <row r="1257" spans="1:44" s="652" customFormat="1" ht="10.5" customHeight="1">
      <c r="A1257" s="3058"/>
      <c r="B1257" s="474" t="s">
        <v>6121</v>
      </c>
      <c r="C1257" s="2550"/>
      <c r="D1257" s="2550"/>
      <c r="E1257" s="2550"/>
      <c r="F1257" s="2550"/>
      <c r="G1257" s="2550"/>
      <c r="H1257" s="2550"/>
      <c r="I1257" s="2550"/>
      <c r="J1257" s="3096" t="s">
        <v>6120</v>
      </c>
      <c r="K1257" s="474" t="s">
        <v>6121</v>
      </c>
      <c r="L1257" s="2550"/>
      <c r="M1257" s="2550"/>
      <c r="N1257" s="2550"/>
      <c r="O1257" s="2550"/>
      <c r="P1257" s="2550"/>
      <c r="Q1257" s="3096" t="s">
        <v>6120</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6122</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6118</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6117</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N/A</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 customHeight="1">
      <c r="A1274" s="2906" t="s">
        <v>2081</v>
      </c>
      <c r="B1274" s="2550" t="s">
        <v>3953</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6198</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6199</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6200</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6210</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6211</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3310</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3383</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3384</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3385</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3386</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6866</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N/A</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 customHeight="1">
      <c r="A1294" s="2906" t="s">
        <v>3371</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4032</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4058</v>
      </c>
      <c r="D1298" s="3053"/>
      <c r="E1298" s="3053"/>
      <c r="F1298" s="3053"/>
      <c r="G1298" s="3053"/>
      <c r="H1298" s="3053"/>
      <c r="I1298" s="3053"/>
      <c r="J1298" s="3053"/>
      <c r="K1298" s="3053"/>
      <c r="L1298" s="3053"/>
      <c r="M1298" s="3053"/>
      <c r="N1298" s="3053"/>
      <c r="O1298" s="3047" t="s">
        <v>4059</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6123</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25" customHeight="1">
      <c r="A1302" s="3049" t="str">
        <f>'Part VII-Threshold Criteria'!A264</f>
        <v xml:space="preserve">All QAP requirements have been included in the submitted plan. </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2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 customHeight="1">
      <c r="A1306" s="2906" t="s">
        <v>3372</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5" customHeight="1">
      <c r="B1307" s="1024" t="s">
        <v>6198</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5" customHeight="1">
      <c r="A1308" s="3064" t="s">
        <v>1842</v>
      </c>
      <c r="B1308" s="2135" t="s">
        <v>6202</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3849</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5" customHeight="1">
      <c r="A1312" s="2950" t="s">
        <v>698</v>
      </c>
      <c r="B1312" s="2135" t="s">
        <v>6201</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5" customHeight="1">
      <c r="A1313" s="2950"/>
      <c r="B1313" s="474" t="s">
        <v>6203</v>
      </c>
      <c r="D1313" s="2550"/>
      <c r="E1313" s="2550"/>
      <c r="N1313" s="3105" t="s">
        <v>6204</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84">
      <c r="A1315" s="3049" t="str">
        <f>'Part VII-Threshold Criteria'!A277</f>
        <v xml:space="preserve">Applicant will prioritize the sustainability of the affordable housing development. </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 customHeight="1">
      <c r="A1319" s="2906" t="s">
        <v>3370</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5" customHeight="1">
      <c r="B1320" s="1024" t="s">
        <v>6198</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6776</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6663</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6664</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6205</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3294</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6807</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25" customHeight="1">
      <c r="A1328" s="2687"/>
      <c r="B1328" s="2694"/>
      <c r="D1328" s="3053"/>
      <c r="E1328" s="3053"/>
      <c r="F1328" s="3053"/>
      <c r="G1328" s="3053"/>
      <c r="H1328" s="3053"/>
      <c r="I1328" s="474" t="s">
        <v>3388</v>
      </c>
      <c r="K1328" s="3110">
        <f>'Part VII-Threshold Criteria'!K290</f>
        <v>3</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6808</v>
      </c>
      <c r="E1329" s="3053"/>
      <c r="F1329" s="3053"/>
      <c r="G1329" s="3053"/>
      <c r="H1329" s="3053"/>
      <c r="I1329" s="3112" t="s">
        <v>3389</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6809</v>
      </c>
      <c r="D1331" s="3053"/>
      <c r="E1331" s="3053"/>
      <c r="F1331" s="3053"/>
      <c r="G1331" s="3053"/>
      <c r="H1331" s="3053"/>
      <c r="I1331" s="474" t="s">
        <v>3390</v>
      </c>
      <c r="J1331" s="2681"/>
      <c r="K1331" s="3110">
        <f>'Part VII-Threshold Criteria'!K293</f>
        <v>5</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3295</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6724</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Zeffert and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6665</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3835</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56">
      <c r="A1342" s="3049" t="str">
        <f>'Part VII-Threshold Criteria'!A304</f>
        <v xml:space="preserve">Accessibility and Fair Housing for disabled tenants continues to be an important role and focus of NWGHA. The development will be in full compliance. </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 customHeight="1">
      <c r="A1345" s="2906" t="s">
        <v>3373</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5" customHeight="1">
      <c r="A1348" s="3079"/>
      <c r="B1348" s="3082" t="s">
        <v>3789</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5" customHeight="1">
      <c r="A1349" s="3058" t="s">
        <v>1842</v>
      </c>
      <c r="B1349" s="2923" t="s">
        <v>6676</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6675</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5"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Upgraded "architectural dimensional" shingles, or roofing materials  (warranty 40 years or greater)</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6124</v>
      </c>
      <c r="D1355" s="3053"/>
      <c r="E1355" s="3053"/>
      <c r="F1355" s="3053"/>
      <c r="G1355" s="2692" t="s">
        <v>6125</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6305</v>
      </c>
      <c r="P1356" s="3078" t="str">
        <f>'Part VII-Threshold Criteria'!P318</f>
        <v>No</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6306</v>
      </c>
      <c r="P1357" s="3078" t="str">
        <f>'Part VII-Threshold Criteria'!P319</f>
        <v>No</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6777</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5" customHeight="1">
      <c r="A1361" s="3049" t="str">
        <f>'Part VII-Threshold Criteria'!A323</f>
        <v>The site plan meets the architectural standards contained in the application manual for quality and longevity.</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 customHeight="1">
      <c r="A1364" s="2906" t="s">
        <v>3374</v>
      </c>
      <c r="B1364" s="2915" t="s">
        <v>6538</v>
      </c>
      <c r="C1364" s="2906"/>
      <c r="D1364" s="3052"/>
      <c r="E1364" s="3052"/>
      <c r="F1364" s="3052"/>
      <c r="G1364" s="3052"/>
      <c r="H1364" s="3052"/>
      <c r="N1364" s="2833" t="s">
        <v>6537</v>
      </c>
      <c r="O1364" s="3047" t="s">
        <v>1731</v>
      </c>
      <c r="P1364" s="2135"/>
      <c r="Q1364" s="2135"/>
      <c r="R1364" s="2833" t="s">
        <v>6524</v>
      </c>
    </row>
    <row r="1365" spans="1:44" s="652" customFormat="1" ht="11.5" customHeight="1">
      <c r="A1365" s="3064" t="s">
        <v>1842</v>
      </c>
      <c r="B1365" s="1024" t="s">
        <v>6533</v>
      </c>
      <c r="O1365" s="3058" t="s">
        <v>1842</v>
      </c>
      <c r="P1365" s="3066" t="str">
        <f>'Part VII-Threshold Criteria'!P327</f>
        <v>No</v>
      </c>
      <c r="Q1365" s="2976"/>
    </row>
    <row r="1366" spans="1:44" s="652" customFormat="1" ht="11.5" customHeight="1">
      <c r="A1366" s="3058" t="s">
        <v>1844</v>
      </c>
      <c r="B1366" s="1024" t="s">
        <v>6540</v>
      </c>
      <c r="O1366" s="3058" t="s">
        <v>1844</v>
      </c>
      <c r="P1366" s="3066" t="str">
        <f>'Part VII-Threshold Criteria'!P328</f>
        <v>Yes</v>
      </c>
      <c r="Q1366" s="2976"/>
    </row>
    <row r="1367" spans="1:44" s="652" customFormat="1" ht="11.5" customHeight="1">
      <c r="A1367" s="3058" t="s">
        <v>698</v>
      </c>
      <c r="B1367" s="1024" t="s">
        <v>6541</v>
      </c>
      <c r="K1367" s="2822"/>
      <c r="M1367" s="3058" t="s">
        <v>698</v>
      </c>
      <c r="N1367" s="2698" t="str">
        <f>'Part VII-Threshold Criteria'!N329</f>
        <v>No</v>
      </c>
      <c r="O1367" s="2698"/>
      <c r="P1367" s="2719" t="s">
        <v>1647</v>
      </c>
      <c r="Q1367" s="2719"/>
    </row>
    <row r="1368" spans="1:44" s="652" customFormat="1" ht="11.5" customHeight="1">
      <c r="A1368" s="3064" t="s">
        <v>1963</v>
      </c>
      <c r="B1368" s="1024" t="s">
        <v>6542</v>
      </c>
      <c r="O1368" s="3064" t="s">
        <v>1963</v>
      </c>
      <c r="P1368" s="3066" t="str">
        <f>'Part VII-Threshold Criteria'!P330</f>
        <v>No</v>
      </c>
      <c r="Q1368" s="2976"/>
    </row>
    <row r="1369" spans="1:44" s="652" customFormat="1" ht="11.5" customHeight="1">
      <c r="A1369" s="3058" t="s">
        <v>1613</v>
      </c>
      <c r="B1369" s="1024" t="s">
        <v>6543</v>
      </c>
      <c r="N1369" s="3058" t="s">
        <v>1613</v>
      </c>
      <c r="O1369" s="3115" t="str">
        <f>'Part VII-Threshold Criteria'!O331</f>
        <v>Certifying GP/Developer</v>
      </c>
      <c r="P1369" s="3115"/>
      <c r="Q1369" s="3115"/>
    </row>
    <row r="1370" spans="1:44" s="652" customFormat="1" ht="11.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25" customHeight="1">
      <c r="A1372" s="3049" t="str">
        <f>'Part VII-Threshold Criteria'!A334</f>
        <v xml:space="preserve">Northwest Georgia Housing Authority is the Certifying General Partner and Developer of this project. </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2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 customHeight="1">
      <c r="A1376" s="2906" t="s">
        <v>3377</v>
      </c>
      <c r="B1376" s="2550" t="s">
        <v>6544</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 customHeight="1">
      <c r="A1377" s="2906"/>
      <c r="B1377" s="474" t="s">
        <v>6545</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 customHeight="1">
      <c r="A1378" s="2906"/>
      <c r="B1378" s="474" t="s">
        <v>6546</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6810</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6127</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52</v>
      </c>
      <c r="F1381" s="474" t="s">
        <v>3896</v>
      </c>
      <c r="G1381" s="3117">
        <f>'Part V-Revenues &amp; Expenses'!$P$100</f>
        <v>52</v>
      </c>
      <c r="H1381" s="2550"/>
      <c r="I1381" s="474" t="s">
        <v>832</v>
      </c>
      <c r="J1381" s="2550"/>
      <c r="K1381" s="2550"/>
      <c r="L1381" s="3092">
        <f>'Part V-Revenues &amp; Expenses'!$P$111</f>
        <v>0</v>
      </c>
      <c r="M1381" s="3064" t="s">
        <v>6747</v>
      </c>
      <c r="N1381" s="3073">
        <f>IF(E1381=0,"",(G1381+L1381)/E1381)</f>
        <v>1</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6811</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52</v>
      </c>
      <c r="F1383" s="474" t="s">
        <v>6696</v>
      </c>
      <c r="H1383" s="2550"/>
      <c r="L1383" s="3118">
        <f>'Part VII-Threshold Criteria'!L345</f>
        <v>0</v>
      </c>
      <c r="M1383" s="3064" t="s">
        <v>6747</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6812</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 customHeight="1">
      <c r="A1385" s="2926"/>
      <c r="B1385" s="3112" t="s">
        <v>1615</v>
      </c>
      <c r="C1385" s="3006" t="s">
        <v>6547</v>
      </c>
      <c r="H1385" s="3119"/>
      <c r="I1385" s="3119"/>
      <c r="J1385" s="3119"/>
      <c r="K1385" s="3119"/>
      <c r="L1385" s="3119"/>
      <c r="M1385" s="3119"/>
      <c r="N1385" s="3089"/>
      <c r="O1385" s="3064" t="s">
        <v>4059</v>
      </c>
      <c r="P1385" s="3120">
        <f>'Part VII-Threshold Criteria'!P347</f>
        <v>0</v>
      </c>
      <c r="Q1385" s="2860"/>
    </row>
    <row r="1386" spans="1:44" s="652" customFormat="1">
      <c r="A1386" s="3058"/>
      <c r="B1386" s="3061"/>
      <c r="C1386" s="474" t="s">
        <v>1668</v>
      </c>
      <c r="D1386" s="474"/>
      <c r="E1386" s="3092">
        <f>'Part V-Revenues &amp; Expenses'!$P$67</f>
        <v>52</v>
      </c>
      <c r="F1386" s="474" t="s">
        <v>3896</v>
      </c>
      <c r="G1386" s="3117">
        <f>'Part V-Revenues &amp; Expenses'!$P$100</f>
        <v>52</v>
      </c>
      <c r="H1386" s="2550"/>
      <c r="I1386" s="474" t="s">
        <v>832</v>
      </c>
      <c r="J1386" s="2550"/>
      <c r="K1386" s="2550"/>
      <c r="L1386" s="3092">
        <f>'Part V-Revenues &amp; Expenses'!$P$111</f>
        <v>0</v>
      </c>
      <c r="M1386" s="3064" t="s">
        <v>6747</v>
      </c>
      <c r="N1386" s="3073">
        <f>IF(E1386=0,"",(G1386+L1386)/E1386)</f>
        <v>1</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N/A</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 customHeight="1">
      <c r="A1392" s="2906" t="s">
        <v>3378</v>
      </c>
      <c r="B1392" s="2550" t="s">
        <v>3359</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3360</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3361</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3352</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3353</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3354</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3355</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3356</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6867</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3357</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3358</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c r="A1404" s="3049" t="str">
        <f>'Part VII-Threshold Criteria'!A366</f>
        <v>N/A</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 customHeight="1">
      <c r="A1409" s="2906" t="s">
        <v>3379</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5" customHeight="1">
      <c r="A1414" s="3049" t="str">
        <f>'Part VII-Threshold Criteria'!A376</f>
        <v>N/A</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5" customHeight="1">
      <c r="A1417" s="2917"/>
      <c r="B1417" s="2976"/>
      <c r="C1417" s="3052"/>
      <c r="D1417" s="3052"/>
      <c r="E1417" s="3052"/>
      <c r="F1417" s="3052"/>
      <c r="G1417" s="3052"/>
      <c r="H1417" s="3052"/>
      <c r="I1417" s="3052"/>
      <c r="J1417" s="3052"/>
      <c r="K1417" s="3052"/>
      <c r="L1417" s="3052"/>
      <c r="M1417" s="3052"/>
      <c r="Q1417" s="2917"/>
    </row>
    <row r="1418" spans="1:31" s="652" customFormat="1" ht="14" customHeight="1">
      <c r="A1418" s="2906" t="s">
        <v>3380</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f>'Part VII-Threshold Criteria'!P381</f>
        <v>0</v>
      </c>
      <c r="Q1419" s="2976"/>
    </row>
    <row r="1420" spans="1:31" s="652" customFormat="1" ht="12" customHeight="1">
      <c r="A1420" s="3064" t="s">
        <v>1844</v>
      </c>
      <c r="B1420" s="474" t="s">
        <v>3145</v>
      </c>
      <c r="D1420" s="3053"/>
      <c r="E1420" s="3053"/>
      <c r="O1420" s="3064" t="s">
        <v>1844</v>
      </c>
      <c r="P1420" s="3066">
        <f>'Part VII-Threshold Criteria'!P382</f>
        <v>0</v>
      </c>
      <c r="Q1420" s="2976"/>
    </row>
    <row r="1421" spans="1:31" s="652" customFormat="1" ht="12" customHeight="1">
      <c r="A1421" s="3064" t="s">
        <v>698</v>
      </c>
      <c r="B1421" s="474" t="s">
        <v>4033</v>
      </c>
      <c r="D1421" s="3053"/>
      <c r="E1421" s="3053"/>
      <c r="O1421" s="3064" t="s">
        <v>698</v>
      </c>
      <c r="P1421" s="3066">
        <f>'Part VII-Threshold Criteria'!P383</f>
        <v>0</v>
      </c>
      <c r="Q1421" s="2976"/>
    </row>
    <row r="1422" spans="1:31" s="652" customFormat="1" ht="12" customHeight="1">
      <c r="A1422" s="3064" t="s">
        <v>1963</v>
      </c>
      <c r="B1422" s="474" t="s">
        <v>3146</v>
      </c>
      <c r="E1422" s="3046"/>
      <c r="O1422" s="3064" t="s">
        <v>1963</v>
      </c>
      <c r="P1422" s="3066" t="str">
        <f>'Part VII-Threshold Criteria'!P384</f>
        <v>Yes</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5" customHeight="1">
      <c r="A1425" s="3049" t="str">
        <f>'Part VII-Threshold Criteria'!A387</f>
        <v>A legal opinion for eligibility as a scattered site is included in the folder.</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 customHeight="1">
      <c r="A1429" s="2906" t="s">
        <v>3381</v>
      </c>
      <c r="B1429" s="2550" t="s">
        <v>3941</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6255</v>
      </c>
      <c r="O1430" s="3064"/>
      <c r="P1430" s="3066" t="str">
        <f>'Part VII-Threshold Criteria'!P392</f>
        <v>No</v>
      </c>
      <c r="Q1430" s="2976"/>
    </row>
    <row r="1431" spans="1:31" s="652" customFormat="1" ht="12" customHeight="1">
      <c r="A1431" s="3064" t="s">
        <v>1842</v>
      </c>
      <c r="B1431" s="474" t="s">
        <v>3940</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t="str">
        <f>'Part VII-Threshold Criteria'!P394</f>
        <v>Yes</v>
      </c>
      <c r="Q1432" s="2976"/>
    </row>
    <row r="1433" spans="1:31" s="652" customFormat="1" ht="12" customHeight="1">
      <c r="B1433" s="474"/>
      <c r="C1433" s="474" t="s">
        <v>4034</v>
      </c>
      <c r="D1433" s="1024" t="s">
        <v>4035</v>
      </c>
      <c r="E1433" s="2550"/>
      <c r="F1433" s="2550"/>
      <c r="G1433" s="2550"/>
      <c r="H1433" s="2550"/>
      <c r="I1433" s="2550"/>
      <c r="J1433" s="2550"/>
      <c r="K1433" s="2550"/>
      <c r="L1433" s="2550"/>
      <c r="M1433" s="2550"/>
      <c r="N1433" s="2550"/>
      <c r="O1433" s="3064" t="s">
        <v>4034</v>
      </c>
      <c r="P1433" s="3060" t="str">
        <f>'Part VII-Threshold Criteria'!P395</f>
        <v>Yes</v>
      </c>
      <c r="Q1433" s="3046"/>
    </row>
    <row r="1434" spans="1:31" s="652" customFormat="1" ht="12" customHeight="1">
      <c r="A1434" s="3064"/>
      <c r="D1434" s="474" t="s">
        <v>6503</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t="str">
        <f>'Part VII-Threshold Criteria'!P397</f>
        <v>N/A</v>
      </c>
      <c r="Q1435" s="2976"/>
    </row>
    <row r="1436" spans="1:31" s="652" customFormat="1" ht="12" customHeight="1">
      <c r="A1436" s="3064"/>
      <c r="C1436" s="474" t="s">
        <v>3944</v>
      </c>
      <c r="D1436" s="474" t="s">
        <v>3142</v>
      </c>
      <c r="E1436" s="474"/>
      <c r="F1436" s="474"/>
      <c r="G1436" s="474"/>
      <c r="H1436" s="474"/>
      <c r="I1436" s="474"/>
      <c r="J1436" s="474"/>
      <c r="K1436" s="474"/>
      <c r="L1436" s="474"/>
      <c r="M1436" s="474"/>
      <c r="N1436" s="2550"/>
      <c r="O1436" s="3064" t="s">
        <v>2243</v>
      </c>
      <c r="P1436" s="3066" t="str">
        <f>'Part VII-Threshold Criteria'!P398</f>
        <v>Yes</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t="str">
        <f>'Part VII-Threshold Criteria'!P399</f>
        <v>Yes</v>
      </c>
      <c r="Q1437" s="2976"/>
    </row>
    <row r="1438" spans="1:31" s="652" customFormat="1" ht="12" customHeight="1">
      <c r="A1438" s="3064"/>
      <c r="B1438" s="3122" t="s">
        <v>2333</v>
      </c>
      <c r="C1438" s="3046" t="s">
        <v>6155</v>
      </c>
      <c r="D1438" s="3053"/>
      <c r="E1438" s="3053"/>
      <c r="F1438" s="3053"/>
      <c r="G1438" s="474" t="s">
        <v>3945</v>
      </c>
      <c r="J1438" s="2945">
        <f>'Part VII-Threshold Criteria'!J400</f>
        <v>3</v>
      </c>
      <c r="K1438" s="2917"/>
      <c r="M1438" s="474" t="s">
        <v>6229</v>
      </c>
      <c r="P1438" s="2945">
        <f>'Part VII-Threshold Criteria'!P400</f>
        <v>0</v>
      </c>
      <c r="Q1438" s="2917"/>
    </row>
    <row r="1439" spans="1:31" s="652" customFormat="1" ht="12" customHeight="1">
      <c r="A1439" s="3064"/>
      <c r="C1439" s="3046"/>
      <c r="D1439" s="3053"/>
      <c r="E1439" s="3053"/>
      <c r="F1439" s="3053"/>
      <c r="G1439" s="474" t="s">
        <v>6228</v>
      </c>
      <c r="J1439" s="2945">
        <f>'Part VII-Threshold Criteria'!J401</f>
        <v>16</v>
      </c>
      <c r="K1439" s="2917"/>
      <c r="M1439" s="474" t="s">
        <v>6230</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4">
      <c r="A1441" s="2950"/>
      <c r="B1441" s="2915"/>
      <c r="D1441" s="3108"/>
      <c r="E1441" s="3108"/>
      <c r="F1441" s="3108"/>
      <c r="G1441" s="3108"/>
      <c r="H1441" s="3108"/>
      <c r="I1441" s="3068" t="s">
        <v>6185</v>
      </c>
      <c r="J1441" s="3068" t="s">
        <v>6186</v>
      </c>
      <c r="K1441" s="3006" t="s">
        <v>6188</v>
      </c>
      <c r="L1441" s="3068"/>
      <c r="M1441" s="3068"/>
      <c r="N1441" s="3068" t="s">
        <v>6187</v>
      </c>
      <c r="O1441" s="3064"/>
      <c r="P1441" s="474" t="s">
        <v>6705</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6299</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2245</v>
      </c>
      <c r="P1443" s="3066" t="str">
        <f>'Part VII-Threshold Criteria'!P405</f>
        <v>Yes</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6189</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t="str">
        <f>'Part VII-Threshold Criteria'!P408</f>
        <v>Yes</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6300</v>
      </c>
      <c r="D1449" s="3053"/>
      <c r="E1449" s="3053"/>
      <c r="F1449" s="3053"/>
      <c r="G1449" s="3053"/>
      <c r="H1449" s="3053"/>
      <c r="I1449" s="2803">
        <f>K1331</f>
        <v>5</v>
      </c>
      <c r="J1449" s="3110">
        <f>'Part VII-Threshold Criteria'!J411</f>
        <v>5</v>
      </c>
      <c r="K1449" s="3123">
        <f>'Part VII-Threshold Criteria'!K411</f>
        <v>0</v>
      </c>
      <c r="L1449" s="3123"/>
      <c r="M1449" s="3123"/>
      <c r="N1449" s="3124">
        <f>MAX(J1449,K1449)</f>
        <v>5</v>
      </c>
      <c r="O1449" s="3064" t="s">
        <v>2261</v>
      </c>
      <c r="P1449" s="3066" t="str">
        <f>'Part VII-Threshold Criteria'!P411</f>
        <v>Yes</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3837</v>
      </c>
      <c r="E1452" s="2923"/>
      <c r="F1452" s="2923"/>
      <c r="G1452" s="2923"/>
      <c r="J1452" s="2550"/>
      <c r="K1452" s="2923"/>
      <c r="L1452" s="2923"/>
      <c r="M1452" s="2550"/>
      <c r="N1452" s="3064"/>
      <c r="P1452" s="3064"/>
      <c r="Q1452" s="3064"/>
    </row>
    <row r="1453" spans="1:44" s="652" customFormat="1" ht="12" customHeight="1">
      <c r="A1453" s="3064"/>
      <c r="B1453" s="1024"/>
      <c r="C1453" s="2923" t="s">
        <v>6232</v>
      </c>
      <c r="E1453" s="2923"/>
      <c r="F1453" s="2923"/>
      <c r="L1453" s="2923"/>
      <c r="M1453" s="2923"/>
      <c r="O1453" s="3064" t="s">
        <v>2241</v>
      </c>
      <c r="P1453" s="3066" t="str">
        <f>'Part VII-Threshold Criteria'!P415</f>
        <v>Third-party</v>
      </c>
      <c r="Q1453" s="2976" t="s">
        <v>1647</v>
      </c>
    </row>
    <row r="1454" spans="1:44" s="652" customFormat="1" ht="12" customHeight="1">
      <c r="A1454" s="2550"/>
      <c r="D1454" s="3068" t="s">
        <v>6233</v>
      </c>
      <c r="E1454" s="3089" t="s">
        <v>2264</v>
      </c>
      <c r="F1454" s="1024" t="s">
        <v>3289</v>
      </c>
      <c r="G1454" s="2913" t="str">
        <f>'Part VII-Threshold Criteria'!G416</f>
        <v>National Housing Consultant Services</v>
      </c>
      <c r="H1454" s="2913"/>
      <c r="I1454" s="2913"/>
      <c r="J1454" s="2913"/>
      <c r="K1454" s="2913"/>
      <c r="L1454" s="3089"/>
    </row>
    <row r="1455" spans="1:44" s="652" customFormat="1" ht="12" customHeight="1">
      <c r="D1455" s="3068"/>
      <c r="E1455" s="3089" t="s">
        <v>3942</v>
      </c>
      <c r="F1455" s="1024" t="s">
        <v>3943</v>
      </c>
      <c r="G1455" s="2913" t="str">
        <f>'Part VII-Threshold Criteria'!G417</f>
        <v>Relocation specialist</v>
      </c>
      <c r="H1455" s="2913"/>
      <c r="I1455" s="2913"/>
      <c r="J1455" s="1024" t="s">
        <v>3804</v>
      </c>
      <c r="M1455" s="2913">
        <f>'Part VII-Threshold Criteria'!M417</f>
        <v>0</v>
      </c>
      <c r="N1455" s="2913"/>
      <c r="O1455" s="2913"/>
      <c r="P1455" s="2913"/>
      <c r="Q1455" s="2913"/>
    </row>
    <row r="1456" spans="1:44" s="652" customFormat="1" ht="12" customHeight="1">
      <c r="A1456" s="2550"/>
      <c r="C1456" s="1024" t="s">
        <v>6231</v>
      </c>
      <c r="E1456" s="2923"/>
      <c r="F1456" s="2923"/>
      <c r="G1456" s="2923"/>
      <c r="H1456" s="2923"/>
      <c r="I1456" s="2923"/>
      <c r="J1456" s="2923"/>
      <c r="K1456" s="2923"/>
      <c r="L1456" s="2923"/>
      <c r="M1456" s="2923"/>
      <c r="N1456" s="2923"/>
      <c r="O1456" s="2923"/>
      <c r="P1456" s="2923"/>
      <c r="Q1456" s="2923"/>
    </row>
    <row r="1457" spans="1:31" s="652" customFormat="1" ht="409.6">
      <c r="B1457" s="2744" t="str">
        <f>'Part VII-Threshold Criteria'!B419</f>
        <v>Tenants will be relocated within the development and/or to other public housing developments owned and managed by NWGHA. Relocation Specialist Helena Cunningham, founder and CEO of National Housing Consultant Services, a full-service housing development and consulting firm, specializing in acquiring and developing affordable housing as well as providing relocation services, will serve as the third-party specialist. Since opening in 2010, the company has assisted with th development of over 3,000 housing units, adding up to more than $300,000,000 in total costs.Ms. Cunningham possesses a wealth of experience in her field and has effectively steered the development and administration of several housing programs. She accomplished this while serving as the Executive Vice President and Managing Director for the National Housing Partnership Foundation (NHPF). During her time there, she directed the rehabilitation and new development of more than 3,000 affordable multifamily housing units in the Gulf Coast region. Ms. Cunningham's prior professional experience also includes serving in various roles at the Louisiana Housing Finance Agency (LHFA). She began her career with the LHFA as its General Counsel from November 1997 until she filled the position of Vice President in December 1999. She subsequently served as President/CEO from April 2001 until April 2006. Ms. Cunningham holds the professional designation of a Certified Public Accountant and a Juris Doctorate Degree. Aside from her educational achievements, she has more than 20 years' worth of diverse experience in the financing, development, and construction of affordable housing.</v>
      </c>
      <c r="C1457" s="2744"/>
      <c r="D1457" s="2744"/>
      <c r="E1457" s="2744"/>
      <c r="F1457" s="2744"/>
      <c r="G1457" s="2744"/>
      <c r="H1457" s="2744"/>
      <c r="I1457" s="2744"/>
      <c r="J1457" s="2744"/>
      <c r="K1457" s="2744"/>
      <c r="L1457" s="2744"/>
      <c r="M1457" s="2744"/>
      <c r="N1457" s="2744"/>
      <c r="O1457" s="2744"/>
      <c r="P1457" s="2744"/>
      <c r="Q1457" s="2744"/>
      <c r="R1457" s="2678" t="s">
        <v>3803</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4036</v>
      </c>
      <c r="C1459" s="3053"/>
      <c r="D1459" s="3053"/>
      <c r="E1459" s="3053"/>
      <c r="F1459" s="3053"/>
      <c r="G1459" s="3053"/>
      <c r="H1459" s="3053"/>
      <c r="I1459" s="3053"/>
      <c r="J1459" s="3053"/>
      <c r="K1459" s="3053"/>
      <c r="L1459" s="3053"/>
      <c r="M1459" s="3053"/>
      <c r="N1459" s="3053"/>
    </row>
    <row r="1460" spans="1:31" s="652" customFormat="1">
      <c r="B1460" s="3046" t="s">
        <v>6868</v>
      </c>
      <c r="C1460" s="3053"/>
      <c r="D1460" s="3053"/>
      <c r="E1460" s="3053"/>
      <c r="F1460" s="3053"/>
      <c r="G1460" s="3053"/>
      <c r="H1460" s="3053"/>
      <c r="I1460" s="3053"/>
      <c r="J1460" s="3053"/>
      <c r="K1460" s="3053"/>
      <c r="L1460" s="3053"/>
      <c r="M1460" s="3053"/>
      <c r="N1460" s="3053"/>
      <c r="O1460" s="3058" t="s">
        <v>1844</v>
      </c>
      <c r="P1460" s="3078" t="str">
        <f>'Part VII-Threshold Criteria'!P422</f>
        <v>Agree</v>
      </c>
      <c r="Q1460" s="3059"/>
    </row>
    <row r="1461" spans="1:31" s="652" customFormat="1" ht="12" customHeight="1">
      <c r="B1461" s="2984" t="s">
        <v>3241</v>
      </c>
      <c r="D1461" s="2984"/>
      <c r="E1461" s="2984"/>
      <c r="F1461" s="2984"/>
      <c r="G1461" s="2984"/>
      <c r="H1461" s="2923"/>
      <c r="I1461" s="2976"/>
      <c r="J1461" s="2976"/>
      <c r="K1461" s="2976"/>
    </row>
    <row r="1462" spans="1:31" s="652" customFormat="1" ht="144">
      <c r="A1462" s="3049" t="str">
        <f>'Part VII-Threshold Criteria'!A424</f>
        <v>Applicant has extensive experience with resident engagement. Applicant commits to accept DCA-led resident engagement if DCA chooses to do so.</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 customHeight="1">
      <c r="A1466" s="2906" t="s">
        <v>3382</v>
      </c>
      <c r="B1466" s="2550" t="s">
        <v>2510</v>
      </c>
      <c r="C1466" s="2550"/>
      <c r="D1466" s="474"/>
      <c r="E1466" s="3052"/>
      <c r="F1466" s="3052"/>
      <c r="G1466" s="3052"/>
      <c r="H1466" s="3052"/>
      <c r="O1466" s="3047" t="s">
        <v>1731</v>
      </c>
      <c r="P1466" s="2135"/>
      <c r="Q1466" s="2135"/>
    </row>
    <row r="1467" spans="1:31" s="652" customFormat="1" ht="14" customHeight="1">
      <c r="B1467" s="474" t="s">
        <v>3899</v>
      </c>
      <c r="C1467" s="2550"/>
      <c r="D1467" s="474"/>
      <c r="E1467" s="3052"/>
      <c r="F1467" s="3052"/>
      <c r="G1467" s="3052"/>
      <c r="H1467" s="3052"/>
    </row>
    <row r="1468" spans="1:31" s="2980" customFormat="1">
      <c r="A1468" s="3058" t="s">
        <v>1842</v>
      </c>
      <c r="B1468" s="3046" t="s">
        <v>3313</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3312</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3869</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3870</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3871</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3872</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3314</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3920</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3921</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3954</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NWGHA is committed to facilitating AFFH.</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 customHeight="1">
      <c r="A1483" s="2906" t="s">
        <v>3805</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The development team strives to produce high quality affordable housing that will stand test of time. It is important for the quality of construction and materials to stand up to more than 30 years of life expectancy.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 customHeight="1">
      <c r="A1492" s="2550" t="str">
        <f>CONCATENATE("PART EIGHT - SCORING CRITERIA","  -  ",'Part I-Project Identification'!$O$7," ",'Part I-Project Identification'!$F$29,", ",'Part I-Project Identification'!F1521,", ",'Part I-Project Identification'!J1521," County")</f>
        <v>PART EIGHT - SCORING CRITERIA  -  2022-0 Cave Spring Townhomes, ,  County</v>
      </c>
      <c r="B1492" s="2550"/>
      <c r="C1492" s="2550"/>
      <c r="D1492" s="2550"/>
      <c r="E1492" s="2550"/>
      <c r="F1492" s="2550"/>
      <c r="G1492" s="2550"/>
      <c r="H1492" s="2550"/>
      <c r="I1492" s="2550"/>
      <c r="J1492" s="2550"/>
      <c r="K1492" s="2550"/>
      <c r="L1492" s="2550"/>
      <c r="M1492" s="2550"/>
      <c r="N1492" s="2550"/>
      <c r="O1492" s="2550"/>
      <c r="P1492" s="2550"/>
      <c r="Q1492" s="3127" t="s">
        <v>6652</v>
      </c>
      <c r="R1492" s="3127"/>
      <c r="S1492" s="3127"/>
      <c r="T1492" s="3127"/>
      <c r="U1492" s="3127"/>
      <c r="V1492" s="3127"/>
      <c r="W1492" s="3127"/>
      <c r="X1492" s="3128"/>
    </row>
    <row r="1493" spans="1:25" s="652" customFormat="1" ht="4.25"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6869</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65</v>
      </c>
      <c r="P1497" s="3132">
        <f>P1932</f>
        <v>25</v>
      </c>
      <c r="Q1497" s="3133" t="s">
        <v>6870</v>
      </c>
      <c r="R1497" s="3127"/>
      <c r="S1497" s="3127"/>
      <c r="T1497" s="3127"/>
      <c r="U1497" s="3127"/>
      <c r="V1497" s="3127"/>
      <c r="W1497" s="3127"/>
      <c r="X1497" s="3127"/>
      <c r="Y1497" s="3127"/>
    </row>
    <row r="1498" spans="1:25" s="3093" customFormat="1" ht="3.5"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6138</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6139</v>
      </c>
      <c r="D1501" s="474"/>
      <c r="E1501" s="474"/>
      <c r="F1501" s="474"/>
      <c r="G1501" s="2967"/>
      <c r="H1501" s="2692" t="s">
        <v>6871</v>
      </c>
      <c r="I1501" s="2967"/>
      <c r="J1501" s="2967"/>
      <c r="K1501" s="2967"/>
      <c r="L1501" s="2967"/>
      <c r="M1501" s="3136" t="s">
        <v>6872</v>
      </c>
      <c r="N1501" s="2967"/>
      <c r="O1501" s="2967"/>
      <c r="P1501" s="2910">
        <f>'Part VIII Scoring Criteria'!P10</f>
        <v>0</v>
      </c>
      <c r="Q1501" s="3127"/>
      <c r="R1501" s="3127"/>
      <c r="S1501" s="3127"/>
      <c r="T1501" s="3127"/>
      <c r="U1501" s="3127"/>
      <c r="V1501" s="3127"/>
      <c r="W1501" s="3127"/>
      <c r="X1501" s="3127"/>
      <c r="Y1501" s="3127"/>
    </row>
    <row r="1502" spans="1:25" s="3093" customFormat="1" ht="3.5"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3393</v>
      </c>
      <c r="B1503" s="3020" t="s">
        <v>3394</v>
      </c>
      <c r="C1503" s="474"/>
      <c r="D1503" s="474"/>
      <c r="E1503" s="3020" t="s">
        <v>3401</v>
      </c>
      <c r="F1503" s="3020" t="s">
        <v>6498</v>
      </c>
      <c r="G1503" s="3020"/>
      <c r="H1503" s="3020"/>
      <c r="I1503" s="3020"/>
      <c r="J1503" s="3020"/>
      <c r="K1503" s="3020"/>
      <c r="L1503" s="3020"/>
      <c r="M1503" s="3020"/>
      <c r="N1503" s="3020"/>
      <c r="O1503" s="3137" t="s">
        <v>3812</v>
      </c>
      <c r="P1503" s="2976">
        <f>SUM(P1504:P1522)</f>
        <v>0</v>
      </c>
      <c r="Q1503" s="3053" t="s">
        <v>6873</v>
      </c>
      <c r="R1503" s="3053"/>
      <c r="S1503" s="3053"/>
      <c r="T1503" s="3011"/>
      <c r="U1503" s="3011"/>
      <c r="V1503" s="3011"/>
    </row>
    <row r="1504" spans="1:25" s="2550" customFormat="1" ht="10.5" customHeight="1">
      <c r="A1504" s="3138" t="s">
        <v>1669</v>
      </c>
      <c r="B1504" s="2749" t="s">
        <v>3395</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4040</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3340</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3396</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3397</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4041</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4043</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4055</v>
      </c>
      <c r="B1511" s="2749" t="s">
        <v>4044</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6247</v>
      </c>
      <c r="B1512" s="2749" t="s">
        <v>4045</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6644</v>
      </c>
      <c r="B1513" s="2749" t="s">
        <v>6554</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6646</v>
      </c>
      <c r="B1514" s="2749" t="s">
        <v>6645</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3370</v>
      </c>
      <c r="B1515" s="2749" t="s">
        <v>6560</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3374</v>
      </c>
      <c r="B1516" s="2749" t="s">
        <v>3398</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3377</v>
      </c>
      <c r="B1517" s="2749" t="s">
        <v>3399</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3378</v>
      </c>
      <c r="B1518" s="2749" t="s">
        <v>3400</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3380</v>
      </c>
      <c r="B1519" s="2749" t="s">
        <v>6643</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3381</v>
      </c>
      <c r="B1520" s="2749" t="s">
        <v>6135</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3805</v>
      </c>
      <c r="B1521" s="2749" t="s">
        <v>6558</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6568</v>
      </c>
    </row>
    <row r="1522" spans="1:35" s="2550" customFormat="1" ht="10.5" customHeight="1">
      <c r="A1522" s="3138" t="s">
        <v>6561</v>
      </c>
      <c r="B1522" s="2749" t="s">
        <v>6559</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6569</v>
      </c>
      <c r="AD1522" s="2550" t="s">
        <v>6570</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6140</v>
      </c>
      <c r="C1524" s="3106"/>
      <c r="D1524" s="2530"/>
      <c r="E1524" s="2530"/>
      <c r="F1524" s="2530"/>
      <c r="G1524" s="3144" t="s">
        <v>6128</v>
      </c>
      <c r="H1524" s="3144"/>
      <c r="I1524" s="3144" t="s">
        <v>6508</v>
      </c>
      <c r="J1524" s="3144"/>
      <c r="K1524" s="3144"/>
      <c r="L1524" s="3144"/>
      <c r="M1524" s="2761" t="s">
        <v>6141</v>
      </c>
      <c r="N1524" s="2761"/>
      <c r="O1524" s="2761"/>
      <c r="P1524" s="2761"/>
      <c r="Q1524" s="2747"/>
      <c r="R1524" s="2747"/>
      <c r="S1524" s="2964" t="s">
        <v>6140</v>
      </c>
      <c r="T1524" s="2747"/>
      <c r="U1524" s="2747"/>
      <c r="V1524" s="2747"/>
      <c r="X1524" s="3144" t="s">
        <v>6128</v>
      </c>
      <c r="Y1524" s="3144"/>
      <c r="Z1524" s="3144" t="s">
        <v>6508</v>
      </c>
      <c r="AA1524" s="3144"/>
      <c r="AB1524" s="3144"/>
      <c r="AC1524" s="3144"/>
      <c r="AD1524" s="3144" t="s">
        <v>6128</v>
      </c>
      <c r="AE1524" s="3144"/>
      <c r="AF1524" s="3144" t="s">
        <v>6508</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6551</v>
      </c>
      <c r="K1525" s="3145" t="s">
        <v>6552</v>
      </c>
      <c r="L1525" s="3145" t="s">
        <v>6553</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6551</v>
      </c>
      <c r="AB1525" s="3145" t="s">
        <v>6552</v>
      </c>
      <c r="AC1525" s="3145" t="s">
        <v>6553</v>
      </c>
      <c r="AD1525" s="3145">
        <v>0.09</v>
      </c>
      <c r="AE1525" s="3145">
        <v>0.04</v>
      </c>
      <c r="AF1525" s="3145">
        <v>0.04</v>
      </c>
      <c r="AG1525" s="3145" t="s">
        <v>6551</v>
      </c>
      <c r="AH1525" s="3145" t="s">
        <v>6552</v>
      </c>
      <c r="AI1525" s="3145" t="s">
        <v>6553</v>
      </c>
    </row>
    <row r="1526" spans="1:35" s="652" customFormat="1" ht="10.5" customHeight="1">
      <c r="A1526" s="2802" t="s">
        <v>691</v>
      </c>
      <c r="B1526" s="2883" t="s">
        <v>6129</v>
      </c>
      <c r="C1526" s="2833"/>
      <c r="D1526" s="1024"/>
      <c r="E1526" s="1024"/>
      <c r="F1526" s="1024"/>
      <c r="G1526" s="3146">
        <v>10</v>
      </c>
      <c r="H1526" s="3146">
        <v>10</v>
      </c>
      <c r="I1526" s="3146">
        <v>10</v>
      </c>
      <c r="J1526" s="3146">
        <v>10</v>
      </c>
      <c r="K1526" s="3146">
        <v>10</v>
      </c>
      <c r="L1526" s="3146">
        <v>10</v>
      </c>
      <c r="Q1526" s="2753"/>
      <c r="R1526" s="2802" t="s">
        <v>691</v>
      </c>
      <c r="S1526" s="2883" t="s">
        <v>6129</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6130</v>
      </c>
      <c r="C1527" s="2833"/>
      <c r="D1527" s="1024"/>
      <c r="E1527" s="1024"/>
      <c r="F1527" s="1024"/>
      <c r="G1527" s="3146">
        <v>3</v>
      </c>
      <c r="H1527" s="3146">
        <v>3</v>
      </c>
      <c r="I1527" s="3146"/>
      <c r="J1527" s="3146"/>
      <c r="K1527" s="3146"/>
      <c r="L1527" s="3146"/>
      <c r="M1527" s="2719" t="s">
        <v>6142</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6130</v>
      </c>
      <c r="T1527" s="2692"/>
      <c r="U1527" s="474"/>
      <c r="V1527" s="474"/>
      <c r="W1527" s="474"/>
      <c r="X1527" s="3147">
        <f>O1579</f>
        <v>3</v>
      </c>
      <c r="Y1527" s="3147">
        <f>O1579</f>
        <v>3</v>
      </c>
      <c r="Z1527" s="3147">
        <f>O1579</f>
        <v>3</v>
      </c>
      <c r="AA1527" s="3146"/>
      <c r="AB1527" s="3147">
        <f>O1579</f>
        <v>3</v>
      </c>
      <c r="AC1527" s="3147">
        <f>O1579</f>
        <v>3</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3395</v>
      </c>
      <c r="C1528" s="2833"/>
      <c r="D1528" s="1024"/>
      <c r="E1528" s="1024"/>
      <c r="F1528" s="1024"/>
      <c r="G1528" s="3146">
        <v>20</v>
      </c>
      <c r="H1528" s="3146">
        <v>12</v>
      </c>
      <c r="I1528" s="3146"/>
      <c r="J1528" s="3146"/>
      <c r="K1528" s="3146"/>
      <c r="L1528" s="3146"/>
      <c r="Q1528" s="2753"/>
      <c r="R1528" s="2802" t="s">
        <v>1669</v>
      </c>
      <c r="S1528" s="2883" t="s">
        <v>3395</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4040</v>
      </c>
      <c r="C1529" s="2833"/>
      <c r="D1529" s="1024"/>
      <c r="E1529" s="1024"/>
      <c r="F1529" s="1024"/>
      <c r="G1529" s="3146">
        <v>6</v>
      </c>
      <c r="H1529" s="3146">
        <v>4</v>
      </c>
      <c r="I1529" s="3146"/>
      <c r="J1529" s="3146"/>
      <c r="K1529" s="3146"/>
      <c r="L1529" s="3146"/>
      <c r="Q1529" s="2753"/>
      <c r="R1529" s="2802" t="s">
        <v>496</v>
      </c>
      <c r="S1529" s="2883" t="s">
        <v>4040</v>
      </c>
      <c r="T1529" s="2692"/>
      <c r="U1529" s="474"/>
      <c r="V1529" s="474"/>
      <c r="W1529" s="474"/>
      <c r="X1529" s="3149">
        <f>O1603</f>
        <v>3</v>
      </c>
      <c r="Y1529" s="3149">
        <f>O1603</f>
        <v>3</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3340</v>
      </c>
      <c r="C1530" s="2833"/>
      <c r="D1530" s="1024"/>
      <c r="E1530" s="1024"/>
      <c r="F1530" s="1024"/>
      <c r="G1530" s="3146">
        <v>3</v>
      </c>
      <c r="H1530" s="3146">
        <v>2</v>
      </c>
      <c r="I1530" s="3146"/>
      <c r="J1530" s="3146"/>
      <c r="K1530" s="3146"/>
      <c r="L1530" s="3146"/>
      <c r="M1530" s="3150" t="s">
        <v>6567</v>
      </c>
      <c r="N1530" s="3150"/>
      <c r="O1530" s="3150"/>
      <c r="P1530" s="3150"/>
      <c r="Q1530" s="2753"/>
      <c r="R1530" s="2802" t="s">
        <v>720</v>
      </c>
      <c r="S1530" s="2883" t="s">
        <v>3340</v>
      </c>
      <c r="T1530" s="2692"/>
      <c r="U1530" s="474"/>
      <c r="V1530" s="474"/>
      <c r="W1530" s="474"/>
      <c r="X1530" s="3146">
        <f>O1642</f>
        <v>0</v>
      </c>
      <c r="Y1530" s="3146">
        <f>O1642</f>
        <v>0</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3396</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3396</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3397</v>
      </c>
      <c r="C1532" s="2833"/>
      <c r="D1532" s="1024"/>
      <c r="E1532" s="1024"/>
      <c r="F1532" s="1024"/>
      <c r="G1532" s="3146">
        <v>3</v>
      </c>
      <c r="H1532" s="3146"/>
      <c r="I1532" s="3146"/>
      <c r="J1532" s="3146"/>
      <c r="K1532" s="3146"/>
      <c r="L1532" s="3146"/>
      <c r="M1532" s="2692" t="s">
        <v>6562</v>
      </c>
      <c r="N1532" s="2692"/>
      <c r="O1532" s="2692"/>
      <c r="P1532" s="2707" t="str">
        <f>'Part VIII Scoring Criteria'!P41</f>
        <v>No</v>
      </c>
      <c r="Q1532" s="2753"/>
      <c r="R1532" s="2802" t="s">
        <v>401</v>
      </c>
      <c r="S1532" s="2883" t="s">
        <v>3397</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4041</v>
      </c>
      <c r="C1533" s="2833"/>
      <c r="D1533" s="1024"/>
      <c r="E1533" s="1024"/>
      <c r="F1533" s="1024"/>
      <c r="G1533" s="3146">
        <v>10</v>
      </c>
      <c r="H1533" s="3146">
        <v>5</v>
      </c>
      <c r="I1533" s="3146"/>
      <c r="J1533" s="3146"/>
      <c r="K1533" s="3146"/>
      <c r="L1533" s="3146"/>
      <c r="M1533" s="2692" t="s">
        <v>3308</v>
      </c>
      <c r="N1533" s="2692"/>
      <c r="O1533" s="2692"/>
      <c r="P1533" s="2707" t="str">
        <f>'Part VIII Scoring Criteria'!P42</f>
        <v>No</v>
      </c>
      <c r="Q1533" s="2753"/>
      <c r="R1533" s="2802" t="s">
        <v>342</v>
      </c>
      <c r="S1533" s="2883" t="s">
        <v>4041</v>
      </c>
      <c r="T1533" s="2692"/>
      <c r="U1533" s="474"/>
      <c r="V1533" s="474"/>
      <c r="W1533" s="474"/>
      <c r="X1533" s="3147">
        <f>O1695</f>
        <v>4</v>
      </c>
      <c r="Y1533" s="3147">
        <f>O1695</f>
        <v>4</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6131</v>
      </c>
      <c r="C1534" s="2833"/>
      <c r="D1534" s="1024"/>
      <c r="E1534" s="1024"/>
      <c r="F1534" s="1024"/>
      <c r="G1534" s="3146">
        <v>1</v>
      </c>
      <c r="H1534" s="3146"/>
      <c r="I1534" s="3146"/>
      <c r="J1534" s="3146"/>
      <c r="K1534" s="3146"/>
      <c r="L1534" s="3146"/>
      <c r="M1534" s="2692" t="s">
        <v>6146</v>
      </c>
      <c r="N1534" s="2719"/>
      <c r="O1534" s="2719"/>
      <c r="P1534" s="2707" t="str">
        <f>'Part VIII Scoring Criteria'!P43</f>
        <v>No</v>
      </c>
      <c r="Q1534" s="2753"/>
      <c r="R1534" s="2802" t="s">
        <v>343</v>
      </c>
      <c r="S1534" s="2883" t="s">
        <v>6131</v>
      </c>
      <c r="T1534" s="2692"/>
      <c r="U1534" s="474"/>
      <c r="V1534" s="474"/>
      <c r="W1534" s="474"/>
      <c r="X1534" s="3147">
        <f>O1715</f>
        <v>0</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6516</v>
      </c>
      <c r="N1535" s="2719"/>
      <c r="O1535" s="2847" t="s">
        <v>6145</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6132</v>
      </c>
      <c r="C1536" s="2833"/>
      <c r="D1536" s="1024"/>
      <c r="E1536" s="1024"/>
      <c r="F1536" s="1024"/>
      <c r="G1536" s="3146">
        <v>3</v>
      </c>
      <c r="H1536" s="3146"/>
      <c r="I1536" s="3146"/>
      <c r="J1536" s="3146"/>
      <c r="K1536" s="3146"/>
      <c r="L1536" s="3146"/>
      <c r="M1536" s="2692"/>
      <c r="N1536" s="2719"/>
      <c r="O1536" s="2847" t="s">
        <v>6563</v>
      </c>
      <c r="P1536" s="2682" t="str">
        <f>IF('Part VII-Threshold Criteria'!P1835="Agree","Yes","")</f>
        <v/>
      </c>
      <c r="Q1536" s="2753"/>
      <c r="R1536" s="2802" t="s">
        <v>1605</v>
      </c>
      <c r="S1536" s="2883" t="s">
        <v>6132</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3371</v>
      </c>
      <c r="B1537" s="2883" t="s">
        <v>4045</v>
      </c>
      <c r="C1537" s="2833"/>
      <c r="D1537" s="1024"/>
      <c r="E1537" s="1024"/>
      <c r="F1537" s="1024"/>
      <c r="G1537" s="3146">
        <v>5</v>
      </c>
      <c r="H1537" s="3146"/>
      <c r="I1537" s="3146"/>
      <c r="J1537" s="3146"/>
      <c r="K1537" s="3146"/>
      <c r="L1537" s="3146"/>
      <c r="M1537" s="2550"/>
      <c r="N1537" s="2550"/>
      <c r="O1537" s="2847" t="s">
        <v>6564</v>
      </c>
      <c r="P1537" s="2682" t="str">
        <f>IF('Part VII-Threshold Criteria'!P1837="Agree","Yes","")</f>
        <v/>
      </c>
      <c r="Q1537" s="2753"/>
      <c r="R1537" s="2802" t="s">
        <v>3371</v>
      </c>
      <c r="S1537" s="2883" t="s">
        <v>4045</v>
      </c>
      <c r="T1537" s="2692"/>
      <c r="U1537" s="474"/>
      <c r="V1537" s="474"/>
      <c r="W1537" s="474"/>
      <c r="X1537" s="3147">
        <f>O1742</f>
        <v>5</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3806</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3806</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3371</v>
      </c>
      <c r="B1539" s="2883" t="s">
        <v>6554</v>
      </c>
      <c r="C1539" s="2833"/>
      <c r="D1539" s="1024"/>
      <c r="E1539" s="1024"/>
      <c r="F1539" s="1024"/>
      <c r="G1539" s="3146">
        <v>2</v>
      </c>
      <c r="H1539" s="3146">
        <v>2</v>
      </c>
      <c r="I1539" s="3146">
        <v>2</v>
      </c>
      <c r="J1539" s="3146">
        <v>2</v>
      </c>
      <c r="K1539" s="3146">
        <v>2</v>
      </c>
      <c r="L1539" s="3146">
        <v>2</v>
      </c>
      <c r="M1539" s="2692" t="s">
        <v>6565</v>
      </c>
      <c r="N1539" s="2719"/>
      <c r="O1539" s="2719"/>
      <c r="P1539" s="2707" t="str">
        <f>'Part VIII Scoring Criteria'!P48</f>
        <v>No</v>
      </c>
      <c r="R1539" s="2802" t="s">
        <v>3371</v>
      </c>
      <c r="S1539" s="2883" t="s">
        <v>6554</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6874</v>
      </c>
      <c r="AR1539" s="2719"/>
      <c r="AS1539" s="2550"/>
      <c r="AT1539" s="3151">
        <f>'Part V-Revenues &amp; Expenses'!P1606+'Part V-Revenues &amp; Expenses'!P1613+'Part V-Revenues &amp; Expenses'!P1614</f>
        <v>0</v>
      </c>
    </row>
    <row r="1540" spans="1:46" s="652" customFormat="1" ht="10.5" customHeight="1">
      <c r="A1540" s="2802" t="s">
        <v>3372</v>
      </c>
      <c r="B1540" s="2883" t="s">
        <v>6555</v>
      </c>
      <c r="C1540" s="2833"/>
      <c r="D1540" s="1024"/>
      <c r="E1540" s="1024"/>
      <c r="F1540" s="1024"/>
      <c r="G1540" s="3146">
        <v>2</v>
      </c>
      <c r="H1540" s="3146">
        <v>2</v>
      </c>
      <c r="I1540" s="3146">
        <v>2</v>
      </c>
      <c r="J1540" s="3146">
        <v>2</v>
      </c>
      <c r="K1540" s="3146">
        <v>2</v>
      </c>
      <c r="L1540" s="3146">
        <v>2</v>
      </c>
      <c r="M1540" s="2692" t="s">
        <v>6566</v>
      </c>
      <c r="N1540" s="2550"/>
      <c r="O1540" s="2550"/>
      <c r="P1540" s="2976" t="str">
        <f>'Part II-Sources of Funds'!$L$14</f>
        <v>Yes</v>
      </c>
      <c r="R1540" s="2802" t="s">
        <v>3372</v>
      </c>
      <c r="S1540" s="2883" t="s">
        <v>6555</v>
      </c>
      <c r="T1540" s="2692"/>
      <c r="U1540" s="474"/>
      <c r="V1540" s="474"/>
      <c r="W1540" s="474"/>
      <c r="X1540" s="3147">
        <f>O1775</f>
        <v>0</v>
      </c>
      <c r="Y1540" s="3147">
        <f>O1775</f>
        <v>0</v>
      </c>
      <c r="Z1540" s="3147">
        <f>O1775</f>
        <v>0</v>
      </c>
      <c r="AA1540" s="3147">
        <f>O1775</f>
        <v>0</v>
      </c>
      <c r="AB1540" s="3147">
        <f>O1775</f>
        <v>0</v>
      </c>
      <c r="AC1540" s="3147">
        <f>O1775</f>
        <v>0</v>
      </c>
      <c r="AD1540" s="3147">
        <f>P1775</f>
        <v>0</v>
      </c>
      <c r="AE1540" s="3147">
        <f>P1775</f>
        <v>0</v>
      </c>
      <c r="AF1540" s="3147">
        <f>P1775</f>
        <v>0</v>
      </c>
      <c r="AG1540" s="3147">
        <f>P1775</f>
        <v>0</v>
      </c>
      <c r="AH1540" s="3147">
        <f>P1775</f>
        <v>0</v>
      </c>
      <c r="AI1540" s="3147">
        <f>P1775</f>
        <v>0</v>
      </c>
      <c r="AQ1540" s="2692" t="s">
        <v>6698</v>
      </c>
      <c r="AR1540" s="2719"/>
      <c r="AS1540" s="2719"/>
      <c r="AT1540" s="3151">
        <f>'Part V-Revenues &amp; Expenses'!P1609+'Part V-Revenues &amp; Expenses'!P1612-'Part V-Revenues &amp; Expenses'!$P$122-'Part V-Revenues &amp; Expenses'!$P$123</f>
        <v>0</v>
      </c>
    </row>
    <row r="1541" spans="1:46" s="652" customFormat="1" ht="10.5" customHeight="1">
      <c r="A1541" s="2802" t="s">
        <v>3370</v>
      </c>
      <c r="B1541" s="2883" t="s">
        <v>6560</v>
      </c>
      <c r="C1541" s="2833"/>
      <c r="D1541" s="1024"/>
      <c r="E1541" s="1024"/>
      <c r="F1541" s="1024"/>
      <c r="G1541" s="3146">
        <v>2</v>
      </c>
      <c r="H1541" s="3146"/>
      <c r="I1541" s="3146"/>
      <c r="J1541" s="3146">
        <v>2</v>
      </c>
      <c r="K1541" s="3146">
        <v>2</v>
      </c>
      <c r="L1541" s="3146">
        <v>2</v>
      </c>
      <c r="Q1541" s="2753"/>
      <c r="R1541" s="2802" t="s">
        <v>3370</v>
      </c>
      <c r="S1541" s="2883" t="s">
        <v>6560</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3373</v>
      </c>
      <c r="B1542" s="2883" t="s">
        <v>6133</v>
      </c>
      <c r="C1542" s="2833"/>
      <c r="D1542" s="1024"/>
      <c r="E1542" s="1024"/>
      <c r="F1542" s="1024"/>
      <c r="G1542" s="3146">
        <v>2</v>
      </c>
      <c r="H1542" s="3146"/>
      <c r="I1542" s="3146"/>
      <c r="J1542" s="3146">
        <v>2</v>
      </c>
      <c r="K1542" s="3146">
        <v>2</v>
      </c>
      <c r="L1542" s="3146">
        <v>2</v>
      </c>
      <c r="M1542" s="3152" t="s">
        <v>6742</v>
      </c>
      <c r="N1542" s="3152"/>
      <c r="O1542" s="3152"/>
      <c r="P1542" s="3152"/>
      <c r="Q1542" s="499"/>
      <c r="R1542" s="2802" t="s">
        <v>3373</v>
      </c>
      <c r="S1542" s="2883" t="s">
        <v>6133</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3374</v>
      </c>
      <c r="B1543" s="2883" t="s">
        <v>3398</v>
      </c>
      <c r="C1543" s="2833"/>
      <c r="D1543" s="1024"/>
      <c r="E1543" s="1024"/>
      <c r="F1543" s="1024"/>
      <c r="G1543" s="3146">
        <v>2</v>
      </c>
      <c r="H1543" s="3146"/>
      <c r="I1543" s="3146"/>
      <c r="J1543" s="3146">
        <v>2</v>
      </c>
      <c r="K1543" s="3146">
        <v>2</v>
      </c>
      <c r="L1543" s="3146">
        <v>2</v>
      </c>
      <c r="M1543" s="3152"/>
      <c r="N1543" s="3152"/>
      <c r="O1543" s="3152"/>
      <c r="P1543" s="3152"/>
      <c r="R1543" s="2802" t="s">
        <v>3374</v>
      </c>
      <c r="S1543" s="2883" t="s">
        <v>3398</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3377</v>
      </c>
      <c r="B1544" s="2883" t="s">
        <v>3399</v>
      </c>
      <c r="C1544" s="2833"/>
      <c r="D1544" s="1024"/>
      <c r="E1544" s="1024"/>
      <c r="F1544" s="1024"/>
      <c r="G1544" s="3146">
        <v>4</v>
      </c>
      <c r="H1544" s="3146">
        <v>2</v>
      </c>
      <c r="I1544" s="3146">
        <v>2</v>
      </c>
      <c r="J1544" s="3146">
        <v>4</v>
      </c>
      <c r="K1544" s="3146">
        <v>4</v>
      </c>
      <c r="L1544" s="3146">
        <v>4</v>
      </c>
      <c r="M1544" s="3152"/>
      <c r="N1544" s="3152"/>
      <c r="O1544" s="3152"/>
      <c r="P1544" s="3152"/>
      <c r="R1544" s="2802" t="s">
        <v>3377</v>
      </c>
      <c r="S1544" s="2883" t="s">
        <v>3399</v>
      </c>
      <c r="T1544" s="2692"/>
      <c r="U1544" s="474"/>
      <c r="V1544" s="474"/>
      <c r="W1544" s="474"/>
      <c r="X1544" s="3147">
        <f>O1832</f>
        <v>1</v>
      </c>
      <c r="Y1544" s="3147">
        <f>O1832</f>
        <v>1</v>
      </c>
      <c r="Z1544" s="3147">
        <f>O1832</f>
        <v>1</v>
      </c>
      <c r="AA1544" s="3147">
        <f>O1832</f>
        <v>1</v>
      </c>
      <c r="AB1544" s="3147">
        <f>O1832</f>
        <v>1</v>
      </c>
      <c r="AC1544" s="3147">
        <f>O1832</f>
        <v>1</v>
      </c>
      <c r="AD1544" s="3147">
        <f>P1832</f>
        <v>0</v>
      </c>
      <c r="AE1544" s="3147">
        <f>P1832</f>
        <v>0</v>
      </c>
      <c r="AF1544" s="3147">
        <f>P1832</f>
        <v>0</v>
      </c>
      <c r="AG1544" s="3147">
        <f>P1832</f>
        <v>0</v>
      </c>
      <c r="AH1544" s="3147">
        <f>P1832</f>
        <v>0</v>
      </c>
      <c r="AI1544" s="3147">
        <f>P1832</f>
        <v>0</v>
      </c>
    </row>
    <row r="1545" spans="1:46" s="652" customFormat="1" ht="10.5" customHeight="1">
      <c r="A1545" s="2802" t="s">
        <v>3378</v>
      </c>
      <c r="B1545" s="2883" t="s">
        <v>3400</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3378</v>
      </c>
      <c r="S1545" s="2883" t="s">
        <v>3400</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3379</v>
      </c>
      <c r="B1546" s="2883" t="s">
        <v>6134</v>
      </c>
      <c r="C1546" s="2833"/>
      <c r="D1546" s="1024"/>
      <c r="E1546" s="1024"/>
      <c r="F1546" s="1024"/>
      <c r="G1546" s="3146">
        <v>10</v>
      </c>
      <c r="H1546" s="3146">
        <v>10</v>
      </c>
      <c r="I1546" s="3146">
        <v>10</v>
      </c>
      <c r="J1546" s="3146">
        <v>10</v>
      </c>
      <c r="K1546" s="3146">
        <v>10</v>
      </c>
      <c r="L1546" s="3146">
        <v>10</v>
      </c>
      <c r="M1546" s="3000"/>
      <c r="N1546" s="3000"/>
      <c r="O1546" s="3000"/>
      <c r="P1546" s="3000"/>
      <c r="R1546" s="2802" t="s">
        <v>3379</v>
      </c>
      <c r="S1546" s="2883" t="s">
        <v>6134</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3380</v>
      </c>
      <c r="B1547" s="2883" t="s">
        <v>6556</v>
      </c>
      <c r="C1547" s="2833"/>
      <c r="D1547" s="1024"/>
      <c r="E1547" s="1024"/>
      <c r="F1547" s="1024"/>
      <c r="G1547" s="3146">
        <v>3</v>
      </c>
      <c r="H1547" s="3146">
        <v>3</v>
      </c>
      <c r="I1547" s="3146">
        <v>3</v>
      </c>
      <c r="J1547" s="3146">
        <v>3</v>
      </c>
      <c r="K1547" s="3146">
        <v>3</v>
      </c>
      <c r="L1547" s="3146">
        <v>3</v>
      </c>
      <c r="R1547" s="2802" t="s">
        <v>3380</v>
      </c>
      <c r="S1547" s="2883" t="s">
        <v>6556</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3381</v>
      </c>
      <c r="B1548" s="2883" t="s">
        <v>6135</v>
      </c>
      <c r="C1548" s="2833"/>
      <c r="D1548" s="1024"/>
      <c r="E1548" s="1024"/>
      <c r="F1548" s="1024"/>
      <c r="G1548" s="3146"/>
      <c r="H1548" s="3146"/>
      <c r="I1548" s="3146">
        <v>6</v>
      </c>
      <c r="J1548" s="3146">
        <v>6</v>
      </c>
      <c r="K1548" s="3146">
        <v>6</v>
      </c>
      <c r="L1548" s="3146">
        <v>6</v>
      </c>
      <c r="M1548" s="3150" t="s">
        <v>6143</v>
      </c>
      <c r="N1548" s="3150"/>
      <c r="O1548" s="3150"/>
      <c r="P1548" s="3150"/>
      <c r="Q1548" s="2753"/>
      <c r="R1548" s="2802" t="s">
        <v>3381</v>
      </c>
      <c r="S1548" s="2883" t="s">
        <v>6135</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3382</v>
      </c>
      <c r="B1549" s="2883" t="s">
        <v>6557</v>
      </c>
      <c r="C1549" s="2833"/>
      <c r="D1549" s="1024"/>
      <c r="E1549" s="1024"/>
      <c r="F1549" s="1024"/>
      <c r="G1549" s="3146"/>
      <c r="H1549" s="3146"/>
      <c r="I1549" s="3146">
        <v>6</v>
      </c>
      <c r="J1549" s="3146">
        <v>6</v>
      </c>
      <c r="K1549" s="3146">
        <v>6</v>
      </c>
      <c r="L1549" s="3146">
        <v>6</v>
      </c>
      <c r="M1549" s="3150"/>
      <c r="N1549" s="3150"/>
      <c r="O1549" s="3150"/>
      <c r="P1549" s="3150"/>
      <c r="Q1549" s="2753"/>
      <c r="R1549" s="2802" t="s">
        <v>3382</v>
      </c>
      <c r="S1549" s="2883" t="s">
        <v>6557</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3805</v>
      </c>
      <c r="B1550" s="2883" t="s">
        <v>6558</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3805</v>
      </c>
      <c r="S1550" s="2883" t="s">
        <v>6558</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6561</v>
      </c>
      <c r="B1551" s="2883" t="s">
        <v>6559</v>
      </c>
      <c r="C1551" s="2833"/>
      <c r="D1551" s="1024"/>
      <c r="E1551" s="1024"/>
      <c r="F1551" s="1024"/>
      <c r="G1551" s="3146"/>
      <c r="H1551" s="3146"/>
      <c r="I1551" s="3146">
        <v>6</v>
      </c>
      <c r="J1551" s="3146">
        <v>4</v>
      </c>
      <c r="K1551" s="3146">
        <v>6</v>
      </c>
      <c r="L1551" s="3146">
        <v>4</v>
      </c>
      <c r="M1551" s="3000"/>
      <c r="N1551" s="3000"/>
      <c r="O1551" s="3000"/>
      <c r="P1551" s="3000"/>
      <c r="Q1551" s="2753"/>
      <c r="R1551" s="2802" t="s">
        <v>6561</v>
      </c>
      <c r="S1551" s="2883" t="s">
        <v>6559</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6248</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65</v>
      </c>
      <c r="Y1553" s="3153">
        <f t="shared" ref="Y1553" si="462">SUM(Y1526:Y1551)</f>
        <v>58</v>
      </c>
      <c r="Z1553" s="3153">
        <f>SUM(Z1526:Z1551)</f>
        <v>31</v>
      </c>
      <c r="AA1553" s="3153">
        <f>SUM(AA1526:AA1551)</f>
        <v>30</v>
      </c>
      <c r="AB1553" s="3153">
        <f>SUM(AB1526:AB1551)</f>
        <v>33</v>
      </c>
      <c r="AC1553" s="3153">
        <f>SUM(AC1526:AC1551)</f>
        <v>33</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6875</v>
      </c>
      <c r="M1554" s="2910">
        <v>10</v>
      </c>
      <c r="N1554" s="3154"/>
      <c r="O1554" s="3012">
        <v>10</v>
      </c>
      <c r="P1554" s="3012">
        <f>'Part VIII Scoring Criteria'!P63</f>
        <v>10</v>
      </c>
      <c r="Q1554" s="2910" t="s">
        <v>416</v>
      </c>
      <c r="R1554" s="474"/>
    </row>
    <row r="1555" spans="1:35" s="3093" customFormat="1" ht="3.5"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3807</v>
      </c>
      <c r="D1556" s="2135"/>
      <c r="E1556" s="2135"/>
      <c r="F1556" s="2976"/>
      <c r="N1556" s="3064" t="s">
        <v>1842</v>
      </c>
      <c r="P1556" s="2987">
        <f>SUM(P1557:P1559)</f>
        <v>0</v>
      </c>
      <c r="Q1556" s="474" t="s">
        <v>6876</v>
      </c>
    </row>
    <row r="1557" spans="1:35" s="3093" customFormat="1" ht="12.75" customHeight="1">
      <c r="A1557" s="2950"/>
      <c r="B1557" s="3155" t="s">
        <v>1845</v>
      </c>
      <c r="C1557" s="2135" t="s">
        <v>3810</v>
      </c>
      <c r="D1557" s="2135"/>
      <c r="E1557" s="2135"/>
      <c r="F1557" s="2976"/>
      <c r="H1557" s="2692" t="s">
        <v>3177</v>
      </c>
      <c r="J1557" s="2967"/>
      <c r="N1557" s="3156" t="s">
        <v>1845</v>
      </c>
      <c r="P1557" s="2987">
        <f>F1565</f>
        <v>0</v>
      </c>
    </row>
    <row r="1558" spans="1:35" s="3093" customFormat="1" ht="12.75" customHeight="1">
      <c r="A1558" s="2950"/>
      <c r="B1558" s="3155" t="s">
        <v>1847</v>
      </c>
      <c r="C1558" s="2135" t="s">
        <v>6877</v>
      </c>
      <c r="D1558" s="2135"/>
      <c r="E1558" s="2135"/>
      <c r="F1558" s="2976"/>
      <c r="H1558" s="2692" t="s">
        <v>3808</v>
      </c>
      <c r="J1558" s="2967"/>
      <c r="N1558" s="3156" t="s">
        <v>1847</v>
      </c>
      <c r="P1558" s="2987">
        <f>J1565</f>
        <v>0</v>
      </c>
    </row>
    <row r="1559" spans="1:35" s="3093" customFormat="1" ht="12.75" customHeight="1">
      <c r="A1559" s="2950"/>
      <c r="B1559" s="3155" t="s">
        <v>2333</v>
      </c>
      <c r="C1559" s="2135" t="s">
        <v>3809</v>
      </c>
      <c r="D1559" s="2135"/>
      <c r="E1559" s="2135"/>
      <c r="F1559" s="2976"/>
      <c r="H1559" s="2692" t="s">
        <v>3813</v>
      </c>
      <c r="J1559" s="2967"/>
      <c r="N1559" s="3156" t="s">
        <v>2333</v>
      </c>
      <c r="P1559" s="2924"/>
    </row>
    <row r="1560" spans="1:35" s="3093" customFormat="1" ht="12.75" customHeight="1">
      <c r="C1560" s="2746" t="s">
        <v>6813</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6878</v>
      </c>
      <c r="J1562" s="2967"/>
      <c r="M1562" s="2910"/>
      <c r="N1562" s="3064" t="s">
        <v>1844</v>
      </c>
      <c r="P1562" s="2987">
        <f>O1565</f>
        <v>0</v>
      </c>
      <c r="Q1562" s="474" t="s">
        <v>6876</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6778</v>
      </c>
      <c r="B1564" s="3161"/>
      <c r="C1564" s="3161"/>
      <c r="D1564" s="3161"/>
      <c r="E1564" s="3161"/>
      <c r="F1564" s="2822" t="s">
        <v>3392</v>
      </c>
      <c r="G1564" s="3011" t="s">
        <v>6779</v>
      </c>
      <c r="H1564" s="3011"/>
      <c r="I1564" s="3011"/>
      <c r="J1564" s="2822" t="s">
        <v>3392</v>
      </c>
      <c r="K1564" s="3006" t="s">
        <v>6780</v>
      </c>
      <c r="L1564" s="3006"/>
      <c r="M1564" s="3006"/>
      <c r="N1564" s="3006"/>
      <c r="O1564" s="2692" t="s">
        <v>3392</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6879</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3928</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3</v>
      </c>
      <c r="P1579" s="3012">
        <f>'Part VIII Scoring Criteria'!P88</f>
        <v>0</v>
      </c>
      <c r="Q1579" s="2910" t="s">
        <v>416</v>
      </c>
      <c r="S1579" s="3020"/>
    </row>
    <row r="1580" spans="1:20" s="3093" customFormat="1" ht="2.25" customHeight="1">
      <c r="A1580" s="3164"/>
      <c r="B1580" s="3165"/>
      <c r="E1580" s="474"/>
      <c r="F1580" s="3093" t="s">
        <v>3820</v>
      </c>
      <c r="G1580" s="3006"/>
      <c r="H1580" s="474"/>
      <c r="I1580" s="2967"/>
      <c r="K1580" s="3166"/>
      <c r="L1580" s="3167"/>
      <c r="M1580" s="2910"/>
      <c r="N1580" s="2910"/>
      <c r="O1580" s="3012"/>
      <c r="P1580" s="3012"/>
      <c r="Q1580" s="2910"/>
      <c r="R1580" s="3168"/>
    </row>
    <row r="1581" spans="1:20" s="3093" customFormat="1" ht="13.5" customHeight="1">
      <c r="A1581" s="2950" t="s">
        <v>1842</v>
      </c>
      <c r="B1581" s="2915" t="s">
        <v>6880</v>
      </c>
      <c r="E1581" s="474"/>
      <c r="G1581" s="3006"/>
      <c r="H1581" s="1024" t="s">
        <v>6653</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3814</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0</v>
      </c>
      <c r="P1583" s="3160">
        <f>'Part VIII Scoring Criteria'!P92</f>
        <v>0</v>
      </c>
    </row>
    <row r="1584" spans="1:20" s="3106" customFormat="1" ht="13.5" customHeight="1">
      <c r="A1584" s="2950"/>
      <c r="B1584" s="3170" t="s">
        <v>1845</v>
      </c>
      <c r="C1584" s="3171" t="s">
        <v>3815</v>
      </c>
      <c r="D1584" s="474"/>
      <c r="H1584" s="474" t="s">
        <v>3816</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4061</v>
      </c>
    </row>
    <row r="1585" spans="1:18" s="3106" customFormat="1" ht="13.5" customHeight="1">
      <c r="A1585" s="3064" t="s">
        <v>2986</v>
      </c>
      <c r="B1585" s="3170" t="s">
        <v>1847</v>
      </c>
      <c r="C1585" s="3171" t="s">
        <v>3817</v>
      </c>
      <c r="D1585" s="474"/>
      <c r="I1585" s="2692"/>
      <c r="K1585" s="474"/>
      <c r="L1585" s="3161"/>
      <c r="M1585" s="2917">
        <v>2</v>
      </c>
      <c r="N1585" s="3157" t="s">
        <v>1847</v>
      </c>
      <c r="O1585" s="3173">
        <f>'Part VIII Scoring Criteria'!O94</f>
        <v>0</v>
      </c>
      <c r="P1585" s="3012"/>
      <c r="Q1585" s="3104" t="str">
        <f>IF(OR($O1585=$M1585,$O1585=0,$O1585=""),"","*CHECK!*")</f>
        <v/>
      </c>
      <c r="R1585" s="2694" t="s">
        <v>4061</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6881</v>
      </c>
      <c r="E1587" s="3006"/>
      <c r="H1587" s="2692" t="s">
        <v>3818</v>
      </c>
      <c r="I1587" s="2692"/>
      <c r="J1587" s="3174" t="s">
        <v>3819</v>
      </c>
      <c r="M1587" s="2917">
        <v>3</v>
      </c>
      <c r="N1587" s="3058" t="s">
        <v>1844</v>
      </c>
      <c r="O1587" s="3160">
        <f>'Part VIII Scoring Criteria'!O96</f>
        <v>3</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20</v>
      </c>
      <c r="I1588" s="3178"/>
      <c r="J1588" s="3179">
        <f>'Part V-Revenues &amp; Expenses'!P1556</f>
        <v>0</v>
      </c>
      <c r="K1588" s="3073">
        <f>IF(OR('Part V-Revenues &amp; Expenses'!$P$65="", 'Part V-Revenues &amp; Expenses'!$P$65=0),0,H1588/'Part V-Revenues &amp; Expenses'!$P$65)</f>
        <v>0.38461538461538464</v>
      </c>
      <c r="L1588" s="3073">
        <f>IF(OR('Part V-Revenues &amp; Expenses'!$P$65="", 'Part V-Revenues &amp; Expenses'!$P$65=0),0,I1588/'Part V-Revenues &amp; Expenses'!$P$65)</f>
        <v>0</v>
      </c>
      <c r="M1588" s="2917"/>
      <c r="N1588" s="3156" t="s">
        <v>1845</v>
      </c>
      <c r="O1588" s="3160" t="str">
        <f>IF(AND(K1588 &gt;= $C$97,O1589="Yes"),"Yes","No")</f>
        <v>Yes</v>
      </c>
      <c r="P1588" s="3160" t="str">
        <f>IF(AND(L1588 &gt;= $C$97,P1589="Yes"),"Yes","No")</f>
        <v>No</v>
      </c>
    </row>
    <row r="1589" spans="1:18" s="3159" customFormat="1" ht="13.5" customHeight="1">
      <c r="A1589" s="2976"/>
      <c r="B1589" s="3170" t="s">
        <v>1847</v>
      </c>
      <c r="C1589" s="2982" t="s">
        <v>3326</v>
      </c>
      <c r="E1589" s="2961"/>
      <c r="F1589" s="3112"/>
      <c r="I1589" s="3129"/>
      <c r="J1589" s="3129"/>
      <c r="K1589" s="3129"/>
      <c r="L1589" s="3129"/>
      <c r="M1589" s="3129"/>
      <c r="N1589" s="3156" t="s">
        <v>1847</v>
      </c>
      <c r="O1589" s="3066" t="str">
        <f>'Part VIII Scoring Criteria'!O98</f>
        <v>Yes</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6">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3369</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6882</v>
      </c>
      <c r="J1596" s="2849"/>
      <c r="K1596" s="2849"/>
      <c r="L1596" s="2849"/>
      <c r="M1596" s="2917">
        <v>20</v>
      </c>
      <c r="N1596" s="3157" t="s">
        <v>1842</v>
      </c>
      <c r="O1596" s="3181">
        <f>'Part VIII Scoring Criteria'!O105</f>
        <v>20</v>
      </c>
      <c r="P1596" s="3182"/>
      <c r="Q1596" s="3104"/>
      <c r="R1596" s="2694" t="s">
        <v>4061</v>
      </c>
    </row>
    <row r="1597" spans="1:18" s="3106" customFormat="1" ht="12.75" customHeight="1">
      <c r="A1597" s="2950" t="s">
        <v>1844</v>
      </c>
      <c r="B1597" s="2135" t="s">
        <v>3281</v>
      </c>
      <c r="D1597" s="3183"/>
      <c r="F1597" s="2794"/>
      <c r="H1597" s="2802" t="s">
        <v>3339</v>
      </c>
      <c r="I1597" s="2849"/>
      <c r="J1597" s="2849"/>
      <c r="K1597" s="2849"/>
      <c r="L1597" s="2849"/>
      <c r="M1597" s="2976" t="s">
        <v>1165</v>
      </c>
      <c r="N1597" s="3064" t="s">
        <v>1844</v>
      </c>
      <c r="O1597" s="3181">
        <f>'Part VIII Scoring Criteria'!O106</f>
        <v>0</v>
      </c>
      <c r="P1597" s="3182"/>
      <c r="R1597" s="2694" t="s">
        <v>4061</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409.6">
      <c r="A1599" s="3049" t="str">
        <f>'Part VIII Scoring Criteria'!A108</f>
        <v xml:space="preserve">The desirables have been measured from Site entrance on Fincher Street/Stewart Circle. All desirables are less than 1 mile from the site entrance, to include: Dollar General, KC's Supermarket, Local Joes, Cave Spring Medical Center, J &amp; J Pharmacy, Reach for the Stars Daycare, Cave Spring Elementary School, a town square, Cave Spring Community Center, Rolater Park, Cave Spring Library, Cave Spring Fire Department, United Community Bank, First Baptist Church, and United States Postal Service. The subject property is not located in a USDA Food Desert. </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6">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6147</v>
      </c>
      <c r="I1603" s="2847" t="s">
        <v>6143</v>
      </c>
      <c r="J1603" s="2822" t="str">
        <f>M1550</f>
        <v>Rural</v>
      </c>
      <c r="K1603" s="2822" t="s">
        <v>363</v>
      </c>
      <c r="L1603" s="2822" t="str">
        <f>M1545</f>
        <v>New Supply</v>
      </c>
      <c r="M1603" s="2910">
        <v>6</v>
      </c>
      <c r="N1603" s="3064"/>
      <c r="O1603" s="3132">
        <f>'Part VIII Scoring Criteria'!O112</f>
        <v>3</v>
      </c>
      <c r="P1603" s="3132">
        <f>'Part VIII Scoring Criteria'!P112</f>
        <v>3</v>
      </c>
      <c r="Q1603" s="2910" t="s">
        <v>416</v>
      </c>
      <c r="R1603" s="3185"/>
      <c r="S1603" s="3185"/>
      <c r="T1603" s="3185"/>
      <c r="U1603" s="3185"/>
    </row>
    <row r="1604" spans="1:21" s="3093" customFormat="1" ht="17.25" customHeight="1">
      <c r="A1604" s="3135"/>
      <c r="B1604" s="2135" t="s">
        <v>3327</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3821</v>
      </c>
      <c r="D1605" s="3183"/>
      <c r="E1605" s="3106"/>
      <c r="F1605" s="3106"/>
      <c r="G1605" s="3106"/>
      <c r="H1605" s="2967"/>
      <c r="I1605" s="2967"/>
      <c r="M1605" s="2910"/>
      <c r="N1605" s="3064"/>
      <c r="O1605" s="3066">
        <f>'Part VIII Scoring Criteria'!O114</f>
        <v>0</v>
      </c>
      <c r="P1605" s="2976"/>
      <c r="Q1605" s="2910"/>
      <c r="R1605" s="3185"/>
      <c r="S1605" s="3185"/>
      <c r="T1605" s="3185"/>
      <c r="U1605" s="3185"/>
    </row>
    <row r="1606" spans="1:21" s="3093" customFormat="1" ht="11.25" customHeight="1">
      <c r="A1606" s="3135"/>
      <c r="B1606" s="3187" t="s">
        <v>1847</v>
      </c>
      <c r="C1606" s="474" t="s">
        <v>3822</v>
      </c>
      <c r="D1606" s="3183"/>
      <c r="E1606" s="3106"/>
      <c r="F1606" s="3106"/>
      <c r="G1606" s="3106"/>
      <c r="H1606" s="2967"/>
      <c r="I1606" s="2967"/>
      <c r="J1606" s="2135"/>
      <c r="K1606" s="2135"/>
      <c r="L1606" s="3106"/>
      <c r="M1606" s="3106"/>
      <c r="N1606" s="3064"/>
      <c r="O1606" s="3066">
        <f>'Part VIII Scoring Criteria'!O115</f>
        <v>0</v>
      </c>
      <c r="P1606" s="2976"/>
      <c r="Q1606" s="2910"/>
      <c r="R1606" s="3185"/>
      <c r="S1606" s="3185"/>
      <c r="T1606" s="3185"/>
      <c r="U1606" s="3185"/>
    </row>
    <row r="1607" spans="1:21" s="3093" customFormat="1" ht="11.25" customHeight="1">
      <c r="A1607" s="3135"/>
      <c r="B1607" s="3187" t="s">
        <v>2333</v>
      </c>
      <c r="C1607" s="474" t="s">
        <v>6149</v>
      </c>
      <c r="D1607" s="3183"/>
      <c r="E1607" s="3106"/>
      <c r="F1607" s="3106"/>
      <c r="G1607" s="3106"/>
      <c r="H1607" s="2967"/>
      <c r="I1607" s="2967"/>
      <c r="J1607" s="2135"/>
      <c r="K1607" s="2135"/>
      <c r="L1607" s="3106"/>
      <c r="M1607" s="3106"/>
      <c r="N1607" s="3064"/>
      <c r="O1607" s="3066">
        <f>'Part VIII Scoring Criteria'!O116</f>
        <v>0</v>
      </c>
      <c r="P1607" s="2976"/>
      <c r="Q1607" s="2910"/>
      <c r="R1607" s="3185"/>
      <c r="S1607" s="3185"/>
      <c r="T1607" s="3185"/>
      <c r="U1607" s="3185"/>
    </row>
    <row r="1608" spans="1:21" s="3093" customFormat="1" ht="11.25" customHeight="1">
      <c r="A1608" s="3135"/>
      <c r="B1608" s="3187" t="s">
        <v>1151</v>
      </c>
      <c r="C1608" s="474" t="s">
        <v>6883</v>
      </c>
      <c r="D1608" s="3183"/>
      <c r="E1608" s="3106"/>
      <c r="F1608" s="3106"/>
      <c r="G1608" s="3106"/>
      <c r="H1608" s="2967"/>
      <c r="I1608" s="2967"/>
      <c r="J1608" s="2135"/>
      <c r="K1608" s="2135"/>
      <c r="L1608" s="3106"/>
      <c r="M1608" s="3106"/>
      <c r="N1608" s="3064"/>
      <c r="O1608" s="3066">
        <f>'Part VIII Scoring Criteria'!O117</f>
        <v>0</v>
      </c>
      <c r="P1608" s="2976"/>
      <c r="Q1608" s="2910"/>
      <c r="R1608" s="3185"/>
      <c r="S1608" s="3185"/>
      <c r="T1608" s="3185"/>
      <c r="U1608" s="3185"/>
    </row>
    <row r="1609" spans="1:21" s="3093" customFormat="1" ht="11.25" customHeight="1">
      <c r="A1609" s="3135"/>
      <c r="B1609" s="3187">
        <v>5</v>
      </c>
      <c r="C1609" s="474" t="s">
        <v>6574</v>
      </c>
      <c r="D1609" s="3183"/>
      <c r="E1609" s="3106"/>
      <c r="F1609" s="3106"/>
      <c r="G1609" s="3106"/>
      <c r="H1609" s="2967"/>
      <c r="I1609" s="2967"/>
      <c r="J1609" s="2135"/>
      <c r="K1609" s="2135"/>
      <c r="L1609" s="3106"/>
      <c r="M1609" s="3106"/>
      <c r="N1609" s="3064"/>
      <c r="O1609" s="3066">
        <f>'Part VIII Scoring Criteria'!O118</f>
        <v>0</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6577</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3328</v>
      </c>
      <c r="D1613" s="3180"/>
      <c r="F1613" s="2135" t="s">
        <v>3217</v>
      </c>
      <c r="G1613" s="2135"/>
      <c r="H1613" s="2135"/>
      <c r="I1613" s="2135"/>
      <c r="J1613" s="2135" t="s">
        <v>3218</v>
      </c>
      <c r="K1613" s="2135"/>
      <c r="L1613" s="2135"/>
      <c r="M1613" s="2135"/>
      <c r="N1613" s="3064"/>
      <c r="O1613" s="3189" t="s">
        <v>6884</v>
      </c>
      <c r="P1613" s="3189"/>
      <c r="Q1613" s="2910"/>
      <c r="R1613" s="3185"/>
      <c r="S1613" s="3185"/>
      <c r="T1613" s="3185"/>
      <c r="U1613" s="3185"/>
    </row>
    <row r="1614" spans="1:21" s="3093" customFormat="1" ht="12" customHeight="1">
      <c r="B1614" s="3188"/>
      <c r="C1614" s="2692" t="s">
        <v>6781</v>
      </c>
      <c r="E1614" s="2719"/>
      <c r="F1614" s="2711">
        <f>'Part VIII Scoring Criteria'!F123</f>
        <v>0</v>
      </c>
      <c r="G1614" s="2711"/>
      <c r="H1614" s="3190"/>
      <c r="I1614" s="3190"/>
      <c r="J1614" s="2711">
        <f>'Part VIII Scoring Criteria'!J123</f>
        <v>0</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6150</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6687</v>
      </c>
      <c r="B1616" s="3193"/>
      <c r="C1616" s="2692" t="s">
        <v>6782</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3367</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5" customHeight="1">
      <c r="A1619" s="2983" t="s">
        <v>6885</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5" customHeight="1">
      <c r="A1621" s="3067" t="s">
        <v>1842</v>
      </c>
      <c r="B1621" s="2135" t="s">
        <v>3239</v>
      </c>
      <c r="D1621" s="3180"/>
      <c r="F1621" s="2967" t="s">
        <v>6886</v>
      </c>
      <c r="M1621" s="2910">
        <v>6</v>
      </c>
      <c r="N1621" s="3156" t="s">
        <v>1842</v>
      </c>
      <c r="O1621" s="3132">
        <f>'Part VIII Scoring Criteria'!O130</f>
        <v>0</v>
      </c>
      <c r="P1621" s="3132">
        <f>'Part VIII Scoring Criteria'!P130</f>
        <v>0</v>
      </c>
      <c r="Q1621" s="2910"/>
    </row>
    <row r="1622" spans="1:21" s="3093" customFormat="1" ht="12.5" customHeight="1">
      <c r="A1622" s="3067"/>
      <c r="B1622" s="474" t="s">
        <v>6151</v>
      </c>
      <c r="D1622" s="3180"/>
      <c r="F1622" s="2967"/>
      <c r="M1622" s="2910"/>
      <c r="N1622" s="3156"/>
      <c r="O1622" s="3066">
        <f>'Part VIII Scoring Criteria'!O131</f>
        <v>0</v>
      </c>
      <c r="P1622" s="2976"/>
      <c r="Q1622" s="2910"/>
    </row>
    <row r="1623" spans="1:21" s="3195" customFormat="1" ht="15">
      <c r="B1623" s="3196" t="s">
        <v>1845</v>
      </c>
      <c r="C1623" s="2749" t="s">
        <v>6887</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4061</v>
      </c>
    </row>
    <row r="1624" spans="1:21" s="3195" customFormat="1" ht="12" customHeight="1">
      <c r="A1624" s="2976" t="s">
        <v>1276</v>
      </c>
      <c r="B1624" s="3196" t="s">
        <v>1847</v>
      </c>
      <c r="C1624" s="2692" t="s">
        <v>6888</v>
      </c>
      <c r="D1624" s="2849"/>
      <c r="E1624" s="2849"/>
      <c r="F1624" s="2849"/>
      <c r="G1624" s="2746"/>
      <c r="J1624" s="2849" t="s">
        <v>6889</v>
      </c>
      <c r="K1624" s="2849"/>
      <c r="L1624" s="2849"/>
      <c r="M1624" s="2917">
        <v>5</v>
      </c>
      <c r="N1624" s="3187" t="s">
        <v>1847</v>
      </c>
      <c r="O1624" s="3199">
        <f>'Part VIII Scoring Criteria'!O133</f>
        <v>0</v>
      </c>
      <c r="P1624" s="3132"/>
      <c r="Q1624" s="2802" t="s">
        <v>6678</v>
      </c>
      <c r="R1624" s="2822" t="s">
        <v>6268</v>
      </c>
      <c r="S1624" s="2822" t="s">
        <v>6148</v>
      </c>
    </row>
    <row r="1625" spans="1:21" s="3195" customFormat="1" ht="12" customHeight="1">
      <c r="B1625" s="3196"/>
      <c r="C1625" s="2692"/>
      <c r="D1625" s="2849"/>
      <c r="E1625" s="2849"/>
      <c r="F1625" s="2849"/>
      <c r="G1625" s="2746"/>
      <c r="H1625" s="2849" t="s">
        <v>6890</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6891</v>
      </c>
      <c r="J1628" s="2744" t="str">
        <f>'Part VIII Scoring Criteria'!J137</f>
        <v>&lt;&lt; Enter transit agency/service name here &gt;&gt;</v>
      </c>
      <c r="K1628" s="2744"/>
      <c r="L1628" s="3204" t="s">
        <v>3238</v>
      </c>
      <c r="M1628" s="2917">
        <v>3</v>
      </c>
      <c r="N1628" s="3064" t="s">
        <v>1844</v>
      </c>
      <c r="O1628" s="3012">
        <f>'Part VIII Scoring Criteria'!O137</f>
        <v>3</v>
      </c>
      <c r="P1628" s="3012">
        <f>'Part VIII Scoring Criteria'!P137</f>
        <v>3</v>
      </c>
      <c r="Q1628" s="2802" t="s">
        <v>6679</v>
      </c>
      <c r="R1628" s="2976">
        <v>0.25</v>
      </c>
      <c r="S1628" s="2976">
        <v>3</v>
      </c>
    </row>
    <row r="1629" spans="1:21" s="3093" customFormat="1" ht="12" customHeight="1">
      <c r="A1629" s="3135"/>
      <c r="B1629" s="3205" t="s">
        <v>1845</v>
      </c>
      <c r="C1629" s="2692" t="s">
        <v>6892</v>
      </c>
      <c r="D1629" s="2849"/>
      <c r="E1629" s="2849"/>
      <c r="F1629" s="2849"/>
      <c r="G1629" s="2746"/>
      <c r="H1629" s="2849" t="s">
        <v>6893</v>
      </c>
      <c r="I1629" s="2849"/>
      <c r="J1629" s="2875" t="s">
        <v>6697</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&lt;&lt; Enter specific URL/webpage(s) showing established schedule from transit agency website here &gt;&gt;</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6894</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6895</v>
      </c>
      <c r="D1633" s="2849"/>
      <c r="E1633" s="2849"/>
      <c r="F1633" s="2849"/>
      <c r="G1633" s="2849"/>
      <c r="H1633" s="2849"/>
      <c r="I1633" s="2849"/>
      <c r="J1633" s="2744" t="str">
        <f>'Part VIII Scoring Criteria'!J142</f>
        <v>&lt;&lt; Enter specific URL/webpage(s) showing established routes from transit agency website (if different from schedule webpage) here &gt;&gt;</v>
      </c>
      <c r="K1633" s="2744"/>
      <c r="L1633" s="2744"/>
      <c r="M1633" s="2522">
        <v>2</v>
      </c>
      <c r="N1633" s="3196" t="s">
        <v>2333</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5" customHeight="1">
      <c r="A1635" s="474" t="s">
        <v>6896</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16">
      <c r="A1637" s="3049" t="str">
        <f>'Part VIII Scoring Criteria'!A146</f>
        <v>N/A</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6152</v>
      </c>
      <c r="C1642" s="3052"/>
      <c r="D1642" s="3052"/>
      <c r="E1642" s="3052"/>
      <c r="G1642" s="2822" t="s">
        <v>3823</v>
      </c>
      <c r="H1642" s="2847" t="str">
        <f>'Part VII-Threshold Criteria'!$J$35</f>
        <v>Family</v>
      </c>
      <c r="M1642" s="2910">
        <v>3</v>
      </c>
      <c r="N1642" s="3141"/>
      <c r="O1642" s="2912">
        <f>'Part VIII Scoring Criteria'!O151</f>
        <v>0</v>
      </c>
      <c r="P1642" s="2910">
        <f>'Part VIII Scoring Criteria'!P151</f>
        <v>0</v>
      </c>
      <c r="Q1642" s="3104" t="str">
        <f>IF(OR($O1642&lt;=$M1642,$O1642=0,$O1642=""),"","*CHECK!*")</f>
        <v/>
      </c>
      <c r="R1642" s="2906" t="s">
        <v>416</v>
      </c>
      <c r="S1642" s="2694" t="s">
        <v>4061</v>
      </c>
    </row>
    <row r="1643" spans="1:19" ht="18.75" customHeight="1">
      <c r="C1643" s="2752" t="s">
        <v>6897</v>
      </c>
      <c r="D1643" s="652"/>
      <c r="E1643" s="652"/>
      <c r="F1643" s="2752"/>
      <c r="G1643" s="2752"/>
      <c r="H1643" s="2752"/>
      <c r="I1643" s="3210"/>
      <c r="J1643" s="3144"/>
      <c r="K1643" s="3211"/>
      <c r="L1643" s="652"/>
      <c r="M1643" s="3212"/>
      <c r="P1643" s="3213" t="str">
        <f>IF(AND(O1642&gt;0,NOT($M$54="New Supply")), "Ineligible to score in this section, not New Supply!","")</f>
        <v/>
      </c>
    </row>
    <row r="1644" spans="1:19" ht="11.25" customHeight="1">
      <c r="C1644" s="2752" t="s">
        <v>6725</v>
      </c>
      <c r="F1644" s="2752"/>
      <c r="G1644" s="2752"/>
      <c r="H1644" s="2752"/>
      <c r="I1644" s="3210"/>
      <c r="J1644" s="3080" t="s">
        <v>6633</v>
      </c>
      <c r="K1644" s="3080"/>
      <c r="L1644" s="3080"/>
      <c r="M1644" s="3080"/>
    </row>
    <row r="1645" spans="1:19" ht="12.75" customHeight="1">
      <c r="B1645" s="2883"/>
      <c r="C1645" s="2883"/>
      <c r="D1645" s="2883"/>
      <c r="F1645" s="3211" t="s">
        <v>6783</v>
      </c>
      <c r="G1645" s="3211"/>
      <c r="H1645" s="3211" t="s">
        <v>6784</v>
      </c>
      <c r="I1645" s="3211"/>
      <c r="J1645" s="3211" t="s">
        <v>6635</v>
      </c>
      <c r="K1645" s="3211"/>
      <c r="L1645" s="3211" t="s">
        <v>6636</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6637</v>
      </c>
      <c r="C1647" s="3081"/>
      <c r="D1647" s="3212"/>
      <c r="F1647" s="3211"/>
      <c r="G1647" s="3211"/>
      <c r="H1647" s="3211"/>
      <c r="I1647" s="3211"/>
      <c r="J1647" s="3211"/>
      <c r="K1647" s="3211"/>
      <c r="L1647" s="3211"/>
      <c r="M1647" s="3211"/>
      <c r="N1647" s="2851"/>
      <c r="O1647" s="2709"/>
      <c r="P1647" s="2857"/>
    </row>
    <row r="1648" spans="1:19">
      <c r="B1648" s="2875">
        <f>'Part VIII Scoring Criteria'!B157</f>
        <v>0</v>
      </c>
      <c r="C1648" s="2875"/>
      <c r="D1648" s="2875"/>
      <c r="E1648" s="2875"/>
      <c r="F1648" s="2875">
        <f>'Part VIII Scoring Criteria'!F157</f>
        <v>0</v>
      </c>
      <c r="G1648" s="2875"/>
      <c r="H1648" s="2875">
        <f>'Part VIII Scoring Criteria'!H157</f>
        <v>0</v>
      </c>
      <c r="I1648" s="2875"/>
      <c r="J1648" s="2913">
        <f>'Part VIII Scoring Criteria'!J157</f>
        <v>0</v>
      </c>
      <c r="K1648" s="2913"/>
      <c r="L1648" s="2913">
        <f>'Part VIII Scoring Criteria'!L157</f>
        <v>0</v>
      </c>
      <c r="M1648" s="2913"/>
      <c r="N1648" s="2971"/>
      <c r="O1648" s="2971"/>
      <c r="P1648" s="2857"/>
    </row>
    <row r="1649" spans="1:21">
      <c r="B1649" s="2875">
        <f>'Part VIII Scoring Criteria'!B158</f>
        <v>0</v>
      </c>
      <c r="C1649" s="2875"/>
      <c r="D1649" s="2875"/>
      <c r="E1649" s="2875"/>
      <c r="F1649" s="2875">
        <f>'Part VIII Scoring Criteria'!F158</f>
        <v>0</v>
      </c>
      <c r="G1649" s="2875"/>
      <c r="H1649" s="2875">
        <f>'Part VIII Scoring Criteria'!H158</f>
        <v>0</v>
      </c>
      <c r="I1649" s="2875"/>
      <c r="J1649" s="2913">
        <f>'Part VIII Scoring Criteria'!J158</f>
        <v>0</v>
      </c>
      <c r="K1649" s="2913"/>
      <c r="L1649" s="2913">
        <f>'Part VIII Scoring Criteria'!L158</f>
        <v>0</v>
      </c>
      <c r="M1649" s="2913"/>
      <c r="N1649" s="2971"/>
      <c r="O1649" s="2971"/>
      <c r="P1649" s="2857"/>
    </row>
    <row r="1650" spans="1:21">
      <c r="B1650" s="2875">
        <f>'Part VIII Scoring Criteria'!B159</f>
        <v>0</v>
      </c>
      <c r="C1650" s="2875"/>
      <c r="D1650" s="2875"/>
      <c r="E1650" s="2875"/>
      <c r="F1650" s="2875">
        <f>'Part VIII Scoring Criteria'!F159</f>
        <v>0</v>
      </c>
      <c r="G1650" s="2875"/>
      <c r="H1650" s="2875">
        <f>'Part VIII Scoring Criteria'!H159</f>
        <v>0</v>
      </c>
      <c r="I1650" s="2875"/>
      <c r="J1650" s="2913">
        <f>'Part VIII Scoring Criteria'!J159</f>
        <v>0</v>
      </c>
      <c r="K1650" s="2913"/>
      <c r="L1650" s="2913">
        <f>'Part VIII Scoring Criteria'!L159</f>
        <v>0</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16">
      <c r="A1655" s="3049" t="str">
        <f>'Part VIII Scoring Criteria'!A164</f>
        <v>N/A</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3341</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6181</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6785</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4061</v>
      </c>
      <c r="S1662" s="2679"/>
      <c r="T1662" s="2679"/>
      <c r="U1662" s="2679"/>
    </row>
    <row r="1663" spans="1:21" s="2980" customFormat="1" ht="12" customHeight="1">
      <c r="B1663" s="3058" t="s">
        <v>2241</v>
      </c>
      <c r="C1663" s="3046" t="s">
        <v>6688</v>
      </c>
      <c r="D1663" s="3046"/>
      <c r="E1663" s="3053"/>
      <c r="F1663" s="3053"/>
      <c r="G1663" s="3053"/>
      <c r="H1663" s="3053"/>
      <c r="I1663" s="3053"/>
      <c r="J1663" s="3053"/>
      <c r="K1663" s="3053"/>
      <c r="L1663" s="3058"/>
      <c r="M1663" s="3006" t="s">
        <v>6092</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&lt;Enter page nbr(s) from Plan&gt;</v>
      </c>
      <c r="N1664" s="3219"/>
      <c r="O1664" s="3219"/>
      <c r="P1664" s="3219"/>
      <c r="S1664" s="2679"/>
      <c r="T1664" s="2679"/>
      <c r="U1664" s="2679"/>
    </row>
    <row r="1665" spans="1:22" s="2550" customFormat="1" ht="12.75" customHeight="1">
      <c r="B1665" s="3064" t="s">
        <v>2242</v>
      </c>
      <c r="C1665" s="474" t="s">
        <v>3959</v>
      </c>
      <c r="D1665" s="474"/>
      <c r="E1665" s="474"/>
      <c r="F1665" s="474"/>
      <c r="G1665" s="474"/>
      <c r="H1665" s="474"/>
      <c r="L1665" s="3064" t="s">
        <v>2242</v>
      </c>
      <c r="M1665" s="3219" t="str">
        <f>'Part VIII Scoring Criteria'!M174</f>
        <v>&lt;Enter page nbr(s) from Plan&gt;</v>
      </c>
      <c r="N1665" s="3219"/>
      <c r="O1665" s="3219"/>
      <c r="P1665" s="3219"/>
      <c r="S1665" s="2679"/>
      <c r="T1665" s="2679"/>
      <c r="U1665" s="2679"/>
    </row>
    <row r="1666" spans="1:22" s="2550" customFormat="1" ht="12.75" customHeight="1">
      <c r="B1666" s="3064" t="s">
        <v>2243</v>
      </c>
      <c r="C1666" s="474" t="s">
        <v>6179</v>
      </c>
      <c r="D1666" s="474"/>
      <c r="E1666" s="474"/>
      <c r="F1666" s="474"/>
      <c r="G1666" s="474"/>
      <c r="H1666" s="474"/>
      <c r="L1666" s="3064" t="s">
        <v>2243</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6180</v>
      </c>
      <c r="D1667" s="474"/>
      <c r="E1667" s="474"/>
      <c r="F1667" s="474"/>
      <c r="G1667" s="474"/>
      <c r="L1667" s="3064" t="s">
        <v>2244</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6256</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6786</v>
      </c>
      <c r="D1670" s="3046"/>
      <c r="E1670" s="3053"/>
      <c r="F1670" s="3053"/>
      <c r="G1670" s="3053"/>
      <c r="H1670" s="3053"/>
      <c r="I1670" s="3053"/>
      <c r="J1670" s="3053"/>
      <c r="K1670" s="3053"/>
      <c r="L1670" s="3053"/>
      <c r="M1670" s="2522">
        <v>1</v>
      </c>
      <c r="N1670" s="3058" t="s">
        <v>4079</v>
      </c>
      <c r="O1670" s="3218">
        <f>'Part VIII Scoring Criteria'!O179</f>
        <v>0</v>
      </c>
      <c r="P1670" s="3160"/>
      <c r="Q1670" s="3104" t="str">
        <f>IF(OR($O1670=$M1670,$O1670=0,$O1670=""),"","*CHECK!*")</f>
        <v/>
      </c>
      <c r="R1670" s="2694" t="s">
        <v>4061</v>
      </c>
    </row>
    <row r="1671" spans="1:22" s="652" customFormat="1">
      <c r="A1671" s="3064"/>
      <c r="B1671" s="3058" t="s">
        <v>2242</v>
      </c>
      <c r="C1671" s="3046" t="s">
        <v>6787</v>
      </c>
      <c r="D1671" s="3046"/>
      <c r="E1671" s="3053"/>
      <c r="F1671" s="3053"/>
      <c r="G1671" s="3053"/>
      <c r="H1671" s="3053"/>
      <c r="I1671" s="3053"/>
      <c r="J1671" s="3053"/>
      <c r="K1671" s="3053"/>
      <c r="L1671" s="3053"/>
      <c r="M1671" s="2522">
        <v>1</v>
      </c>
      <c r="N1671" s="3058" t="s">
        <v>6265</v>
      </c>
      <c r="O1671" s="3222">
        <f>'Part VIII Scoring Criteria'!O180</f>
        <v>0</v>
      </c>
      <c r="P1671" s="3223"/>
      <c r="Q1671" s="3104" t="str">
        <f>IF(OR($O1671=$M1671,$O1671=0,$O1671=""),"","*CHECK!*")</f>
        <v/>
      </c>
      <c r="R1671" s="2694" t="s">
        <v>4061</v>
      </c>
    </row>
    <row r="1672" spans="1:22" s="652" customFormat="1" ht="12" customHeight="1">
      <c r="A1672" s="3064"/>
      <c r="B1672" s="3089" t="s">
        <v>2243</v>
      </c>
      <c r="C1672" s="3006" t="s">
        <v>6788</v>
      </c>
      <c r="D1672" s="3046"/>
      <c r="E1672" s="3046"/>
      <c r="F1672" s="3046"/>
      <c r="G1672" s="3046"/>
      <c r="H1672" s="3046"/>
      <c r="I1672" s="3046"/>
      <c r="J1672" s="3046"/>
      <c r="K1672" s="3046"/>
      <c r="L1672" s="3046"/>
      <c r="M1672" s="2917">
        <v>1</v>
      </c>
      <c r="N1672" s="3064" t="s">
        <v>6266</v>
      </c>
      <c r="O1672" s="3218">
        <f>'Part VIII Scoring Criteria'!O181</f>
        <v>0</v>
      </c>
      <c r="P1672" s="3160"/>
      <c r="Q1672" s="3104" t="str">
        <f>IF(OR($O1672=$M1672,$O1672=0,$O1672=""),"","*CHECK!*")</f>
        <v/>
      </c>
      <c r="R1672" s="2694" t="s">
        <v>4061</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3824</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4061</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16">
      <c r="A1676" s="3049" t="str">
        <f>'Part VIII Scoring Criteria'!A185</f>
        <v>N/A</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3342</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3674</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N/a</v>
      </c>
      <c r="P1681" s="2976"/>
      <c r="Q1681" s="2910"/>
      <c r="R1681" s="3185"/>
      <c r="S1681" s="3185"/>
      <c r="T1681" s="3185"/>
      <c r="U1681" s="3185"/>
    </row>
    <row r="1682" spans="1:24" s="3093" customFormat="1" ht="13.5" customHeight="1">
      <c r="A1682" s="3135"/>
      <c r="B1682" s="3226" t="s">
        <v>6257</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5" customHeight="1">
      <c r="A1683" s="2950" t="s">
        <v>698</v>
      </c>
      <c r="B1683" s="2135" t="s">
        <v>6789</v>
      </c>
      <c r="D1683" s="2550"/>
      <c r="G1683" s="3112"/>
      <c r="O1683" s="2976"/>
      <c r="P1683" s="2976"/>
      <c r="Q1683" s="2847"/>
    </row>
    <row r="1684" spans="1:24" s="3228" customFormat="1" ht="12.75" customHeight="1">
      <c r="B1684" s="3196" t="s">
        <v>1845</v>
      </c>
      <c r="C1684" s="3046" t="s">
        <v>6212</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6213</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
      <c r="A1686" s="3064"/>
      <c r="B1686" s="3196" t="s">
        <v>2333</v>
      </c>
      <c r="C1686" s="3046" t="s">
        <v>6216</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5" customHeight="1">
      <c r="A1687" s="2950" t="s">
        <v>1963</v>
      </c>
      <c r="B1687" s="2135" t="s">
        <v>6214</v>
      </c>
      <c r="C1687" s="2755"/>
      <c r="D1687" s="2550"/>
      <c r="G1687" s="3112"/>
      <c r="O1687" s="2976"/>
      <c r="P1687" s="2976"/>
      <c r="Q1687" s="2847"/>
    </row>
    <row r="1688" spans="1:24" s="3228" customFormat="1" ht="12.75" customHeight="1">
      <c r="B1688" s="3196" t="s">
        <v>1845</v>
      </c>
      <c r="C1688" s="3046" t="s">
        <v>6790</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6791</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16">
      <c r="A1691" s="2744" t="str">
        <f>'Part VIII Scoring Criteria'!A200</f>
        <v>N/A</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2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Ineligible to score in this section, not New Supply!</v>
      </c>
      <c r="M1695" s="2910">
        <v>10</v>
      </c>
      <c r="N1695" s="2910"/>
      <c r="O1695" s="3012">
        <f>'Part VIII Scoring Criteria'!O204</f>
        <v>4</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3825</v>
      </c>
      <c r="D1697" s="2967"/>
      <c r="E1697" s="2967"/>
      <c r="K1697" s="3234"/>
      <c r="M1697" s="2917">
        <v>5</v>
      </c>
      <c r="N1697" s="3064" t="s">
        <v>1842</v>
      </c>
      <c r="O1697" s="3173">
        <f>'Part VIII Scoring Criteria'!O206</f>
        <v>3</v>
      </c>
      <c r="P1697" s="3012"/>
      <c r="Q1697" s="3104" t="str">
        <f>IF(O1697&lt;=M1697,"","*CHECK!*")</f>
        <v/>
      </c>
      <c r="R1697" s="2694" t="s">
        <v>4061</v>
      </c>
      <c r="S1697" s="3232"/>
      <c r="T1697" s="3232"/>
      <c r="U1697" s="3232"/>
    </row>
    <row r="1698" spans="1:37" ht="12.75" customHeight="1">
      <c r="B1698" s="3235"/>
      <c r="C1698" s="2971" t="s">
        <v>6259</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6260</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6218</v>
      </c>
      <c r="C1701" s="474"/>
      <c r="K1701" s="3064"/>
      <c r="L1701" s="3064"/>
      <c r="M1701" s="2917">
        <v>5</v>
      </c>
      <c r="N1701" s="3064" t="s">
        <v>1844</v>
      </c>
      <c r="O1701" s="3173">
        <f>'Part VIII Scoring Criteria'!O210</f>
        <v>1</v>
      </c>
      <c r="P1701" s="3012"/>
      <c r="Q1701" s="3104" t="str">
        <f>IF(O1701&lt;=M1701,"","*CHECK!*")</f>
        <v/>
      </c>
      <c r="R1701" s="2694" t="s">
        <v>4061</v>
      </c>
      <c r="S1701" s="3232"/>
      <c r="T1701" s="3232"/>
      <c r="U1701" s="3232"/>
    </row>
    <row r="1702" spans="1:37">
      <c r="C1702" s="3243" t="s">
        <v>6224</v>
      </c>
      <c r="D1702" s="652"/>
      <c r="E1702" s="3244" t="s">
        <v>6223</v>
      </c>
      <c r="F1702" s="3244"/>
      <c r="G1702" s="3244"/>
      <c r="H1702" s="3244"/>
      <c r="I1702" s="2860" t="s">
        <v>6250</v>
      </c>
      <c r="J1702" s="3244" t="s">
        <v>6223</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6221</v>
      </c>
      <c r="D1703" s="652"/>
      <c r="E1703" s="3245" t="str">
        <f>'Part VIII Scoring Criteria'!E212</f>
        <v>At or Below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6222</v>
      </c>
      <c r="D1704" s="652"/>
      <c r="E1704" s="3245" t="str">
        <f>'Part VIII Scoring Criteria'!E213</f>
        <v>Above 60th Percentile</v>
      </c>
      <c r="F1704" s="3245"/>
      <c r="G1704" s="3245"/>
      <c r="H1704" s="3245"/>
      <c r="I1704" s="3248" t="str">
        <f>'Part VIII Scoring Criteria'!I213</f>
        <v>2019</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6219</v>
      </c>
      <c r="D1705" s="652"/>
      <c r="E1705" s="3245" t="str">
        <f>'Part VIII Scoring Criteria'!E214</f>
        <v>At or Below 60th Percentile</v>
      </c>
      <c r="F1705" s="3245"/>
      <c r="G1705" s="3245"/>
      <c r="H1705" s="3245"/>
      <c r="I1705" s="3248" t="str">
        <f>'Part VIII Scoring Criteria'!I214</f>
        <v>2019</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6220</v>
      </c>
      <c r="D1706" s="652"/>
      <c r="E1706" s="3250" t="str">
        <f>'Part VIII Scoring Criteria'!E215</f>
        <v>At or Below 60th Percentile</v>
      </c>
      <c r="F1706" s="3250"/>
      <c r="G1706" s="3250"/>
      <c r="H1706" s="3250"/>
      <c r="I1706" s="3251" t="str">
        <f>'Part VIII Scoring Criteria'!I215</f>
        <v>2019</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204">
      <c r="A1710" s="3049" t="str">
        <f>'Part VIII Scoring Criteria'!A219</f>
        <v>Tract Income Level is identified as Middle. Site is located in tract 20.0 which is 18.42% below poverty level. Health insurance coverage rate indicator scored above 60th percentile according to the 2019 dataset.</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4037</v>
      </c>
      <c r="C1715" s="1024"/>
      <c r="G1715" s="2847" t="s">
        <v>6253</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0</v>
      </c>
      <c r="P1715" s="3012">
        <f>'Part VIII Scoring Criteria'!P224</f>
        <v>0</v>
      </c>
      <c r="Q1715" s="2910" t="s">
        <v>416</v>
      </c>
      <c r="R1715" s="2847" t="str">
        <f>IF(AND(O1715&gt;0,NOT($M$54="New Supply")), "Ineligible to score in this section, not New Supply!","")</f>
        <v/>
      </c>
    </row>
    <row r="1716" spans="1:24" s="3093" customFormat="1" ht="12" customHeight="1">
      <c r="A1716" s="2550"/>
      <c r="B1716" s="3256" t="s">
        <v>6254</v>
      </c>
      <c r="D1716" s="474"/>
      <c r="E1716" s="474"/>
      <c r="F1716" s="2910"/>
      <c r="G1716" s="2976" t="s">
        <v>3155</v>
      </c>
      <c r="H1716" s="3073">
        <f>IF('Part V-Revenues &amp; Expenses'!$P$67=0,0,'Part V-Revenues &amp; Expenses'!$P$64/'Part V-Revenues &amp; Expenses'!$P$67)</f>
        <v>0</v>
      </c>
      <c r="J1716" s="3112" t="s">
        <v>3962</v>
      </c>
      <c r="K1716" s="3074" t="str">
        <f>'Part V-Revenues &amp; Expenses'!$O$53</f>
        <v>40% of Units at 60% of AMI</v>
      </c>
      <c r="L1716" s="3074"/>
      <c r="M1716" s="2976"/>
      <c r="N1716" s="2910"/>
      <c r="O1716" s="2671"/>
      <c r="P1716" s="3012"/>
    </row>
    <row r="1717" spans="1:24" s="652" customFormat="1" ht="12" customHeight="1">
      <c r="A1717" s="2917" t="s">
        <v>1842</v>
      </c>
      <c r="B1717" s="1024" t="s">
        <v>3960</v>
      </c>
      <c r="C1717" s="1024"/>
      <c r="E1717" s="2833" t="s">
        <v>3961</v>
      </c>
      <c r="M1717" s="2917">
        <v>1</v>
      </c>
      <c r="N1717" s="3064" t="s">
        <v>1842</v>
      </c>
      <c r="O1717" s="3173">
        <f>'Part VIII Scoring Criteria'!O226</f>
        <v>0</v>
      </c>
      <c r="P1717" s="3012"/>
      <c r="Q1717" s="3200" t="str">
        <f>IF(OR($O1717=$M1717,$O1717=0,$O1717=""),"","*CHECK!*")</f>
        <v/>
      </c>
      <c r="R1717" s="2694" t="s">
        <v>4061</v>
      </c>
    </row>
    <row r="1718" spans="1:24" s="652" customFormat="1" ht="12" customHeight="1">
      <c r="A1718" s="2917" t="s">
        <v>1844</v>
      </c>
      <c r="B1718" s="1024" t="s">
        <v>3815</v>
      </c>
      <c r="C1718" s="1024"/>
      <c r="E1718" s="2833" t="s">
        <v>4042</v>
      </c>
      <c r="M1718" s="2666">
        <v>1</v>
      </c>
      <c r="N1718" s="3064" t="s">
        <v>1844</v>
      </c>
      <c r="O1718" s="3173">
        <f>'Part VIII Scoring Criteria'!O227</f>
        <v>0</v>
      </c>
      <c r="P1718" s="3012"/>
      <c r="Q1718" s="3200" t="str">
        <f>IF(OR($O1718=$M1718,$O1718=0,$O1718=""),"","*CHECK!*")</f>
        <v/>
      </c>
      <c r="R1718" s="2694" t="s">
        <v>4061</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3343</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16">
      <c r="A1728" s="3049" t="str">
        <f>'Part VIII Scoring Criteria'!A237</f>
        <v>N/A</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4039</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4061</v>
      </c>
      <c r="S1732" s="2683"/>
      <c r="T1732" s="2683"/>
      <c r="U1732" s="2683"/>
      <c r="V1732" s="2683"/>
      <c r="W1732" s="3020"/>
      <c r="X1732" s="3020"/>
    </row>
    <row r="1733" spans="1:27" s="1024" customFormat="1" ht="11">
      <c r="A1733" s="3196"/>
      <c r="B1733" s="3046" t="s">
        <v>6261</v>
      </c>
      <c r="C1733" s="3046"/>
      <c r="D1733" s="3046"/>
      <c r="E1733" s="3046"/>
      <c r="F1733" s="3046"/>
      <c r="G1733" s="3046"/>
      <c r="H1733" s="3046"/>
      <c r="I1733" s="3046"/>
      <c r="J1733" s="3046"/>
      <c r="K1733" s="3046"/>
      <c r="L1733" s="3046"/>
      <c r="M1733" s="3046"/>
      <c r="N1733" s="3058"/>
      <c r="O1733" s="3078" t="str">
        <f>'Part VIII Scoring Criteria'!O242</f>
        <v>No</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6262</v>
      </c>
      <c r="E1734" s="2923" t="s">
        <v>3311</v>
      </c>
      <c r="G1734" s="3066">
        <f>'Part VIII Scoring Criteria'!G243</f>
        <v>0</v>
      </c>
      <c r="H1734" s="3064" t="s">
        <v>574</v>
      </c>
      <c r="I1734" s="2913">
        <f>'Part VIII Scoring Criteria'!I243</f>
        <v>0</v>
      </c>
      <c r="J1734" s="2913"/>
      <c r="L1734" s="3257" t="s">
        <v>6264</v>
      </c>
      <c r="M1734" s="3258">
        <f>'Part VIII Scoring Criteria'!M243</f>
        <v>0</v>
      </c>
      <c r="N1734" s="3258"/>
    </row>
    <row r="1735" spans="1:27" s="474" customFormat="1" ht="11.25" customHeight="1">
      <c r="A1735" s="3187"/>
      <c r="B1735" s="3196" t="s">
        <v>1847</v>
      </c>
      <c r="C1735" s="2971" t="s">
        <v>6263</v>
      </c>
      <c r="E1735" s="2923" t="s">
        <v>3311</v>
      </c>
      <c r="G1735" s="3066">
        <f>'Part VIII Scoring Criteria'!G244</f>
        <v>0</v>
      </c>
      <c r="H1735" s="3064" t="s">
        <v>574</v>
      </c>
      <c r="I1735" s="2913">
        <f>'Part VIII Scoring Criteria'!I244</f>
        <v>0</v>
      </c>
      <c r="J1735" s="2913"/>
      <c r="L1735" s="3257" t="s">
        <v>6264</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16">
      <c r="A1738" s="3049" t="str">
        <f>'Part VIII Scoring Criteria'!A247</f>
        <v>N/A</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3963</v>
      </c>
      <c r="D1742" s="3180"/>
      <c r="E1742" s="1024" t="s">
        <v>6270</v>
      </c>
      <c r="G1742" s="2984"/>
      <c r="L1742" s="3064" t="str">
        <f>IF(AND(O1742&gt;0,NOT($M$54="New Supply")), "Ineligible to score in this section, not New Supply!","")</f>
        <v>Ineligible to score in this section, not New Supply!</v>
      </c>
      <c r="M1742" s="2910">
        <v>5</v>
      </c>
      <c r="N1742" s="2910"/>
      <c r="O1742" s="3012">
        <f>'Part VIII Scoring Criteria'!O251</f>
        <v>5</v>
      </c>
      <c r="P1742" s="3012">
        <f>'Part VIII Scoring Criteria'!P251</f>
        <v>0</v>
      </c>
      <c r="Q1742" s="2910" t="s">
        <v>416</v>
      </c>
      <c r="R1742" s="2694" t="s">
        <v>4061</v>
      </c>
      <c r="S1742" s="3259"/>
      <c r="T1742" s="3259"/>
      <c r="U1742" s="3259"/>
      <c r="V1742" s="3259"/>
      <c r="W1742" s="3020"/>
      <c r="X1742" s="3020"/>
    </row>
    <row r="1743" spans="1:27" s="2550" customFormat="1" ht="11.25" customHeight="1">
      <c r="A1743" s="2950" t="s">
        <v>1842</v>
      </c>
      <c r="B1743" s="2135" t="s">
        <v>6792</v>
      </c>
      <c r="M1743" s="2917">
        <v>5</v>
      </c>
      <c r="N1743" s="3064" t="s">
        <v>1842</v>
      </c>
      <c r="O1743" s="3173">
        <f>'Part VIII Scoring Criteria'!O252</f>
        <v>5</v>
      </c>
      <c r="P1743" s="3012"/>
      <c r="Q1743" s="3200" t="str">
        <f>IF(OR($O1743=$M1743,$O1743=$M1743-1,$O1743=0,$O1743=""),"","*CHECK!*")</f>
        <v/>
      </c>
      <c r="R1743" s="2694" t="s">
        <v>4061</v>
      </c>
      <c r="S1743" s="3259"/>
      <c r="T1743" s="3259"/>
      <c r="U1743" s="3259"/>
      <c r="V1743" s="3259"/>
    </row>
    <row r="1744" spans="1:27" s="2550" customFormat="1" ht="11.25" customHeight="1">
      <c r="A1744" s="2950" t="s">
        <v>1844</v>
      </c>
      <c r="B1744" s="2135" t="s">
        <v>6271</v>
      </c>
      <c r="M1744" s="2917">
        <v>3</v>
      </c>
      <c r="N1744" s="3064" t="s">
        <v>1844</v>
      </c>
      <c r="O1744" s="3173">
        <f>'Part VIII Scoring Criteria'!O253</f>
        <v>0</v>
      </c>
      <c r="P1744" s="3012"/>
      <c r="Q1744" s="3200" t="str">
        <f t="shared" ref="Q1744:Q1745" si="464">IF(OR($O1744=$M1744,$O1744=$M1744-1,$O1744=0,$O1744=""),"","*CHECK!*")</f>
        <v/>
      </c>
      <c r="R1744" s="2694" t="s">
        <v>4061</v>
      </c>
    </row>
    <row r="1745" spans="1:21" s="652" customFormat="1">
      <c r="A1745" s="2950" t="s">
        <v>698</v>
      </c>
      <c r="B1745" s="2135" t="s">
        <v>6272</v>
      </c>
      <c r="E1745" s="2923" t="s">
        <v>6234</v>
      </c>
      <c r="I1745" s="3104"/>
      <c r="L1745" s="2688"/>
      <c r="M1745" s="2917">
        <v>3</v>
      </c>
      <c r="N1745" s="3064" t="s">
        <v>698</v>
      </c>
      <c r="O1745" s="3173">
        <f>'Part VIII Scoring Criteria'!O254</f>
        <v>0</v>
      </c>
      <c r="P1745" s="3012"/>
      <c r="Q1745" s="3200" t="str">
        <f t="shared" si="464"/>
        <v/>
      </c>
      <c r="R1745" s="2694" t="s">
        <v>4061</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96">
      <c r="A1747" s="3049" t="str">
        <f>'Part VIII Scoring Criteria'!A256</f>
        <v>There have never been 9% credits awarded in the local government boundary of Cave Spring.</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4062</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6618</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6619</v>
      </c>
      <c r="D1754" s="2984"/>
      <c r="E1754" s="2984"/>
      <c r="F1754" s="3114"/>
      <c r="G1754" s="652"/>
      <c r="L1754" s="3168"/>
      <c r="M1754" s="2917">
        <v>2</v>
      </c>
      <c r="N1754" s="3157" t="s">
        <v>1847</v>
      </c>
      <c r="O1754" s="3066" t="str">
        <f>'Part VIII Scoring Criteria'!O263</f>
        <v>N/a</v>
      </c>
      <c r="P1754" s="2976"/>
      <c r="Q1754" s="3200"/>
      <c r="R1754" s="2847"/>
      <c r="T1754" s="3260"/>
      <c r="U1754" s="3260"/>
    </row>
    <row r="1755" spans="1:21" s="3106" customFormat="1" ht="10.5" customHeight="1">
      <c r="A1755" s="2950"/>
      <c r="B1755" s="3196" t="s">
        <v>2333</v>
      </c>
      <c r="C1755" s="2923" t="s">
        <v>6620</v>
      </c>
      <c r="D1755" s="2984"/>
      <c r="E1755" s="2984"/>
      <c r="F1755" s="3114"/>
      <c r="G1755" s="652"/>
      <c r="K1755" s="3064"/>
      <c r="M1755" s="2917">
        <v>1</v>
      </c>
      <c r="N1755" s="3157" t="s">
        <v>2333</v>
      </c>
      <c r="O1755" s="3066" t="str">
        <f>'Part VIII Scoring Criteria'!O264</f>
        <v>N/a</v>
      </c>
      <c r="P1755" s="2976"/>
      <c r="R1755" s="2833"/>
      <c r="T1755" s="3260"/>
      <c r="U1755" s="3260"/>
    </row>
    <row r="1756" spans="1:21" s="3093" customFormat="1" ht="11.25" customHeight="1">
      <c r="A1756" s="2950" t="s">
        <v>1844</v>
      </c>
      <c r="B1756" s="2135" t="s">
        <v>3955</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6621</v>
      </c>
      <c r="C1757" s="3011"/>
      <c r="D1757" s="3011"/>
      <c r="E1757" s="3011"/>
      <c r="F1757" s="3011"/>
      <c r="G1757" s="3011"/>
      <c r="H1757" s="3011"/>
      <c r="I1757" s="3011"/>
      <c r="J1757" s="3011"/>
      <c r="K1757" s="3011"/>
      <c r="L1757" s="3011"/>
      <c r="M1757" s="2910"/>
      <c r="N1757" s="3064"/>
      <c r="O1757" s="3078" t="str">
        <f>'Part VIII Scoring Criteria'!O266</f>
        <v>No</v>
      </c>
      <c r="P1757" s="3059"/>
      <c r="Q1757" s="2833"/>
      <c r="R1757" s="3168"/>
      <c r="T1757" s="3260"/>
      <c r="U1757" s="3260"/>
    </row>
    <row r="1758" spans="1:21" s="3093" customFormat="1" ht="11.25" customHeight="1">
      <c r="A1758" s="2950" t="s">
        <v>698</v>
      </c>
      <c r="B1758" s="2135" t="s">
        <v>3827</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6898</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6235</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3371</v>
      </c>
      <c r="B1764" s="2964" t="s">
        <v>6578</v>
      </c>
      <c r="D1764" s="2967"/>
      <c r="E1764" s="2967"/>
      <c r="G1764" s="3256"/>
      <c r="H1764" s="2692"/>
      <c r="I1764" s="2847" t="s">
        <v>6143</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6579</v>
      </c>
      <c r="D1766" s="3061"/>
      <c r="E1766" s="3061"/>
      <c r="F1766" s="3061"/>
      <c r="G1766" s="3061"/>
      <c r="H1766" s="3061"/>
      <c r="L1766" s="3061"/>
      <c r="M1766" s="2666">
        <v>1</v>
      </c>
      <c r="N1766" s="3064" t="s">
        <v>1842</v>
      </c>
      <c r="O1766" s="3066" t="str">
        <f>'Part VIII Scoring Criteria'!O275</f>
        <v>N/a</v>
      </c>
      <c r="P1766" s="2976"/>
      <c r="Q1766" s="2860">
        <f>IF(L1766="Yes",1,0)</f>
        <v>0</v>
      </c>
      <c r="R1766" s="3232"/>
      <c r="S1766" s="3232"/>
      <c r="T1766" s="3232"/>
      <c r="U1766" s="3232"/>
      <c r="V1766" s="3232"/>
    </row>
    <row r="1767" spans="1:24" s="652" customFormat="1" ht="11.25" customHeight="1">
      <c r="A1767" s="2917" t="s">
        <v>1844</v>
      </c>
      <c r="B1767" s="3061" t="s">
        <v>6580</v>
      </c>
      <c r="D1767" s="3061"/>
      <c r="L1767" s="3061"/>
      <c r="M1767" s="2666">
        <v>2</v>
      </c>
      <c r="N1767" s="3064" t="s">
        <v>1844</v>
      </c>
      <c r="O1767" s="3066" t="str">
        <f>'Part VIII Scoring Criteria'!O276</f>
        <v>N/a</v>
      </c>
      <c r="P1767" s="2976"/>
      <c r="Q1767" s="2860">
        <f>IF(L1767="Yes",1,0)</f>
        <v>0</v>
      </c>
      <c r="R1767" s="3232"/>
      <c r="S1767" s="3232"/>
      <c r="T1767" s="3232"/>
      <c r="U1767" s="3232"/>
      <c r="V1767" s="3232"/>
    </row>
    <row r="1768" spans="1:24" s="652" customFormat="1" ht="11.25" customHeight="1">
      <c r="B1768" s="2884" t="s">
        <v>6899</v>
      </c>
      <c r="D1768" s="3061"/>
      <c r="L1768" s="3061"/>
      <c r="M1768" s="2666"/>
      <c r="N1768" s="2666"/>
      <c r="O1768" s="2666"/>
      <c r="P1768" s="2666"/>
      <c r="Q1768" s="2860"/>
      <c r="R1768" s="3232"/>
      <c r="S1768" s="3232"/>
      <c r="T1768" s="3232"/>
      <c r="U1768" s="3232"/>
      <c r="V1768" s="3232"/>
    </row>
    <row r="1769" spans="1:24" s="652" customFormat="1" ht="14">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48">
      <c r="A1771" s="3049" t="str">
        <f>'Part VIII Scoring Criteria'!A280</f>
        <v>Site is not located in Atlanta metro pool.</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3372</v>
      </c>
      <c r="B1775" s="2964" t="s">
        <v>6583</v>
      </c>
      <c r="D1775" s="2967"/>
      <c r="E1775" s="2967"/>
      <c r="G1775" s="3055"/>
      <c r="H1775" s="2692"/>
      <c r="I1775" s="2692" t="s">
        <v>6709</v>
      </c>
      <c r="J1775" s="2692"/>
      <c r="K1775" s="2692"/>
      <c r="L1775" s="2681" t="str">
        <f>IF(AND(O1785&gt;0,O1788&gt;0), "Choose only one option!","")</f>
        <v/>
      </c>
      <c r="M1775" s="2550">
        <v>2</v>
      </c>
      <c r="N1775" s="2550"/>
      <c r="O1775" s="2835">
        <f>'Part VIII Scoring Criteria'!O284</f>
        <v>0</v>
      </c>
      <c r="P1775" s="2835">
        <f>'Part VIII Scoring Criteria'!P284</f>
        <v>0</v>
      </c>
      <c r="Q1775" s="2910" t="s">
        <v>416</v>
      </c>
      <c r="R1775" s="3232"/>
      <c r="S1775" s="3232"/>
      <c r="T1775" s="3232"/>
      <c r="U1775" s="3232"/>
      <c r="V1775" s="3232"/>
    </row>
    <row r="1776" spans="1:24" s="3106" customFormat="1" ht="11.25" customHeight="1">
      <c r="A1776" s="3135"/>
      <c r="B1776" s="474" t="s">
        <v>6703</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6700</v>
      </c>
      <c r="G1777" s="2692"/>
      <c r="I1777" s="2757">
        <f>'Part VIII Scoring Criteria'!I286</f>
        <v>0</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6699</v>
      </c>
      <c r="G1778" s="2692"/>
      <c r="I1778" s="3263">
        <f>'Part VIII Scoring Criteria'!I287</f>
        <v>0</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6701</v>
      </c>
      <c r="G1779" s="2692"/>
      <c r="I1779" s="3263" t="str">
        <f>'Part VIII Scoring Criteria'!I288</f>
        <v>Select Certification</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6587</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6586</v>
      </c>
      <c r="D1781" s="3183"/>
      <c r="E1781" s="3106"/>
      <c r="F1781" s="3106"/>
      <c r="G1781" s="3106"/>
      <c r="H1781" s="2967"/>
      <c r="I1781" s="3159"/>
      <c r="J1781" s="3159"/>
      <c r="K1781" s="3159"/>
      <c r="L1781" s="3159"/>
      <c r="M1781" s="3159"/>
      <c r="N1781" s="3046" t="s">
        <v>2241</v>
      </c>
      <c r="O1781" s="2913">
        <f>'Part VIII Scoring Criteria'!O290</f>
        <v>0</v>
      </c>
      <c r="P1781" s="474"/>
      <c r="Q1781" s="2910"/>
      <c r="R1781" s="3185"/>
      <c r="S1781" s="3185"/>
      <c r="T1781" s="3185"/>
      <c r="U1781" s="3185"/>
    </row>
    <row r="1782" spans="1:24" s="3093" customFormat="1" ht="11.25" customHeight="1">
      <c r="A1782" s="3265"/>
      <c r="B1782" s="474" t="s">
        <v>2242</v>
      </c>
      <c r="C1782" s="3006" t="s">
        <v>6708</v>
      </c>
      <c r="D1782" s="3183"/>
      <c r="E1782" s="3106"/>
      <c r="F1782" s="3106"/>
      <c r="G1782" s="3106"/>
      <c r="H1782" s="2967"/>
      <c r="I1782" s="3159"/>
      <c r="J1782" s="3159"/>
      <c r="K1782" s="3159"/>
      <c r="L1782" s="3159"/>
      <c r="M1782" s="3106"/>
      <c r="N1782" s="474" t="s">
        <v>2242</v>
      </c>
      <c r="O1782" s="2913">
        <f>'Part VIII Scoring Criteria'!O291</f>
        <v>0</v>
      </c>
      <c r="P1782" s="474"/>
      <c r="Q1782" s="2910"/>
      <c r="R1782" s="3185"/>
      <c r="S1782" s="3185"/>
      <c r="T1782" s="3185"/>
      <c r="U1782" s="3185"/>
    </row>
    <row r="1783" spans="1:24" s="3093" customFormat="1" ht="11.25" customHeight="1">
      <c r="A1783" s="3265"/>
      <c r="B1783" s="474" t="s">
        <v>2243</v>
      </c>
      <c r="C1783" s="474" t="s">
        <v>6588</v>
      </c>
      <c r="D1783" s="3183"/>
      <c r="E1783" s="3106"/>
      <c r="F1783" s="3106"/>
      <c r="G1783" s="3106"/>
      <c r="H1783" s="2967"/>
      <c r="I1783" s="2967"/>
      <c r="J1783" s="2135"/>
      <c r="K1783" s="2135"/>
      <c r="L1783" s="3106"/>
      <c r="M1783" s="3106"/>
      <c r="N1783" s="474" t="s">
        <v>2243</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6584</v>
      </c>
      <c r="C1785" s="2755"/>
      <c r="D1785" s="3046"/>
      <c r="E1785" s="3046"/>
      <c r="F1785" s="2755"/>
      <c r="G1785" s="3046" t="s">
        <v>6592</v>
      </c>
      <c r="H1785" s="3046"/>
      <c r="I1785" s="2755"/>
      <c r="J1785" s="2755"/>
      <c r="K1785" s="2755"/>
      <c r="L1785" s="3046"/>
      <c r="M1785" s="2937">
        <v>2</v>
      </c>
      <c r="N1785" s="474" t="s">
        <v>1842</v>
      </c>
      <c r="O1785" s="3206">
        <f>'Part VIII Scoring Criteria'!O294</f>
        <v>0</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6593</v>
      </c>
      <c r="D1786" s="3053"/>
      <c r="E1786" s="3053"/>
      <c r="F1786" s="3053"/>
      <c r="G1786" s="3053"/>
      <c r="H1786" s="3053"/>
      <c r="I1786" s="3053"/>
      <c r="J1786" s="3053"/>
      <c r="K1786" s="3053"/>
      <c r="L1786" s="3053"/>
      <c r="M1786" s="3053"/>
      <c r="N1786" s="3268" t="s">
        <v>1845</v>
      </c>
      <c r="O1786" s="2913">
        <f>'Part VIII Scoring Criteria'!O295</f>
        <v>0</v>
      </c>
      <c r="P1786" s="474"/>
      <c r="Q1786" s="3228"/>
      <c r="R1786" s="3269"/>
      <c r="S1786" s="3269"/>
      <c r="T1786" s="3269"/>
      <c r="U1786" s="3269"/>
    </row>
    <row r="1787" spans="1:24" s="3195" customFormat="1" ht="12" customHeight="1">
      <c r="A1787" s="3266"/>
      <c r="B1787" s="3196" t="s">
        <v>1847</v>
      </c>
      <c r="C1787" s="3046" t="s">
        <v>6594</v>
      </c>
      <c r="D1787" s="3053"/>
      <c r="E1787" s="3053"/>
      <c r="F1787" s="3053"/>
      <c r="G1787" s="3053"/>
      <c r="H1787" s="3053"/>
      <c r="I1787" s="3053"/>
      <c r="J1787" s="3053"/>
      <c r="K1787" s="3053"/>
      <c r="L1787" s="3053"/>
      <c r="M1787" s="3053"/>
      <c r="N1787" s="3157" t="s">
        <v>1847</v>
      </c>
      <c r="O1787" s="3078">
        <f>'Part VIII Scoring Criteria'!O296</f>
        <v>0</v>
      </c>
      <c r="P1787" s="3059"/>
      <c r="Q1787" s="3228"/>
      <c r="R1787" s="3269"/>
      <c r="S1787" s="3269"/>
      <c r="T1787" s="3269"/>
      <c r="U1787" s="3269"/>
    </row>
    <row r="1788" spans="1:24" s="652" customFormat="1" ht="11.25" customHeight="1">
      <c r="A1788" s="2917" t="s">
        <v>1844</v>
      </c>
      <c r="B1788" s="3061" t="s">
        <v>6585</v>
      </c>
      <c r="C1788" s="2755"/>
      <c r="D1788" s="3061"/>
      <c r="G1788" s="1024" t="s">
        <v>6595</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6596</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6597</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6704</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6598</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6599</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5">
      <c r="A1794" s="3266"/>
      <c r="B1794" s="3196" t="s">
        <v>1151</v>
      </c>
      <c r="C1794" s="3046" t="s">
        <v>6900</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6">
      <c r="A1796" s="3049" t="str">
        <f>'Part VIII Scoring Criteria'!A305</f>
        <v>N/A</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3370</v>
      </c>
      <c r="B1800" s="2964" t="s">
        <v>6589</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6590</v>
      </c>
      <c r="D1801" s="3061"/>
      <c r="E1801" s="3061" t="s">
        <v>6601</v>
      </c>
      <c r="F1801" s="3061"/>
      <c r="G1801" s="3061"/>
      <c r="H1801" s="3061"/>
      <c r="I1801" s="3270" t="str">
        <f>'Part VIII Scoring Criteria'!I310</f>
        <v>Northwest Georgia Housing Authority</v>
      </c>
      <c r="J1801" s="3270"/>
      <c r="K1801" s="3270"/>
      <c r="L1801" s="3270"/>
      <c r="M1801" s="2666">
        <v>2</v>
      </c>
      <c r="N1801" s="3064" t="s">
        <v>1842</v>
      </c>
      <c r="O1801" s="3173">
        <f>'Part VIII Scoring Criteria'!O310</f>
        <v>2</v>
      </c>
      <c r="P1801" s="3012"/>
      <c r="Q1801" s="2860" t="str">
        <f>IF(OR(O1801=0,O1801="",O1801=$M1801),"","Check!")</f>
        <v/>
      </c>
      <c r="R1801" s="2847" t="s">
        <v>2460</v>
      </c>
      <c r="S1801" s="3232"/>
      <c r="T1801" s="3232"/>
      <c r="U1801" s="3232"/>
      <c r="V1801" s="3232"/>
    </row>
    <row r="1802" spans="1:22" s="652" customFormat="1" ht="11.25" customHeight="1">
      <c r="A1802" s="2917" t="s">
        <v>1844</v>
      </c>
      <c r="B1802" s="3061" t="s">
        <v>6591</v>
      </c>
      <c r="D1802" s="3061"/>
      <c r="L1802" s="3061"/>
      <c r="M1802" s="2666">
        <v>2</v>
      </c>
      <c r="N1802" s="3064" t="s">
        <v>1844</v>
      </c>
      <c r="O1802" s="3173">
        <f>'Part VIII Scoring Criteria'!O311</f>
        <v>0</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180">
      <c r="A1804" s="3049" t="str">
        <f>'Part VIII Scoring Criteria'!A313</f>
        <v>Northwest Georgia Housing Authority received its CORES-certified designation on May 24, 2022. The approval letter is in the Enriched Property Services folder.</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3373</v>
      </c>
      <c r="B1808" s="2964" t="s">
        <v>3344</v>
      </c>
      <c r="C1808" s="3006"/>
      <c r="D1808" s="3006"/>
      <c r="E1808" s="474"/>
      <c r="G1808" s="1024"/>
      <c r="I1808" s="2847" t="s">
        <v>6253</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6236</v>
      </c>
      <c r="C1809" s="3052"/>
      <c r="D1809" s="3052"/>
      <c r="E1809" s="3052"/>
      <c r="F1809" s="3052"/>
      <c r="G1809" s="3052"/>
      <c r="H1809" s="3052"/>
      <c r="I1809" s="3052"/>
      <c r="J1809" s="3052"/>
      <c r="K1809" s="3052"/>
      <c r="L1809" s="3227"/>
      <c r="M1809" s="2910"/>
      <c r="N1809" s="3141"/>
      <c r="O1809" s="3066" t="str">
        <f>'Part VIII Scoring Criteria'!O318</f>
        <v>No</v>
      </c>
      <c r="P1809" s="2976"/>
      <c r="Q1809" s="2910"/>
      <c r="T1809" s="3260"/>
      <c r="U1809" s="3260"/>
    </row>
    <row r="1810" spans="1:21" s="3093" customFormat="1" ht="12" customHeight="1">
      <c r="A1810" s="2917" t="s">
        <v>1842</v>
      </c>
      <c r="B1810" s="2135" t="s">
        <v>3345</v>
      </c>
      <c r="C1810" s="3006"/>
      <c r="D1810" s="3006"/>
      <c r="E1810" s="474"/>
      <c r="G1810" s="2982"/>
      <c r="I1810" s="2923" t="s">
        <v>4080</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3842</v>
      </c>
      <c r="D1811" s="2550"/>
      <c r="N1811" s="3187" t="s">
        <v>3843</v>
      </c>
      <c r="O1811" s="3066">
        <f>'Part VIII Scoring Criteria'!O320</f>
        <v>0</v>
      </c>
      <c r="P1811" s="2976"/>
      <c r="R1811" s="3168"/>
    </row>
    <row r="1812" spans="1:21" s="3106" customFormat="1" ht="10.5" customHeight="1">
      <c r="A1812" s="2917"/>
      <c r="B1812" s="3187"/>
      <c r="C1812" s="474" t="s">
        <v>6581</v>
      </c>
      <c r="D1812" s="2550"/>
      <c r="N1812" s="3187" t="s">
        <v>3844</v>
      </c>
      <c r="O1812" s="3066">
        <f>'Part VIII Scoring Criteria'!O321</f>
        <v>0</v>
      </c>
      <c r="P1812" s="2976"/>
      <c r="R1812" s="3168"/>
    </row>
    <row r="1813" spans="1:21" s="3106" customFormat="1" ht="10.5" customHeight="1">
      <c r="A1813" s="2917"/>
      <c r="B1813" s="3187" t="s">
        <v>1847</v>
      </c>
      <c r="C1813" s="474" t="s">
        <v>3350</v>
      </c>
      <c r="D1813" s="2550"/>
      <c r="N1813" s="3187" t="s">
        <v>1847</v>
      </c>
      <c r="O1813" s="3066">
        <f>'Part VIII Scoring Criteria'!O322</f>
        <v>0</v>
      </c>
      <c r="P1813" s="2976"/>
      <c r="R1813" s="3168"/>
    </row>
    <row r="1814" spans="1:21" s="3106" customFormat="1" ht="10.5" customHeight="1">
      <c r="A1814" s="2917"/>
      <c r="B1814" s="3187" t="s">
        <v>2333</v>
      </c>
      <c r="C1814" s="474" t="s">
        <v>3845</v>
      </c>
      <c r="D1814" s="2550"/>
      <c r="N1814" s="3187" t="s">
        <v>2333</v>
      </c>
      <c r="O1814" s="3066">
        <f>'Part VIII Scoring Criteria'!O323</f>
        <v>0</v>
      </c>
      <c r="P1814" s="2976"/>
      <c r="R1814" s="3168"/>
    </row>
    <row r="1815" spans="1:21" s="3106" customFormat="1" ht="10.5" customHeight="1">
      <c r="A1815" s="3220"/>
      <c r="B1815" s="3187" t="s">
        <v>1151</v>
      </c>
      <c r="C1815" s="474" t="s">
        <v>3351</v>
      </c>
      <c r="D1815" s="2550"/>
      <c r="N1815" s="3187" t="s">
        <v>1151</v>
      </c>
      <c r="O1815" s="3066">
        <f>'Part VIII Scoring Criteria'!O324</f>
        <v>0</v>
      </c>
      <c r="P1815" s="2976"/>
      <c r="R1815" s="3168"/>
    </row>
    <row r="1816" spans="1:21" s="3093" customFormat="1" ht="12" customHeight="1">
      <c r="A1816" s="2917" t="s">
        <v>1844</v>
      </c>
      <c r="B1816" s="2135" t="s">
        <v>3346</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3842</v>
      </c>
      <c r="D1817" s="474"/>
      <c r="E1817" s="474"/>
      <c r="M1817" s="2910"/>
      <c r="N1817" s="3187" t="s">
        <v>3843</v>
      </c>
      <c r="O1817" s="3066" t="str">
        <f>'Part VIII Scoring Criteria'!O326</f>
        <v>Yes</v>
      </c>
      <c r="P1817" s="2976"/>
      <c r="Q1817" s="2910"/>
    </row>
    <row r="1818" spans="1:21" s="3106" customFormat="1" ht="10.5" customHeight="1">
      <c r="A1818" s="2950"/>
      <c r="B1818" s="3187"/>
      <c r="C1818" s="474" t="s">
        <v>6582</v>
      </c>
      <c r="D1818" s="2550"/>
      <c r="N1818" s="3187" t="s">
        <v>3844</v>
      </c>
      <c r="O1818" s="3066" t="str">
        <f>'Part VIII Scoring Criteria'!O327</f>
        <v>No</v>
      </c>
      <c r="P1818" s="2976"/>
      <c r="R1818" s="3168"/>
    </row>
    <row r="1819" spans="1:21" s="3106" customFormat="1" ht="10.5" customHeight="1">
      <c r="A1819" s="2950"/>
      <c r="B1819" s="3187" t="s">
        <v>1847</v>
      </c>
      <c r="C1819" s="474" t="s">
        <v>3362</v>
      </c>
      <c r="D1819" s="2550"/>
      <c r="N1819" s="3187" t="s">
        <v>1847</v>
      </c>
      <c r="O1819" s="3066" t="str">
        <f>'Part VIII Scoring Criteria'!O328</f>
        <v>Yes</v>
      </c>
      <c r="P1819" s="2976"/>
      <c r="R1819" s="3168"/>
    </row>
    <row r="1820" spans="1:21" s="3106" customFormat="1" ht="10.5" customHeight="1">
      <c r="B1820" s="3187" t="s">
        <v>2333</v>
      </c>
      <c r="C1820" s="474" t="s">
        <v>3351</v>
      </c>
      <c r="D1820" s="2550"/>
      <c r="N1820" s="3187" t="s">
        <v>2333</v>
      </c>
      <c r="O1820" s="3066" t="str">
        <f>'Part VIII Scoring Criteria'!O329</f>
        <v>Yes</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3374</v>
      </c>
      <c r="B1824" s="2964" t="s">
        <v>1556</v>
      </c>
      <c r="D1824" s="3006"/>
      <c r="E1824" s="3006"/>
      <c r="G1824" s="474"/>
      <c r="M1824" s="2910">
        <v>2</v>
      </c>
      <c r="N1824" s="3272"/>
      <c r="O1824" s="3173">
        <f>'Part VIII Scoring Criteria'!O333</f>
        <v>0</v>
      </c>
      <c r="P1824" s="3012">
        <f>'Part VIII Scoring Criteria'!P333</f>
        <v>0</v>
      </c>
      <c r="Q1824" s="2910" t="s">
        <v>416</v>
      </c>
      <c r="R1824" s="2741" t="s">
        <v>4061</v>
      </c>
      <c r="S1824" s="2741"/>
    </row>
    <row r="1825" spans="1:20" s="3093" customFormat="1" ht="11.25" customHeight="1">
      <c r="A1825" s="2950"/>
      <c r="B1825" s="2923" t="s">
        <v>3156</v>
      </c>
      <c r="D1825" s="3006"/>
      <c r="E1825" s="3006"/>
      <c r="G1825" s="474"/>
      <c r="I1825" s="2913">
        <f>'Part VIII Scoring Criteria'!I334</f>
        <v>0</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1" customHeight="1">
      <c r="A1828" s="3049" t="str">
        <f>'Part VIII Scoring Criteria'!A337</f>
        <v>N/A</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3377</v>
      </c>
      <c r="B1832" s="2964" t="s">
        <v>3348</v>
      </c>
      <c r="D1832" s="3006"/>
      <c r="E1832" s="3006"/>
      <c r="F1832" s="474"/>
      <c r="G1832" s="474"/>
      <c r="H1832" s="474"/>
      <c r="J1832" s="3166" t="s">
        <v>6142</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1</v>
      </c>
      <c r="P1832" s="3012">
        <f>'Part VIII Scoring Criteria'!P341</f>
        <v>0</v>
      </c>
      <c r="Q1832" s="2910" t="s">
        <v>416</v>
      </c>
    </row>
    <row r="1833" spans="1:20" s="3093" customFormat="1" ht="10.5" customHeight="1">
      <c r="A1833" s="2550"/>
      <c r="B1833" s="2923" t="s">
        <v>6901</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f>'Part VIII Scoring Criteria'!O344</f>
        <v>0</v>
      </c>
      <c r="P1835" s="2976"/>
      <c r="R1835" s="3053"/>
      <c r="S1835" s="3053"/>
    </row>
    <row r="1836" spans="1:20" s="1024" customFormat="1" ht="12.75" customHeight="1">
      <c r="B1836" s="3064" t="s">
        <v>2243</v>
      </c>
      <c r="C1836" s="474" t="s">
        <v>3275</v>
      </c>
      <c r="L1836" s="3053"/>
      <c r="M1836" s="3053"/>
      <c r="N1836" s="3064" t="s">
        <v>2243</v>
      </c>
      <c r="O1836" s="3066">
        <f>'Part VIII Scoring Criteria'!O345</f>
        <v>0</v>
      </c>
      <c r="P1836" s="2976"/>
      <c r="R1836" s="3053"/>
      <c r="S1836" s="3053"/>
    </row>
    <row r="1837" spans="1:20" s="1024" customFormat="1" ht="11">
      <c r="B1837" s="3058" t="s">
        <v>2244</v>
      </c>
      <c r="C1837" s="3046" t="s">
        <v>6602</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3349</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4061</v>
      </c>
      <c r="S1839" s="2681"/>
      <c r="T1839" s="2745"/>
    </row>
    <row r="1840" spans="1:20" s="652" customFormat="1" ht="12.75" customHeight="1">
      <c r="A1840" s="3274"/>
      <c r="B1840" s="3242" t="s">
        <v>6720</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6719</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6793</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3956</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6237</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6814</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3828</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6238</v>
      </c>
      <c r="C1852" s="474" t="s">
        <v>6902</v>
      </c>
      <c r="I1852" s="3064" t="s">
        <v>6238</v>
      </c>
      <c r="J1852" s="2999">
        <f>'Part VIII Scoring Criteria'!J361</f>
        <v>0</v>
      </c>
      <c r="K1852" s="2999"/>
      <c r="L1852" s="3064" t="s">
        <v>6238</v>
      </c>
      <c r="M1852" s="2989"/>
      <c r="N1852" s="2989"/>
      <c r="O1852" s="2989"/>
      <c r="P1852" s="2989"/>
      <c r="R1852" s="3168"/>
    </row>
    <row r="1853" spans="1:20" s="652" customFormat="1" ht="12.75" customHeight="1">
      <c r="B1853" s="3277" t="s">
        <v>6815</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6240</v>
      </c>
      <c r="H1855" s="652"/>
      <c r="I1855" s="652"/>
      <c r="J1855" s="2989">
        <f>'Part V-Revenues &amp; Expenses'!$P$67</f>
        <v>52</v>
      </c>
      <c r="K1855" s="2989"/>
      <c r="L1855" s="2692"/>
      <c r="M1855" s="2681"/>
      <c r="N1855" s="2681"/>
      <c r="O1855" s="3278"/>
      <c r="P1855" s="2681"/>
    </row>
    <row r="1856" spans="1:20" s="652" customFormat="1" ht="13.5" customHeight="1">
      <c r="C1856" s="2849"/>
      <c r="D1856" s="2849"/>
      <c r="E1856" s="2849"/>
      <c r="F1856" s="3112" t="s">
        <v>6241</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6242</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1</v>
      </c>
      <c r="P1859" s="3012">
        <f>'Part VIII Scoring Criteria'!P368</f>
        <v>0</v>
      </c>
      <c r="Q1859" s="2694" t="s">
        <v>4061</v>
      </c>
      <c r="V1859" s="3260"/>
    </row>
    <row r="1860" spans="1:22" s="3093" customFormat="1" ht="12.75" customHeight="1">
      <c r="A1860" s="2950"/>
      <c r="B1860" s="3196" t="s">
        <v>1845</v>
      </c>
      <c r="C1860" s="3046" t="s">
        <v>6607</v>
      </c>
      <c r="D1860" s="3053"/>
      <c r="E1860" s="3053"/>
      <c r="F1860" s="3053"/>
      <c r="G1860" s="3053"/>
      <c r="H1860" s="3053"/>
      <c r="I1860" s="3053"/>
      <c r="J1860" s="3053"/>
      <c r="K1860" s="3053"/>
      <c r="L1860" s="3053"/>
      <c r="M1860" s="3053"/>
      <c r="N1860" s="3196" t="s">
        <v>1845</v>
      </c>
      <c r="O1860" s="3078" t="str">
        <f>'Part VIII Scoring Criteria'!O369</f>
        <v>Yes</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t="str">
        <f>'Part VIII Scoring Criteria'!O370</f>
        <v>Yes</v>
      </c>
      <c r="P1861" s="2976"/>
      <c r="V1861" s="3260"/>
    </row>
    <row r="1862" spans="1:22" s="652" customFormat="1" ht="12.75" customHeight="1">
      <c r="B1862" s="3187" t="s">
        <v>2333</v>
      </c>
      <c r="C1862" s="1024" t="s">
        <v>3829</v>
      </c>
      <c r="N1862" s="3187" t="s">
        <v>2333</v>
      </c>
      <c r="O1862" s="3066" t="str">
        <f>'Part VIII Scoring Criteria'!O371</f>
        <v>Yes</v>
      </c>
      <c r="P1862" s="2976"/>
    </row>
    <row r="1863" spans="1:22" s="652" customFormat="1" ht="12" customHeight="1">
      <c r="B1863" s="2967" t="s">
        <v>3242</v>
      </c>
      <c r="N1863" s="2671"/>
      <c r="O1863" s="2671"/>
      <c r="P1863" s="2671"/>
    </row>
    <row r="1864" spans="1:22" s="3093" customFormat="1" ht="132">
      <c r="A1864" s="3049" t="str">
        <f>'Part VIII Scoring Criteria'!A373</f>
        <v>Cave Spring NWGHA 2022, LP will execute a 75-year ground lease at receipt of tax credit award. Documents are in Site Control folder.</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3378</v>
      </c>
      <c r="B1868" s="2964" t="s">
        <v>2470</v>
      </c>
      <c r="D1868" s="2923"/>
      <c r="G1868" s="2984" t="s">
        <v>6903</v>
      </c>
      <c r="I1868" s="2822" t="s">
        <v>6253</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3957</v>
      </c>
      <c r="C1872" s="3046"/>
      <c r="D1872" s="3046"/>
      <c r="E1872" s="3046"/>
      <c r="F1872" s="3046"/>
      <c r="G1872" s="3046"/>
      <c r="H1872" s="3046"/>
      <c r="I1872" s="3046"/>
      <c r="M1872" s="2522">
        <v>2</v>
      </c>
      <c r="N1872" s="3058" t="s">
        <v>1842</v>
      </c>
      <c r="O1872" s="3173">
        <v>0</v>
      </c>
      <c r="P1872" s="3173"/>
      <c r="Q1872" s="3200" t="str">
        <f>IF(OR($O1872=$M1872,$O1872=0,$O1872=""),"","*CHECK!*")</f>
        <v/>
      </c>
      <c r="R1872" s="2694" t="s">
        <v>4061</v>
      </c>
    </row>
    <row r="1873" spans="1:19" s="3195" customFormat="1" ht="12" customHeight="1">
      <c r="A1873" s="3228"/>
      <c r="B1873" s="474" t="s">
        <v>6904</v>
      </c>
      <c r="C1873" s="3011"/>
      <c r="D1873" s="3011"/>
      <c r="E1873" s="3011"/>
      <c r="F1873" s="3011"/>
      <c r="G1873" s="3011"/>
      <c r="H1873" s="3011"/>
      <c r="I1873" s="3011"/>
      <c r="J1873" s="3011"/>
      <c r="K1873" s="3011"/>
      <c r="L1873" s="3011"/>
      <c r="M1873" s="2746" t="s">
        <v>6905</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52</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6906</v>
      </c>
      <c r="B1879" s="3046" t="s">
        <v>3958</v>
      </c>
      <c r="C1879" s="3046"/>
      <c r="H1879" s="3046"/>
      <c r="M1879" s="3228">
        <v>2</v>
      </c>
      <c r="N1879" s="3058" t="s">
        <v>1844</v>
      </c>
      <c r="O1879" s="3173">
        <v>0</v>
      </c>
      <c r="P1879" s="3173"/>
      <c r="Q1879" s="3200" t="str">
        <f>IF(OR($O1879=$M1879,$O1879=0,$O1879=""),"","*CHECK!*")</f>
        <v/>
      </c>
      <c r="R1879" s="2694" t="s">
        <v>4061</v>
      </c>
    </row>
    <row r="1880" spans="1:19" s="3195" customFormat="1" ht="11.25" customHeight="1">
      <c r="A1880" s="3283"/>
      <c r="B1880" s="3046" t="s">
        <v>6816</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3830</v>
      </c>
      <c r="H1881" s="3022">
        <f>'Part V-Revenues &amp; Expenses'!$P$125</f>
        <v>0</v>
      </c>
      <c r="I1881" s="3229" t="s">
        <v>2519</v>
      </c>
      <c r="J1881" s="3022">
        <f>'Part V-Revenues &amp; Expenses'!$P$67</f>
        <v>52</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24">
      <c r="A1883" s="3049" t="str">
        <f>'Part VIII Scoring Criteria'!A392</f>
        <v>Project not eligible.</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2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3379</v>
      </c>
      <c r="B1887" s="2964" t="s">
        <v>4038</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3380</v>
      </c>
      <c r="B1895" s="2964" t="s">
        <v>6610</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6611</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6612</v>
      </c>
      <c r="C1897" s="2550"/>
      <c r="D1897" s="3106"/>
      <c r="E1897" s="474"/>
      <c r="F1897" s="474"/>
      <c r="G1897" s="474"/>
      <c r="H1897" s="474"/>
      <c r="I1897" s="3106"/>
      <c r="J1897" s="3106"/>
      <c r="K1897" s="2976"/>
      <c r="L1897" s="3285"/>
      <c r="M1897" s="2917">
        <v>1</v>
      </c>
      <c r="N1897" s="3286" t="s">
        <v>1842</v>
      </c>
      <c r="O1897" s="3173">
        <f>'Part VIII Scoring Criteria'!O406</f>
        <v>0</v>
      </c>
      <c r="P1897" s="3012"/>
      <c r="Q1897" s="3200" t="str">
        <f>IF(OR($O1897=$M1897,$O1897=0,$O1897=""),"","*CHECK!*")</f>
        <v/>
      </c>
      <c r="R1897" s="2694" t="s">
        <v>2460</v>
      </c>
    </row>
    <row r="1898" spans="1:21" s="3288" customFormat="1" ht="12" customHeight="1">
      <c r="A1898" s="3287" t="s">
        <v>1844</v>
      </c>
      <c r="B1898" s="2970" t="s">
        <v>6613</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6243</v>
      </c>
      <c r="C1899" s="2550"/>
      <c r="D1899" s="2550"/>
      <c r="E1899" s="2550"/>
      <c r="F1899" s="2550"/>
      <c r="G1899" s="2550"/>
      <c r="H1899" s="2550"/>
      <c r="I1899" s="2550"/>
      <c r="J1899" s="2550"/>
      <c r="K1899" s="2550"/>
      <c r="L1899" s="2550"/>
      <c r="M1899" s="2917">
        <v>1</v>
      </c>
      <c r="N1899" s="3286" t="s">
        <v>698</v>
      </c>
      <c r="O1899" s="3173">
        <f>'Part VIII Scoring Criteria'!O408</f>
        <v>1</v>
      </c>
      <c r="P1899" s="3012"/>
      <c r="Q1899" s="3200" t="str">
        <f>IF(OR($O1899=$M1899,$O1899=0,$O1899=""),"","*CHECK!*")</f>
        <v/>
      </c>
      <c r="R1899" s="2694" t="s">
        <v>2460</v>
      </c>
      <c r="S1899" s="3093"/>
      <c r="T1899" s="3093"/>
      <c r="U1899" s="3093"/>
    </row>
    <row r="1900" spans="1:21" s="2914" customFormat="1" ht="12" customHeight="1">
      <c r="A1900" s="3287" t="s">
        <v>1963</v>
      </c>
      <c r="B1900" s="2135" t="s">
        <v>6614</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328">
      <c r="A1904" s="3049" t="str">
        <f>'Part VIII Scoring Criteria'!A413</f>
        <v>Applicant has a tenant selection preference as identified in the Integrated Supportive Housing folder. Applicant is seeking points in Prior Performance and Applicant has a controlling interest in the General Partnership. Past performance projects with Section 811 PBRA commitments are 2018-045, 2019-504, and 2020-082.</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3381</v>
      </c>
      <c r="B1908" s="2964" t="s">
        <v>6244</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36">
      <c r="A1910" s="3049" t="str">
        <f>'Part VIII Scoring Criteria'!A419</f>
        <v>Not eligible - new construction</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1"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3382</v>
      </c>
      <c r="B1914" s="2964" t="s">
        <v>6615</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1"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3805</v>
      </c>
      <c r="B1918" s="2964" t="s">
        <v>6616</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36">
      <c r="A1920" s="3049" t="str">
        <f>'Part VIII Scoring Criteria'!A429</f>
        <v>Not eligible - new construction</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1"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6561</v>
      </c>
      <c r="B1924" s="2964" t="s">
        <v>6617</v>
      </c>
      <c r="D1924" s="2967"/>
      <c r="G1924" s="2984" t="s">
        <v>6903</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6136</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6137</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36">
      <c r="A1928" s="3049" t="str">
        <f>'Part VIII Scoring Criteria'!A437</f>
        <v>Not eligible - new construction</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6907</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65</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6794</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110" zoomScaleNormal="110" workbookViewId="0">
      <selection activeCell="I51" sqref="I51:J52"/>
    </sheetView>
  </sheetViews>
  <sheetFormatPr baseColWidth="10" defaultColWidth="9.1640625" defaultRowHeight="12"/>
  <cols>
    <col min="1" max="1" width="4.1640625" style="364" customWidth="1"/>
    <col min="2" max="17" width="8.1640625" style="364" customWidth="1"/>
    <col min="18" max="18" width="3.1640625" style="364" customWidth="1"/>
    <col min="19" max="19" width="13.5" style="364" customWidth="1"/>
    <col min="20" max="20" width="98.83203125" style="364" customWidth="1"/>
    <col min="21" max="24" width="9.1640625" style="364"/>
    <col min="25" max="25" width="16.5" style="2289" bestFit="1" customWidth="1"/>
    <col min="26" max="26" width="9.1640625" style="2293"/>
    <col min="27" max="51" width="9.1640625" style="364"/>
    <col min="52" max="52" width="9.1640625" style="2211"/>
    <col min="53" max="16384" width="9.1640625" style="364"/>
  </cols>
  <sheetData>
    <row r="1" spans="1:52" s="2289" customFormat="1" ht="12" hidden="1" customHeight="1">
      <c r="A1" s="2287"/>
      <c r="B1" s="2287" t="s">
        <v>6311</v>
      </c>
      <c r="C1" s="2287"/>
      <c r="D1" s="2287"/>
      <c r="E1" s="2287" t="s">
        <v>6330</v>
      </c>
      <c r="F1" s="2287"/>
      <c r="G1" s="2288"/>
      <c r="H1" s="2288" t="s">
        <v>6331</v>
      </c>
      <c r="I1" s="2288" t="s">
        <v>6332</v>
      </c>
      <c r="J1" s="2288"/>
      <c r="K1" s="2288" t="s">
        <v>6333</v>
      </c>
      <c r="L1" s="2288" t="s">
        <v>6334</v>
      </c>
      <c r="M1" s="2289" t="s">
        <v>6335</v>
      </c>
      <c r="N1" s="2289" t="s">
        <v>6336</v>
      </c>
      <c r="P1" s="2289" t="s">
        <v>6337</v>
      </c>
      <c r="Z1" s="2245">
        <v>1</v>
      </c>
    </row>
    <row r="2" spans="1:52" s="291" customFormat="1" ht="14" customHeight="1">
      <c r="A2" s="3470" t="str">
        <f>CONCATENATE("PART TWO - SOURCES OF FUNDS (Proposed)","  -  ",'Part I-Project Identification'!$O$7," ",'Part I-Project Identification'!$F$29,", ",'Part I-Project Identification'!$F$30,", ",'Part I-Project Identification'!$J$30," County")</f>
        <v>PART TWO - SOURCES OF FUNDS (Proposed)  -  2022-0 Cave Spring Townhomes, Cave Spring, Floyd County</v>
      </c>
      <c r="B2" s="3471"/>
      <c r="C2" s="3471"/>
      <c r="D2" s="3471"/>
      <c r="E2" s="3471"/>
      <c r="F2" s="3471"/>
      <c r="G2" s="3471"/>
      <c r="H2" s="3471"/>
      <c r="I2" s="3471"/>
      <c r="J2" s="3471"/>
      <c r="K2" s="3471"/>
      <c r="L2" s="3471"/>
      <c r="M2" s="3471"/>
      <c r="N2" s="3471"/>
      <c r="O2" s="3471"/>
      <c r="P2" s="3471"/>
      <c r="Q2" s="3472"/>
      <c r="S2" s="3589" t="str">
        <f>$A$2</f>
        <v>PART TWO - SOURCES OF FUNDS (Proposed)  -  2022-0 Cave Spring Townhomes, Cave Spring, Floyd County</v>
      </c>
      <c r="T2" s="3589"/>
      <c r="Y2" s="2290"/>
      <c r="Z2" s="2246">
        <v>2</v>
      </c>
      <c r="AZ2" s="2212"/>
    </row>
    <row r="3" spans="1:52" ht="17.5" customHeight="1">
      <c r="A3" s="332"/>
      <c r="B3" s="332"/>
      <c r="C3" s="332"/>
      <c r="D3" s="332"/>
      <c r="E3" s="332"/>
      <c r="F3" s="332"/>
      <c r="G3" s="1273"/>
      <c r="H3" s="1273"/>
      <c r="I3" s="1273"/>
      <c r="J3" s="1273"/>
      <c r="K3" s="1273"/>
      <c r="L3" s="1273"/>
      <c r="Y3" s="2290"/>
      <c r="Z3" s="2246">
        <v>3</v>
      </c>
      <c r="AZ3" s="2212"/>
    </row>
    <row r="4" spans="1:52" s="291" customFormat="1" ht="13.25" customHeight="1">
      <c r="A4" s="317" t="s">
        <v>573</v>
      </c>
      <c r="B4" s="326" t="s">
        <v>2295</v>
      </c>
      <c r="C4" s="315"/>
      <c r="D4" s="1537"/>
      <c r="E4" s="1537"/>
      <c r="F4" s="1537"/>
      <c r="G4" s="1537"/>
      <c r="L4" s="3604" t="str">
        <f>'Part I-Project Identification'!$A$6</f>
        <v>May 12 2022 Core Application</v>
      </c>
      <c r="M4" s="3605"/>
      <c r="N4" s="3605"/>
      <c r="O4" s="3605"/>
      <c r="P4" s="3606"/>
      <c r="S4" s="365" t="str">
        <f>B4</f>
        <v>GOVERNMENT FUNDING SOURCES  (check all that apply)</v>
      </c>
      <c r="Y4" s="2290"/>
      <c r="Z4" s="2246">
        <v>4</v>
      </c>
      <c r="AZ4" s="2212"/>
    </row>
    <row r="5" spans="1:52" s="291" customFormat="1" ht="15.75" customHeight="1">
      <c r="A5" s="337"/>
      <c r="B5" s="495"/>
      <c r="C5" s="333"/>
      <c r="D5" s="1041"/>
      <c r="E5" s="1041"/>
      <c r="F5" s="1041"/>
      <c r="G5" s="1041"/>
      <c r="S5" s="3550" t="s">
        <v>2449</v>
      </c>
      <c r="T5" s="3550"/>
      <c r="Y5" s="2290"/>
      <c r="Z5" s="2246">
        <v>5</v>
      </c>
      <c r="AZ5" s="2212"/>
    </row>
    <row r="6" spans="1:52" s="291" customFormat="1" ht="16.5" customHeight="1">
      <c r="A6" s="495"/>
      <c r="B6" s="1559" t="s">
        <v>2651</v>
      </c>
      <c r="C6" s="292" t="s">
        <v>2220</v>
      </c>
      <c r="D6" s="315"/>
      <c r="E6" s="1559" t="s">
        <v>2654</v>
      </c>
      <c r="F6" s="292" t="s">
        <v>6081</v>
      </c>
      <c r="G6" s="315"/>
      <c r="I6" s="3593"/>
      <c r="J6" s="3594"/>
      <c r="L6" s="1559" t="s">
        <v>2654</v>
      </c>
      <c r="M6" s="292" t="s">
        <v>1438</v>
      </c>
      <c r="Q6" s="2108"/>
      <c r="S6" s="3536"/>
      <c r="T6" s="3537"/>
      <c r="Y6" s="2290"/>
      <c r="Z6" s="2246">
        <v>6</v>
      </c>
      <c r="AZ6" s="2212"/>
    </row>
    <row r="7" spans="1:52" s="291" customFormat="1" ht="16.5" customHeight="1">
      <c r="A7" s="495"/>
      <c r="B7" s="1543" t="s">
        <v>2654</v>
      </c>
      <c r="C7" s="292" t="s">
        <v>3879</v>
      </c>
      <c r="D7" s="315"/>
      <c r="E7" s="1542" t="s">
        <v>2654</v>
      </c>
      <c r="F7" s="292" t="s">
        <v>6082</v>
      </c>
      <c r="I7" s="3595"/>
      <c r="J7" s="3596"/>
      <c r="L7" s="1543" t="s">
        <v>2654</v>
      </c>
      <c r="M7" s="292" t="s">
        <v>514</v>
      </c>
      <c r="P7" s="2108"/>
      <c r="Q7" s="2108"/>
      <c r="S7" s="3497"/>
      <c r="T7" s="3498"/>
      <c r="Y7" s="2290"/>
      <c r="Z7" s="2246">
        <v>7</v>
      </c>
      <c r="AZ7" s="2212"/>
    </row>
    <row r="8" spans="1:52" s="291" customFormat="1" ht="16.5" customHeight="1">
      <c r="A8" s="315"/>
      <c r="B8" s="1543" t="s">
        <v>2654</v>
      </c>
      <c r="C8" s="292" t="s">
        <v>6668</v>
      </c>
      <c r="F8" s="291" t="s">
        <v>6671</v>
      </c>
      <c r="H8" s="3607" t="s">
        <v>3068</v>
      </c>
      <c r="I8" s="3608"/>
      <c r="J8" s="3609"/>
      <c r="L8" s="1543" t="s">
        <v>2654</v>
      </c>
      <c r="M8" s="310" t="s">
        <v>6673</v>
      </c>
      <c r="P8" s="2108"/>
      <c r="Q8" s="2108"/>
      <c r="S8" s="3497"/>
      <c r="T8" s="3498"/>
      <c r="Y8" s="2290"/>
      <c r="Z8" s="2246">
        <v>8</v>
      </c>
      <c r="AZ8" s="2212"/>
    </row>
    <row r="9" spans="1:52" s="291" customFormat="1" ht="16.5" customHeight="1">
      <c r="A9" s="495"/>
      <c r="B9" s="1543" t="s">
        <v>2654</v>
      </c>
      <c r="C9" s="291" t="s">
        <v>3302</v>
      </c>
      <c r="E9" s="1563" t="s">
        <v>2654</v>
      </c>
      <c r="F9" s="3599" t="s">
        <v>6667</v>
      </c>
      <c r="G9" s="3600"/>
      <c r="H9" s="3597"/>
      <c r="I9" s="3597"/>
      <c r="J9" s="3598"/>
      <c r="L9" s="1543" t="s">
        <v>2654</v>
      </c>
      <c r="M9" s="310" t="s">
        <v>3880</v>
      </c>
      <c r="Q9" s="2108"/>
      <c r="S9" s="3499"/>
      <c r="T9" s="3500"/>
      <c r="Y9" s="2290"/>
      <c r="Z9" s="2246">
        <v>9</v>
      </c>
      <c r="AZ9" s="2212"/>
    </row>
    <row r="10" spans="1:52" s="291" customFormat="1" ht="16.5" customHeight="1">
      <c r="A10" s="495"/>
      <c r="B10" s="1543" t="s">
        <v>2654</v>
      </c>
      <c r="C10" s="292" t="s">
        <v>2395</v>
      </c>
      <c r="F10" s="3601" t="s">
        <v>3770</v>
      </c>
      <c r="G10" s="3602"/>
      <c r="H10" s="3602"/>
      <c r="I10" s="3602"/>
      <c r="J10" s="3603"/>
      <c r="L10" s="1543" t="s">
        <v>2654</v>
      </c>
      <c r="M10" s="292" t="s">
        <v>3195</v>
      </c>
      <c r="P10" s="2108"/>
      <c r="Q10" s="2108"/>
      <c r="S10" s="3536"/>
      <c r="T10" s="3537"/>
      <c r="Y10" s="2290"/>
      <c r="Z10" s="2245">
        <v>10</v>
      </c>
      <c r="AZ10" s="2212"/>
    </row>
    <row r="11" spans="1:52" s="291" customFormat="1" ht="16.5" customHeight="1">
      <c r="A11" s="495"/>
      <c r="B11" s="1543" t="s">
        <v>2654</v>
      </c>
      <c r="C11" s="292" t="s">
        <v>2396</v>
      </c>
      <c r="E11" s="1563" t="s">
        <v>2654</v>
      </c>
      <c r="F11" s="3597" t="s">
        <v>6669</v>
      </c>
      <c r="G11" s="3597"/>
      <c r="H11" s="3597"/>
      <c r="I11" s="3597"/>
      <c r="J11" s="3598"/>
      <c r="L11" s="1543" t="s">
        <v>2654</v>
      </c>
      <c r="M11" s="291" t="s">
        <v>2399</v>
      </c>
      <c r="S11" s="3497"/>
      <c r="T11" s="3498"/>
      <c r="Y11" s="2290"/>
      <c r="Z11" s="2246">
        <v>11</v>
      </c>
      <c r="AZ11" s="2212"/>
    </row>
    <row r="12" spans="1:52" s="291" customFormat="1" ht="16.5" customHeight="1">
      <c r="A12" s="495"/>
      <c r="B12" s="2097" t="s">
        <v>2654</v>
      </c>
      <c r="C12" s="310" t="s">
        <v>3196</v>
      </c>
      <c r="F12" s="3590" t="s">
        <v>3771</v>
      </c>
      <c r="G12" s="3591"/>
      <c r="H12" s="3610"/>
      <c r="I12" s="3610"/>
      <c r="J12" s="3611"/>
      <c r="L12" s="1543" t="s">
        <v>2654</v>
      </c>
      <c r="M12" s="291" t="s">
        <v>3221</v>
      </c>
      <c r="S12" s="3497"/>
      <c r="T12" s="3498"/>
      <c r="Y12" s="2290"/>
      <c r="Z12" s="2246">
        <v>12</v>
      </c>
      <c r="AZ12" s="2212"/>
    </row>
    <row r="13" spans="1:52" s="291" customFormat="1" ht="16.5" customHeight="1">
      <c r="A13" s="495"/>
      <c r="B13" s="2097" t="s">
        <v>2651</v>
      </c>
      <c r="C13" s="310" t="s">
        <v>6670</v>
      </c>
      <c r="E13" s="1559" t="s">
        <v>2651</v>
      </c>
      <c r="F13" s="310" t="s">
        <v>6672</v>
      </c>
      <c r="H13" s="3590" t="s">
        <v>6919</v>
      </c>
      <c r="I13" s="3591"/>
      <c r="J13" s="3592"/>
      <c r="L13" s="2097" t="s">
        <v>2654</v>
      </c>
      <c r="M13" s="291" t="s">
        <v>6080</v>
      </c>
      <c r="S13" s="3497"/>
      <c r="T13" s="3498"/>
      <c r="Y13" s="2290"/>
      <c r="Z13" s="2246">
        <v>13</v>
      </c>
      <c r="AZ13" s="2212"/>
    </row>
    <row r="14" spans="1:52" s="291" customFormat="1" ht="16.5" customHeight="1">
      <c r="A14" s="495"/>
      <c r="B14" s="1543" t="s">
        <v>2654</v>
      </c>
      <c r="C14" s="291" t="s">
        <v>2398</v>
      </c>
      <c r="E14" s="2097" t="s">
        <v>2654</v>
      </c>
      <c r="F14" s="310" t="s">
        <v>3301</v>
      </c>
      <c r="L14" s="2097" t="s">
        <v>2651</v>
      </c>
      <c r="M14" s="291" t="s">
        <v>6718</v>
      </c>
      <c r="S14" s="3499"/>
      <c r="T14" s="3500"/>
      <c r="Y14" s="2290"/>
      <c r="Z14" s="2246">
        <v>14</v>
      </c>
      <c r="AZ14" s="2212"/>
    </row>
    <row r="15" spans="1:52" s="291" customFormat="1" ht="16.5" customHeight="1">
      <c r="A15" s="495"/>
      <c r="B15" s="1543" t="s">
        <v>2654</v>
      </c>
      <c r="C15" s="291" t="s">
        <v>3220</v>
      </c>
      <c r="E15" s="2097" t="s">
        <v>2654</v>
      </c>
      <c r="F15" s="310" t="s">
        <v>6083</v>
      </c>
      <c r="L15" s="2097" t="s">
        <v>2654</v>
      </c>
      <c r="M15" s="2109" t="s">
        <v>6084</v>
      </c>
      <c r="Y15" s="2290"/>
      <c r="Z15" s="2246">
        <v>15</v>
      </c>
      <c r="AZ15" s="2212"/>
    </row>
    <row r="16" spans="1:52" s="291" customFormat="1" ht="16.5" customHeight="1">
      <c r="A16" s="495"/>
      <c r="B16" s="1542" t="s">
        <v>2654</v>
      </c>
      <c r="C16" s="292" t="s">
        <v>1674</v>
      </c>
      <c r="E16" s="2098" t="s">
        <v>2654</v>
      </c>
      <c r="F16" s="292" t="s">
        <v>6502</v>
      </c>
      <c r="I16" s="3612"/>
      <c r="J16" s="3613"/>
      <c r="L16" s="2098" t="s">
        <v>2654</v>
      </c>
      <c r="M16" s="2109" t="s">
        <v>6079</v>
      </c>
      <c r="Y16" s="2290"/>
      <c r="Z16" s="2246">
        <v>16</v>
      </c>
      <c r="AZ16" s="2212"/>
    </row>
    <row r="17" spans="1:52" s="291" customFormat="1" ht="17" customHeight="1">
      <c r="A17" s="495"/>
      <c r="B17" s="291" t="s">
        <v>3881</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614"/>
      <c r="O19" s="3614"/>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 customHeight="1">
      <c r="A21" s="315"/>
      <c r="B21" s="1034" t="s">
        <v>1734</v>
      </c>
      <c r="C21" s="315"/>
      <c r="D21" s="315"/>
      <c r="E21" s="315"/>
      <c r="F21" s="315"/>
      <c r="G21" s="315"/>
      <c r="H21" s="3615" t="s">
        <v>1221</v>
      </c>
      <c r="I21" s="3615"/>
      <c r="J21" s="3615"/>
      <c r="K21" s="3615"/>
      <c r="L21" s="3549" t="s">
        <v>3847</v>
      </c>
      <c r="M21" s="3549"/>
      <c r="N21" s="3549" t="s">
        <v>1411</v>
      </c>
      <c r="O21" s="3549"/>
      <c r="P21" s="3549" t="s">
        <v>1524</v>
      </c>
      <c r="Q21" s="3549"/>
      <c r="S21" s="3550" t="s">
        <v>2449</v>
      </c>
      <c r="T21" s="3550"/>
      <c r="Y21" s="2290"/>
      <c r="Z21" s="2246">
        <v>21</v>
      </c>
      <c r="AZ21" s="2212" t="s">
        <v>6345</v>
      </c>
    </row>
    <row r="22" spans="1:52" s="291" customFormat="1" ht="15.75" customHeight="1">
      <c r="A22" s="315"/>
      <c r="B22" s="3553" t="s">
        <v>1487</v>
      </c>
      <c r="C22" s="3554"/>
      <c r="D22" s="3554"/>
      <c r="E22" s="1042"/>
      <c r="F22" s="1042"/>
      <c r="G22" s="1042"/>
      <c r="H22" s="3522" t="s">
        <v>6920</v>
      </c>
      <c r="I22" s="3523"/>
      <c r="J22" s="3523"/>
      <c r="K22" s="3524"/>
      <c r="L22" s="3572">
        <v>12600000</v>
      </c>
      <c r="M22" s="3573"/>
      <c r="N22" s="3574">
        <v>5.5E-2</v>
      </c>
      <c r="O22" s="3575"/>
      <c r="P22" s="3576">
        <v>24</v>
      </c>
      <c r="Q22" s="3577"/>
      <c r="S22" s="3536"/>
      <c r="T22" s="3537"/>
      <c r="Y22" s="2290" t="s">
        <v>6345</v>
      </c>
      <c r="Z22" s="2246">
        <v>22</v>
      </c>
      <c r="AZ22" s="2212" t="s">
        <v>6346</v>
      </c>
    </row>
    <row r="23" spans="1:52" s="291" customFormat="1" ht="15.75" customHeight="1">
      <c r="A23" s="315"/>
      <c r="B23" s="3538" t="s">
        <v>1488</v>
      </c>
      <c r="C23" s="3539"/>
      <c r="D23" s="3539"/>
      <c r="E23" s="1041"/>
      <c r="F23" s="1041"/>
      <c r="G23" s="1041"/>
      <c r="H23" s="3484"/>
      <c r="I23" s="3485"/>
      <c r="J23" s="3485"/>
      <c r="K23" s="3486"/>
      <c r="L23" s="3560"/>
      <c r="M23" s="3561"/>
      <c r="N23" s="3583"/>
      <c r="O23" s="3584"/>
      <c r="P23" s="3585"/>
      <c r="Q23" s="3586"/>
      <c r="S23" s="3497"/>
      <c r="T23" s="3498"/>
      <c r="Y23" s="2290" t="s">
        <v>6346</v>
      </c>
      <c r="Z23" s="2246">
        <v>23</v>
      </c>
      <c r="AZ23" s="2212" t="s">
        <v>6347</v>
      </c>
    </row>
    <row r="24" spans="1:52" s="291" customFormat="1" ht="15.75" customHeight="1">
      <c r="A24" s="315"/>
      <c r="B24" s="3587" t="s">
        <v>1489</v>
      </c>
      <c r="C24" s="3588"/>
      <c r="D24" s="3588"/>
      <c r="E24" s="1048"/>
      <c r="F24" s="1048"/>
      <c r="G24" s="1048"/>
      <c r="H24" s="3502"/>
      <c r="I24" s="3503"/>
      <c r="J24" s="3503"/>
      <c r="K24" s="3504"/>
      <c r="L24" s="3564"/>
      <c r="M24" s="3565"/>
      <c r="N24" s="3616"/>
      <c r="O24" s="3617"/>
      <c r="P24" s="3618"/>
      <c r="Q24" s="3619"/>
      <c r="S24" s="3497"/>
      <c r="T24" s="3498"/>
      <c r="Y24" s="2290" t="s">
        <v>6347</v>
      </c>
      <c r="Z24" s="2246">
        <v>24</v>
      </c>
      <c r="AZ24" s="2212" t="s">
        <v>6348</v>
      </c>
    </row>
    <row r="25" spans="1:52" s="291" customFormat="1" ht="15.75" customHeight="1">
      <c r="A25" s="315"/>
      <c r="B25" s="3553" t="s">
        <v>2048</v>
      </c>
      <c r="C25" s="3554"/>
      <c r="D25" s="3554"/>
      <c r="E25" s="1041"/>
      <c r="F25" s="1041"/>
      <c r="G25" s="1041"/>
      <c r="H25" s="3578"/>
      <c r="I25" s="3579"/>
      <c r="J25" s="3579"/>
      <c r="K25" s="3580"/>
      <c r="L25" s="3581"/>
      <c r="M25" s="3582"/>
      <c r="N25" s="3562"/>
      <c r="O25" s="3563"/>
      <c r="P25" s="3545"/>
      <c r="Q25" s="3545"/>
      <c r="S25" s="3497"/>
      <c r="T25" s="3498"/>
      <c r="Y25" s="2290" t="s">
        <v>6348</v>
      </c>
      <c r="Z25" s="2246">
        <v>25</v>
      </c>
      <c r="AZ25" s="2212" t="s">
        <v>6349</v>
      </c>
    </row>
    <row r="26" spans="1:52" s="291" customFormat="1" ht="15.75" customHeight="1">
      <c r="A26" s="315"/>
      <c r="B26" s="3538" t="s">
        <v>745</v>
      </c>
      <c r="C26" s="3539"/>
      <c r="D26" s="3539"/>
      <c r="E26" s="1041"/>
      <c r="H26" s="3484"/>
      <c r="I26" s="3485"/>
      <c r="J26" s="3485"/>
      <c r="K26" s="3486"/>
      <c r="L26" s="3560"/>
      <c r="M26" s="3561"/>
      <c r="N26" s="3562"/>
      <c r="O26" s="3563"/>
      <c r="P26" s="3545"/>
      <c r="Q26" s="3545"/>
      <c r="S26" s="3497"/>
      <c r="T26" s="3498"/>
      <c r="Y26" s="2290" t="s">
        <v>6349</v>
      </c>
      <c r="Z26" s="2245">
        <v>26</v>
      </c>
      <c r="AZ26" s="2212" t="s">
        <v>6350</v>
      </c>
    </row>
    <row r="27" spans="1:52" s="291" customFormat="1" ht="15.75" customHeight="1">
      <c r="A27" s="315"/>
      <c r="B27" s="3538" t="s">
        <v>595</v>
      </c>
      <c r="C27" s="3539"/>
      <c r="D27" s="3539"/>
      <c r="E27" s="1041"/>
      <c r="H27" s="3484"/>
      <c r="I27" s="3485"/>
      <c r="J27" s="3485"/>
      <c r="K27" s="3486"/>
      <c r="L27" s="3560"/>
      <c r="M27" s="3561"/>
      <c r="N27" s="3562"/>
      <c r="O27" s="3563"/>
      <c r="P27" s="3545"/>
      <c r="Q27" s="3545"/>
      <c r="S27" s="3497"/>
      <c r="T27" s="3498"/>
      <c r="Y27" s="2290" t="s">
        <v>6350</v>
      </c>
      <c r="Z27" s="2246">
        <v>27</v>
      </c>
      <c r="AZ27" s="2212" t="s">
        <v>6351</v>
      </c>
    </row>
    <row r="28" spans="1:52" s="291" customFormat="1" ht="15.75" customHeight="1">
      <c r="A28" s="315"/>
      <c r="B28" s="3538" t="s">
        <v>746</v>
      </c>
      <c r="C28" s="3539"/>
      <c r="D28" s="3539"/>
      <c r="E28" s="1041"/>
      <c r="H28" s="3484" t="s">
        <v>6921</v>
      </c>
      <c r="I28" s="3485"/>
      <c r="J28" s="3485"/>
      <c r="K28" s="3486"/>
      <c r="L28" s="3560">
        <v>1367770</v>
      </c>
      <c r="M28" s="3561"/>
      <c r="N28" s="315"/>
      <c r="Q28" s="315"/>
      <c r="S28" s="3499"/>
      <c r="T28" s="3500"/>
      <c r="Y28" s="2290" t="s">
        <v>6351</v>
      </c>
      <c r="Z28" s="2246">
        <v>28</v>
      </c>
      <c r="AZ28" s="2212" t="s">
        <v>6352</v>
      </c>
    </row>
    <row r="29" spans="1:52" s="291" customFormat="1" ht="15.75" customHeight="1">
      <c r="A29" s="315"/>
      <c r="B29" s="3538" t="s">
        <v>747</v>
      </c>
      <c r="C29" s="3539"/>
      <c r="D29" s="3539"/>
      <c r="E29" s="1041"/>
      <c r="H29" s="3484" t="s">
        <v>6921</v>
      </c>
      <c r="I29" s="3485"/>
      <c r="J29" s="3485"/>
      <c r="K29" s="3486"/>
      <c r="L29" s="3560">
        <v>898742</v>
      </c>
      <c r="M29" s="3561"/>
      <c r="N29" s="315"/>
      <c r="Q29" s="315"/>
      <c r="S29" s="3536"/>
      <c r="T29" s="3537"/>
      <c r="Y29" s="2290" t="s">
        <v>6352</v>
      </c>
      <c r="Z29" s="2246">
        <v>29</v>
      </c>
      <c r="AZ29" s="2212" t="s">
        <v>6353</v>
      </c>
    </row>
    <row r="30" spans="1:52" s="291" customFormat="1" ht="15.75" customHeight="1">
      <c r="A30" s="315"/>
      <c r="B30" s="1040" t="s">
        <v>232</v>
      </c>
      <c r="C30" s="1041"/>
      <c r="D30" s="3512"/>
      <c r="E30" s="3512"/>
      <c r="F30" s="3512"/>
      <c r="G30" s="3512"/>
      <c r="H30" s="3484"/>
      <c r="I30" s="3485"/>
      <c r="J30" s="3485"/>
      <c r="K30" s="3486"/>
      <c r="L30" s="3560"/>
      <c r="M30" s="3561"/>
      <c r="N30" s="315"/>
      <c r="Q30" s="315"/>
      <c r="S30" s="3497"/>
      <c r="T30" s="3498"/>
      <c r="Y30" s="2290" t="s">
        <v>6353</v>
      </c>
      <c r="Z30" s="2246">
        <v>30</v>
      </c>
      <c r="AZ30" s="2212" t="s">
        <v>6354</v>
      </c>
    </row>
    <row r="31" spans="1:52" s="291" customFormat="1" ht="15.75" customHeight="1">
      <c r="A31" s="315"/>
      <c r="B31" s="1040" t="s">
        <v>232</v>
      </c>
      <c r="C31" s="1041"/>
      <c r="D31" s="3513"/>
      <c r="E31" s="3513"/>
      <c r="F31" s="3513"/>
      <c r="G31" s="3513"/>
      <c r="H31" s="3484"/>
      <c r="I31" s="3485"/>
      <c r="J31" s="3485"/>
      <c r="K31" s="3486"/>
      <c r="L31" s="3560"/>
      <c r="M31" s="3561"/>
      <c r="N31" s="315"/>
      <c r="S31" s="3497"/>
      <c r="T31" s="3498"/>
      <c r="Y31" s="2290" t="s">
        <v>6354</v>
      </c>
      <c r="Z31" s="2246">
        <v>31</v>
      </c>
      <c r="AZ31" s="2212" t="s">
        <v>6355</v>
      </c>
    </row>
    <row r="32" spans="1:52" s="291" customFormat="1" ht="15.75" customHeight="1">
      <c r="A32" s="315"/>
      <c r="B32" s="1047" t="s">
        <v>232</v>
      </c>
      <c r="C32" s="1048"/>
      <c r="D32" s="3501"/>
      <c r="E32" s="3501"/>
      <c r="F32" s="3501"/>
      <c r="G32" s="3501"/>
      <c r="H32" s="3502"/>
      <c r="I32" s="3503"/>
      <c r="J32" s="3503"/>
      <c r="K32" s="3504"/>
      <c r="L32" s="3564"/>
      <c r="M32" s="3565"/>
      <c r="N32" s="315"/>
      <c r="S32" s="3497"/>
      <c r="T32" s="3498"/>
      <c r="Y32" s="2290" t="s">
        <v>6355</v>
      </c>
      <c r="Z32" s="2246">
        <v>32</v>
      </c>
      <c r="AZ32" s="2212"/>
    </row>
    <row r="33" spans="1:52" s="291" customFormat="1" ht="16.5" customHeight="1">
      <c r="A33" s="315"/>
      <c r="B33" s="290" t="s">
        <v>1222</v>
      </c>
      <c r="C33" s="315"/>
      <c r="D33" s="315"/>
      <c r="E33" s="315"/>
      <c r="F33" s="315"/>
      <c r="G33" s="315"/>
      <c r="H33" s="315"/>
      <c r="I33" s="315"/>
      <c r="L33" s="3566">
        <f>SUM(L22:L32)</f>
        <v>14866512</v>
      </c>
      <c r="M33" s="3567"/>
      <c r="N33" s="332"/>
      <c r="S33" s="3497"/>
      <c r="T33" s="3498"/>
      <c r="Y33" s="2290"/>
      <c r="Z33" s="2246">
        <v>33</v>
      </c>
      <c r="AZ33" s="2212"/>
    </row>
    <row r="34" spans="1:52" s="291" customFormat="1" ht="16.5" customHeight="1">
      <c r="A34" s="315"/>
      <c r="B34" s="2618" t="s">
        <v>1223</v>
      </c>
      <c r="C34" s="315"/>
      <c r="D34" s="315"/>
      <c r="E34" s="315"/>
      <c r="F34" s="315"/>
      <c r="G34" s="315"/>
      <c r="H34" s="315"/>
      <c r="I34" s="315"/>
      <c r="L34" s="3568">
        <f>'Part III-A-Uses of Funds'!$G$146-'Part III-A-Uses of Funds'!$G$103-'Part III-A-Uses of Funds'!$G$109-'Part III-A-Uses of Funds'!$G$130-'Part III-A-Uses of Funds'!$G$131-'Part III-A-Uses of Funds'!$G$132-'Part III-A-Uses of Funds'!$G$127+'Part III-A-Uses of Funds'!$F$123</f>
        <v>14746344</v>
      </c>
      <c r="M34" s="3569"/>
      <c r="N34" s="839"/>
      <c r="S34" s="3497"/>
      <c r="T34" s="3498"/>
      <c r="Y34" s="2290"/>
      <c r="Z34" s="2246">
        <v>34</v>
      </c>
      <c r="AZ34" s="2212"/>
    </row>
    <row r="35" spans="1:52" s="291" customFormat="1" ht="16.5" customHeight="1">
      <c r="A35" s="315"/>
      <c r="B35" s="320" t="s">
        <v>2003</v>
      </c>
      <c r="C35" s="315"/>
      <c r="D35" s="315"/>
      <c r="E35" s="315"/>
      <c r="F35" s="315"/>
      <c r="G35" s="315"/>
      <c r="H35" s="315"/>
      <c r="I35" s="315"/>
      <c r="L35" s="3570">
        <f>L33-L34</f>
        <v>120168</v>
      </c>
      <c r="M35" s="3571"/>
      <c r="N35" s="839"/>
      <c r="S35" s="3499"/>
      <c r="T35" s="3500"/>
      <c r="Y35" s="2290"/>
      <c r="Z35" s="2245">
        <v>35</v>
      </c>
      <c r="AZ35" s="2211"/>
    </row>
    <row r="36" spans="1:52" ht="9.5" customHeight="1">
      <c r="A36" s="337"/>
      <c r="B36" s="290"/>
      <c r="C36" s="332"/>
      <c r="D36" s="332"/>
      <c r="E36" s="332"/>
      <c r="F36" s="332"/>
      <c r="G36" s="332"/>
      <c r="H36" s="332"/>
      <c r="I36" s="332"/>
      <c r="J36" s="332"/>
      <c r="K36" s="332"/>
      <c r="L36" s="332"/>
      <c r="M36" s="1046"/>
      <c r="N36" s="1046"/>
      <c r="Z36" s="2246">
        <v>36</v>
      </c>
    </row>
    <row r="37" spans="1:52" ht="9.5"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25" customHeight="1">
      <c r="A38" s="315"/>
      <c r="B38" s="315"/>
      <c r="C38" s="315"/>
      <c r="D38" s="315"/>
      <c r="E38" s="315"/>
      <c r="F38" s="1046"/>
      <c r="G38" s="1046"/>
      <c r="H38" s="3545"/>
      <c r="I38" s="3545"/>
      <c r="K38" s="390" t="s">
        <v>1949</v>
      </c>
      <c r="L38" s="1046" t="s">
        <v>1219</v>
      </c>
      <c r="M38" s="1046" t="s">
        <v>1224</v>
      </c>
      <c r="P38" s="3546" t="s">
        <v>31</v>
      </c>
      <c r="Q38" s="3546"/>
      <c r="S38" s="365"/>
      <c r="Y38" s="2290"/>
      <c r="Z38" s="2246">
        <v>38</v>
      </c>
      <c r="AZ38" s="2212"/>
    </row>
    <row r="39" spans="1:52" s="291" customFormat="1" ht="13.25" customHeight="1">
      <c r="A39" s="315"/>
      <c r="B39" s="1049" t="s">
        <v>1734</v>
      </c>
      <c r="C39" s="1048"/>
      <c r="D39" s="1048"/>
      <c r="E39" s="3548" t="s">
        <v>1221</v>
      </c>
      <c r="F39" s="3548"/>
      <c r="G39" s="3548"/>
      <c r="H39" s="3548"/>
      <c r="I39" s="3549" t="s">
        <v>3846</v>
      </c>
      <c r="J39" s="3549"/>
      <c r="K39" s="1035" t="s">
        <v>1676</v>
      </c>
      <c r="L39" s="1035" t="s">
        <v>2047</v>
      </c>
      <c r="M39" s="1035" t="s">
        <v>2047</v>
      </c>
      <c r="N39" s="3549" t="s">
        <v>69</v>
      </c>
      <c r="O39" s="3549"/>
      <c r="P39" s="3547"/>
      <c r="Q39" s="3547"/>
      <c r="S39" s="3550" t="s">
        <v>2449</v>
      </c>
      <c r="T39" s="3550"/>
      <c r="Y39" s="2290"/>
      <c r="Z39" s="2246">
        <v>39</v>
      </c>
      <c r="AZ39" s="2212" t="s">
        <v>6356</v>
      </c>
    </row>
    <row r="40" spans="1:52" s="291" customFormat="1" ht="15" customHeight="1">
      <c r="A40" s="315"/>
      <c r="B40" s="3553" t="s">
        <v>2403</v>
      </c>
      <c r="C40" s="3554"/>
      <c r="D40" s="3554"/>
      <c r="E40" s="3522" t="s">
        <v>6920</v>
      </c>
      <c r="F40" s="3523"/>
      <c r="G40" s="3523"/>
      <c r="H40" s="3524"/>
      <c r="I40" s="3517">
        <v>1320000</v>
      </c>
      <c r="J40" s="3518"/>
      <c r="K40" s="836">
        <v>6.5000000000000002E-2</v>
      </c>
      <c r="L40" s="1043">
        <v>18</v>
      </c>
      <c r="M40" s="1043">
        <v>30</v>
      </c>
      <c r="N40" s="3555" t="s">
        <v>6927</v>
      </c>
      <c r="O40" s="3555"/>
      <c r="P40" s="3516">
        <f>IF(OR(I40&lt;=0,I40=""),"",IF(N40="Cash Flow",0,IF(N40="Amortizing",-PMT(K40/12,M40*12,I40,0,0)*12,"")))</f>
        <v>100119.57492128546</v>
      </c>
      <c r="Q40" s="3516"/>
      <c r="S40" s="3536"/>
      <c r="T40" s="3537"/>
      <c r="Y40" s="2290" t="s">
        <v>6356</v>
      </c>
      <c r="Z40" s="2246">
        <v>40</v>
      </c>
      <c r="AZ40" s="2212" t="s">
        <v>6357</v>
      </c>
    </row>
    <row r="41" spans="1:52" s="291" customFormat="1" ht="15" customHeight="1">
      <c r="A41" s="315"/>
      <c r="B41" s="3538" t="s">
        <v>2404</v>
      </c>
      <c r="C41" s="3539"/>
      <c r="D41" s="3539"/>
      <c r="E41" s="3484"/>
      <c r="F41" s="3485"/>
      <c r="G41" s="3485"/>
      <c r="H41" s="3486"/>
      <c r="I41" s="3487"/>
      <c r="J41" s="3533"/>
      <c r="K41" s="837"/>
      <c r="L41" s="1044"/>
      <c r="M41" s="1044"/>
      <c r="N41" s="3551"/>
      <c r="O41" s="3551"/>
      <c r="P41" s="3552" t="str">
        <f>IF(OR(I41&lt;=0,I41=""),"",IF(N41="Cash Flow",0,IF(N41="Amortizing",-PMT(K41/12,M41*12,I41,0,0)*12,"")))</f>
        <v/>
      </c>
      <c r="Q41" s="3552"/>
      <c r="S41" s="3497"/>
      <c r="T41" s="3498"/>
      <c r="Y41" s="2290" t="s">
        <v>6357</v>
      </c>
      <c r="Z41" s="2246">
        <v>41</v>
      </c>
      <c r="AZ41" s="2212" t="s">
        <v>6358</v>
      </c>
    </row>
    <row r="42" spans="1:52" s="291" customFormat="1" ht="15" customHeight="1">
      <c r="A42" s="315"/>
      <c r="B42" s="3538" t="s">
        <v>2405</v>
      </c>
      <c r="C42" s="3539"/>
      <c r="D42" s="3539"/>
      <c r="E42" s="3484"/>
      <c r="F42" s="3485"/>
      <c r="G42" s="3485"/>
      <c r="H42" s="3486"/>
      <c r="I42" s="3487"/>
      <c r="J42" s="3533"/>
      <c r="K42" s="837"/>
      <c r="L42" s="1044"/>
      <c r="M42" s="1044"/>
      <c r="N42" s="3551"/>
      <c r="O42" s="3551"/>
      <c r="P42" s="3552" t="str">
        <f>IF(OR(I42&lt;=0,I42=""),"",IF(N42="Cash Flow",0,IF(N42="Amortizing",-PMT(K42/12,M42*12,I42,0,0)*12,"")))</f>
        <v/>
      </c>
      <c r="Q42" s="3552"/>
      <c r="S42" s="3497"/>
      <c r="T42" s="3498"/>
      <c r="Y42" s="2290" t="s">
        <v>6358</v>
      </c>
      <c r="Z42" s="2246">
        <v>42</v>
      </c>
      <c r="AZ42" s="2212" t="s">
        <v>6359</v>
      </c>
    </row>
    <row r="43" spans="1:52" s="291" customFormat="1" ht="15" customHeight="1">
      <c r="A43" s="315"/>
      <c r="B43" s="1040" t="s">
        <v>690</v>
      </c>
      <c r="C43" s="3527"/>
      <c r="D43" s="3528"/>
      <c r="E43" s="3484"/>
      <c r="F43" s="3485"/>
      <c r="G43" s="3485"/>
      <c r="H43" s="3486"/>
      <c r="I43" s="3529"/>
      <c r="J43" s="3530"/>
      <c r="K43" s="838"/>
      <c r="L43" s="1038"/>
      <c r="M43" s="1038"/>
      <c r="N43" s="3532"/>
      <c r="O43" s="3532"/>
      <c r="P43" s="3531" t="str">
        <f>IF(OR(I43&lt;=0,I43=""),"",IF(N43="Cash Flow",0,IF(N43="Amortizing",-PMT(K43/12,M43*12,I43,0,0)*12,"")))</f>
        <v/>
      </c>
      <c r="Q43" s="3531"/>
      <c r="S43" s="3497"/>
      <c r="T43" s="3498"/>
      <c r="Y43" s="2290" t="s">
        <v>6359</v>
      </c>
      <c r="Z43" s="2246">
        <v>43</v>
      </c>
      <c r="AZ43" s="2212" t="s">
        <v>6360</v>
      </c>
    </row>
    <row r="44" spans="1:52" s="291" customFormat="1" ht="15" customHeight="1">
      <c r="A44" s="315"/>
      <c r="B44" s="1040" t="s">
        <v>3946</v>
      </c>
      <c r="C44" s="1041"/>
      <c r="D44" s="1045"/>
      <c r="E44" s="3484"/>
      <c r="F44" s="3485"/>
      <c r="G44" s="3485"/>
      <c r="H44" s="3486"/>
      <c r="I44" s="3487"/>
      <c r="J44" s="3533"/>
      <c r="K44" s="476"/>
      <c r="L44" s="1039"/>
      <c r="M44" s="1039"/>
      <c r="N44" s="3535"/>
      <c r="O44" s="3535"/>
      <c r="P44" s="3534"/>
      <c r="Q44" s="3534"/>
      <c r="S44" s="3497"/>
      <c r="T44" s="3498"/>
      <c r="Y44" s="2290" t="s">
        <v>6360</v>
      </c>
      <c r="Z44" s="2245">
        <v>44</v>
      </c>
      <c r="AZ44" s="2212" t="s">
        <v>6361</v>
      </c>
    </row>
    <row r="45" spans="1:52" s="291" customFormat="1" ht="15" customHeight="1">
      <c r="A45" s="315"/>
      <c r="B45" s="1047" t="s">
        <v>220</v>
      </c>
      <c r="C45" s="1048"/>
      <c r="D45" s="391">
        <f>IF(OR(I45="",I45=0,'Part III-A-Uses of Funds'!$G$127="",'Part III-A-Uses of Funds'!$G$127=0),"",I45/'Part III-A-Uses of Funds'!$G$127)</f>
        <v>5.7949260042283297E-2</v>
      </c>
      <c r="E45" s="3502" t="s">
        <v>6977</v>
      </c>
      <c r="F45" s="3503"/>
      <c r="G45" s="3503"/>
      <c r="H45" s="3504"/>
      <c r="I45" s="3556">
        <v>82230</v>
      </c>
      <c r="J45" s="3557"/>
      <c r="K45" s="835">
        <v>0</v>
      </c>
      <c r="L45" s="834">
        <v>13</v>
      </c>
      <c r="M45" s="834">
        <v>13</v>
      </c>
      <c r="N45" s="3369" t="s">
        <v>1097</v>
      </c>
      <c r="O45" s="3370"/>
      <c r="P45" s="3558">
        <f>IF(OR(I45&lt;=0,I45=""),"",IF(N45="Cash Flow",0,IF(N45="Amortizing",-PMT(K45/12,M45*12,I45,0,0)*12,"")))</f>
        <v>0</v>
      </c>
      <c r="Q45" s="3559"/>
      <c r="S45" s="3497"/>
      <c r="T45" s="3498"/>
      <c r="Y45" s="2290" t="s">
        <v>6361</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7"/>
      <c r="T46" s="3498"/>
      <c r="Y46" s="2290"/>
      <c r="Z46" s="2246">
        <v>46</v>
      </c>
      <c r="AZ46" s="2212"/>
    </row>
    <row r="47" spans="1:52" s="291" customFormat="1" ht="15" customHeight="1">
      <c r="A47" s="315"/>
      <c r="B47" s="1070" t="s">
        <v>3407</v>
      </c>
      <c r="C47" s="1217"/>
      <c r="E47" s="291" t="s">
        <v>3365</v>
      </c>
      <c r="F47" s="3491">
        <f>IF(OR($I$45="",$I$45=0,'Part VI-Pro Forma'!$S$35=0,'Part VI-Pro Forma'!$S$35=""),"",VLOOKUP($L$45,'Part VI-Pro Forma'!$Q$21:$S$40,3))</f>
        <v>305016.86303321488</v>
      </c>
      <c r="G47" s="3492"/>
      <c r="H47" s="628" t="s">
        <v>3406</v>
      </c>
      <c r="I47" s="3491">
        <f>IF(OR($I$45="",$I$45=0,'Part VI-Pro Forma'!$R$35=0,'Part VI-Pro Forma'!$R$35=""),"",VLOOKUP($L$45,'Part VI-Pro Forma'!$Q$21:$S$35,2))</f>
        <v>15000</v>
      </c>
      <c r="J47" s="3492"/>
      <c r="K47" s="628" t="s">
        <v>3408</v>
      </c>
      <c r="L47" s="3514">
        <f>IF(OR($F$47 = 0,$F$47 =""),"",$I$47/$F$47)</f>
        <v>4.9177608906057671E-2</v>
      </c>
      <c r="M47" s="3515"/>
      <c r="N47" s="3495" t="s">
        <v>3850</v>
      </c>
      <c r="O47" s="3496"/>
      <c r="P47" s="3493">
        <f>IF(OR($I$62=0,$I$60&gt;$I$61),0,ABS($I$60-$I$61))</f>
        <v>0</v>
      </c>
      <c r="Q47" s="3494"/>
      <c r="S47" s="3497"/>
      <c r="T47" s="3498"/>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9"/>
      <c r="T48" s="3500"/>
      <c r="Y48" s="2290"/>
      <c r="Z48" s="2246">
        <v>48</v>
      </c>
      <c r="AZ48" s="2212" t="s">
        <v>6362</v>
      </c>
    </row>
    <row r="49" spans="1:52" s="291" customFormat="1" ht="15" customHeight="1">
      <c r="A49" s="315"/>
      <c r="B49" s="3519" t="s">
        <v>2048</v>
      </c>
      <c r="C49" s="3520"/>
      <c r="D49" s="3521"/>
      <c r="E49" s="3522"/>
      <c r="F49" s="3523"/>
      <c r="G49" s="3523"/>
      <c r="H49" s="3524"/>
      <c r="I49" s="3525"/>
      <c r="J49" s="3526"/>
      <c r="K49" s="392"/>
      <c r="L49" s="392"/>
      <c r="M49" s="392"/>
      <c r="N49" s="392"/>
      <c r="O49" s="392"/>
      <c r="P49" s="423" t="s">
        <v>483</v>
      </c>
      <c r="Q49" s="392"/>
      <c r="S49" s="3536"/>
      <c r="T49" s="3537"/>
      <c r="Y49" s="2290" t="s">
        <v>6362</v>
      </c>
      <c r="Z49" s="2246">
        <v>49</v>
      </c>
      <c r="AZ49" s="2212" t="s">
        <v>6363</v>
      </c>
    </row>
    <row r="50" spans="1:52" s="291" customFormat="1" ht="15" customHeight="1">
      <c r="A50" s="315"/>
      <c r="B50" s="3538" t="s">
        <v>745</v>
      </c>
      <c r="C50" s="3539"/>
      <c r="D50" s="3540"/>
      <c r="E50" s="3484"/>
      <c r="F50" s="3485"/>
      <c r="G50" s="3485"/>
      <c r="H50" s="3486"/>
      <c r="I50" s="3487"/>
      <c r="J50" s="3533"/>
      <c r="L50" s="3541" t="s">
        <v>484</v>
      </c>
      <c r="M50" s="3541"/>
      <c r="N50" s="3542" t="s">
        <v>485</v>
      </c>
      <c r="O50" s="3542"/>
      <c r="P50" s="424" t="s">
        <v>2358</v>
      </c>
      <c r="Q50" s="392"/>
      <c r="S50" s="3497"/>
      <c r="T50" s="3498"/>
      <c r="Y50" s="2290" t="s">
        <v>6363</v>
      </c>
      <c r="Z50" s="2246">
        <v>50</v>
      </c>
      <c r="AZ50" s="2212" t="s">
        <v>6364</v>
      </c>
    </row>
    <row r="51" spans="1:52" s="291" customFormat="1" ht="15" customHeight="1">
      <c r="A51" s="315"/>
      <c r="B51" s="3538" t="s">
        <v>746</v>
      </c>
      <c r="C51" s="3539"/>
      <c r="D51" s="3540"/>
      <c r="E51" s="3484" t="s">
        <v>6921</v>
      </c>
      <c r="F51" s="3485"/>
      <c r="G51" s="3485"/>
      <c r="H51" s="3486"/>
      <c r="I51" s="3487">
        <v>9211500</v>
      </c>
      <c r="J51" s="3487"/>
      <c r="L51" s="3543">
        <f>'Part III-A-Uses of Funds'!$J$191*10*'Part III-A-Uses of Funds'!$N$182</f>
        <v>9211500</v>
      </c>
      <c r="M51" s="3543"/>
      <c r="N51" s="3544">
        <f>I51-L51</f>
        <v>0</v>
      </c>
      <c r="O51" s="3544"/>
      <c r="P51" s="425">
        <f>I51/I61</f>
        <v>0.55782545268248551</v>
      </c>
      <c r="Q51" s="392"/>
      <c r="S51" s="3497"/>
      <c r="T51" s="3498"/>
      <c r="Y51" s="2290" t="s">
        <v>6364</v>
      </c>
      <c r="Z51" s="2245">
        <v>51</v>
      </c>
      <c r="AZ51" s="2212" t="s">
        <v>6365</v>
      </c>
    </row>
    <row r="52" spans="1:52" s="291" customFormat="1" ht="15" customHeight="1">
      <c r="A52" s="315"/>
      <c r="B52" s="3538" t="s">
        <v>747</v>
      </c>
      <c r="C52" s="3539"/>
      <c r="D52" s="3540"/>
      <c r="E52" s="3484" t="s">
        <v>6921</v>
      </c>
      <c r="F52" s="3485"/>
      <c r="G52" s="3485"/>
      <c r="H52" s="3486"/>
      <c r="I52" s="3487">
        <v>5899500</v>
      </c>
      <c r="J52" s="3487"/>
      <c r="L52" s="3543">
        <f>'Part III-A-Uses of Funds'!$J$191*10*'Part III-A-Uses of Funds'!$Q$182</f>
        <v>5899499.9999999991</v>
      </c>
      <c r="M52" s="3543"/>
      <c r="N52" s="3544">
        <f>I52-L52</f>
        <v>0</v>
      </c>
      <c r="O52" s="3544"/>
      <c r="P52" s="425">
        <f>I52/I61</f>
        <v>0.35725899778541204</v>
      </c>
      <c r="Q52" s="392"/>
      <c r="S52" s="3497"/>
      <c r="T52" s="3498"/>
      <c r="Y52" s="2290" t="s">
        <v>6365</v>
      </c>
      <c r="Z52" s="2246">
        <v>52</v>
      </c>
      <c r="AZ52" s="2212" t="s">
        <v>6366</v>
      </c>
    </row>
    <row r="53" spans="1:52" s="291" customFormat="1" ht="15" customHeight="1">
      <c r="A53" s="315"/>
      <c r="B53" s="3538" t="s">
        <v>1332</v>
      </c>
      <c r="C53" s="3539"/>
      <c r="D53" s="3540"/>
      <c r="E53" s="3484"/>
      <c r="F53" s="3485"/>
      <c r="G53" s="3485"/>
      <c r="H53" s="3486"/>
      <c r="I53" s="3487"/>
      <c r="J53" s="3487"/>
      <c r="P53" s="426">
        <f>SUM(P51:P52)</f>
        <v>0.91508445046789755</v>
      </c>
      <c r="Q53" s="392"/>
      <c r="S53" s="3499"/>
      <c r="T53" s="3500"/>
      <c r="Y53" s="2290" t="s">
        <v>6366</v>
      </c>
      <c r="Z53" s="2246">
        <v>53</v>
      </c>
      <c r="AZ53" s="2212"/>
    </row>
    <row r="54" spans="1:52" s="291" customFormat="1" ht="15" customHeight="1">
      <c r="A54" s="315"/>
      <c r="B54" s="1040" t="s">
        <v>497</v>
      </c>
      <c r="C54" s="1041"/>
      <c r="D54" s="1045"/>
      <c r="E54" s="3484"/>
      <c r="F54" s="3485"/>
      <c r="G54" s="3485"/>
      <c r="H54" s="3486"/>
      <c r="I54" s="3487"/>
      <c r="J54" s="3487"/>
      <c r="K54" s="315"/>
      <c r="Q54" s="392"/>
      <c r="S54" s="3497"/>
      <c r="T54" s="3498"/>
      <c r="Y54" s="2290"/>
      <c r="Z54" s="2246">
        <v>54</v>
      </c>
      <c r="AZ54" s="2212"/>
    </row>
    <row r="55" spans="1:52" s="291" customFormat="1" ht="15" customHeight="1">
      <c r="A55" s="315"/>
      <c r="B55" s="1040" t="s">
        <v>1732</v>
      </c>
      <c r="C55" s="1041"/>
      <c r="D55" s="1045"/>
      <c r="E55" s="3484"/>
      <c r="F55" s="3485"/>
      <c r="G55" s="3485"/>
      <c r="H55" s="3486"/>
      <c r="I55" s="3487"/>
      <c r="J55" s="3487"/>
      <c r="N55" s="393"/>
      <c r="O55" s="393"/>
      <c r="P55" s="393"/>
      <c r="Q55" s="392"/>
      <c r="S55" s="3497"/>
      <c r="T55" s="3498"/>
      <c r="Y55" s="2290"/>
      <c r="Z55" s="2246">
        <v>55</v>
      </c>
      <c r="AZ55" s="2212"/>
    </row>
    <row r="56" spans="1:52" s="291" customFormat="1" ht="15" customHeight="1">
      <c r="A56" s="315"/>
      <c r="B56" s="1040" t="s">
        <v>1733</v>
      </c>
      <c r="C56" s="1041"/>
      <c r="D56" s="1045"/>
      <c r="E56" s="3484"/>
      <c r="F56" s="3485"/>
      <c r="G56" s="3485"/>
      <c r="H56" s="3486"/>
      <c r="I56" s="3487"/>
      <c r="J56" s="3487"/>
      <c r="M56" s="393"/>
      <c r="N56" s="393"/>
      <c r="O56" s="393"/>
      <c r="P56" s="393"/>
      <c r="Q56" s="392"/>
      <c r="S56" s="3497"/>
      <c r="T56" s="3498"/>
      <c r="Y56" s="2290"/>
      <c r="Z56" s="2246">
        <v>56</v>
      </c>
      <c r="AZ56" s="2212" t="s">
        <v>6367</v>
      </c>
    </row>
    <row r="57" spans="1:52" s="291" customFormat="1" ht="15" customHeight="1">
      <c r="A57" s="315"/>
      <c r="B57" s="1040" t="s">
        <v>690</v>
      </c>
      <c r="C57" s="3512"/>
      <c r="D57" s="3512"/>
      <c r="E57" s="3484"/>
      <c r="F57" s="3485"/>
      <c r="G57" s="3485"/>
      <c r="H57" s="3486"/>
      <c r="I57" s="3487"/>
      <c r="J57" s="3487"/>
      <c r="M57" s="393"/>
      <c r="N57" s="393"/>
      <c r="O57" s="393"/>
      <c r="P57" s="393"/>
      <c r="Q57" s="392"/>
      <c r="S57" s="3497"/>
      <c r="T57" s="3498"/>
      <c r="Y57" s="2290" t="s">
        <v>6367</v>
      </c>
      <c r="Z57" s="2246">
        <v>57</v>
      </c>
      <c r="AZ57" s="2212" t="s">
        <v>6368</v>
      </c>
    </row>
    <row r="58" spans="1:52" s="291" customFormat="1" ht="15" customHeight="1">
      <c r="A58" s="315"/>
      <c r="B58" s="1040" t="s">
        <v>690</v>
      </c>
      <c r="C58" s="3513"/>
      <c r="D58" s="3513"/>
      <c r="E58" s="3484"/>
      <c r="F58" s="3485"/>
      <c r="G58" s="3485"/>
      <c r="H58" s="3486"/>
      <c r="I58" s="3487"/>
      <c r="J58" s="3487"/>
      <c r="K58" s="315"/>
      <c r="L58" s="394"/>
      <c r="M58" s="393"/>
      <c r="N58" s="393"/>
      <c r="O58" s="393"/>
      <c r="P58" s="393"/>
      <c r="Q58" s="392"/>
      <c r="S58" s="3497"/>
      <c r="T58" s="3498"/>
      <c r="Y58" s="2290" t="s">
        <v>6368</v>
      </c>
      <c r="Z58" s="2246">
        <v>58</v>
      </c>
      <c r="AZ58" s="2212" t="s">
        <v>6369</v>
      </c>
    </row>
    <row r="59" spans="1:52" s="291" customFormat="1" ht="15" customHeight="1">
      <c r="A59" s="315"/>
      <c r="B59" s="1047" t="s">
        <v>690</v>
      </c>
      <c r="C59" s="3501"/>
      <c r="D59" s="3501"/>
      <c r="E59" s="3502"/>
      <c r="F59" s="3503"/>
      <c r="G59" s="3503"/>
      <c r="H59" s="3504"/>
      <c r="I59" s="3505"/>
      <c r="J59" s="3505"/>
      <c r="K59" s="315"/>
      <c r="L59" s="394"/>
      <c r="M59" s="393"/>
      <c r="N59" s="393"/>
      <c r="O59" s="393"/>
      <c r="P59" s="393"/>
      <c r="Q59" s="392"/>
      <c r="S59" s="3497"/>
      <c r="T59" s="3498"/>
      <c r="Y59" s="2290" t="s">
        <v>6369</v>
      </c>
      <c r="Z59" s="2246">
        <v>59</v>
      </c>
      <c r="AZ59" s="2212"/>
    </row>
    <row r="60" spans="1:52" s="291" customFormat="1" ht="14.25" customHeight="1">
      <c r="A60" s="315"/>
      <c r="B60" s="1034" t="s">
        <v>2049</v>
      </c>
      <c r="C60" s="315"/>
      <c r="D60" s="315"/>
      <c r="E60" s="315"/>
      <c r="F60" s="315"/>
      <c r="G60" s="315"/>
      <c r="I60" s="3506">
        <f>SUM(I40:J45)+SUM(I49:J59)</f>
        <v>16513230</v>
      </c>
      <c r="J60" s="3507"/>
      <c r="K60" s="315"/>
      <c r="L60" s="394"/>
      <c r="M60" s="393"/>
      <c r="N60" s="393"/>
      <c r="O60" s="393"/>
      <c r="P60" s="393"/>
      <c r="Q60" s="392"/>
      <c r="S60" s="3497"/>
      <c r="T60" s="3498"/>
      <c r="Y60" s="2290"/>
      <c r="Z60" s="2245">
        <v>60</v>
      </c>
      <c r="AZ60" s="2212"/>
    </row>
    <row r="61" spans="1:52" s="291" customFormat="1" ht="14.25" customHeight="1" thickBot="1">
      <c r="A61" s="315"/>
      <c r="B61" s="1034" t="s">
        <v>2050</v>
      </c>
      <c r="C61" s="315"/>
      <c r="D61" s="315"/>
      <c r="E61" s="315"/>
      <c r="F61" s="315"/>
      <c r="G61" s="315"/>
      <c r="I61" s="3508">
        <f>'Part III-A-Uses of Funds'!$G$146</f>
        <v>16513230</v>
      </c>
      <c r="J61" s="3509"/>
      <c r="K61" s="315"/>
      <c r="L61" s="394"/>
      <c r="M61" s="393"/>
      <c r="N61" s="393"/>
      <c r="O61" s="393"/>
      <c r="P61" s="393"/>
      <c r="Q61" s="392"/>
      <c r="S61" s="3497"/>
      <c r="T61" s="3498"/>
      <c r="Y61" s="2290"/>
      <c r="Z61" s="2246">
        <v>61</v>
      </c>
      <c r="AZ61" s="2212"/>
    </row>
    <row r="62" spans="1:52" s="291" customFormat="1" ht="14.25" customHeight="1" thickBot="1">
      <c r="A62" s="315"/>
      <c r="B62" s="320" t="s">
        <v>1429</v>
      </c>
      <c r="C62" s="315"/>
      <c r="D62" s="315"/>
      <c r="E62" s="315"/>
      <c r="F62" s="315"/>
      <c r="G62" s="315"/>
      <c r="I62" s="3510">
        <f>I60-I61</f>
        <v>0</v>
      </c>
      <c r="J62" s="3511"/>
      <c r="K62" s="315"/>
      <c r="L62" s="394"/>
      <c r="M62" s="393"/>
      <c r="N62" s="393"/>
      <c r="O62" s="393"/>
      <c r="P62" s="393"/>
      <c r="Q62" s="392"/>
      <c r="S62" s="3499"/>
      <c r="T62" s="3500"/>
      <c r="Y62" s="2290"/>
      <c r="Z62" s="2246">
        <v>62</v>
      </c>
      <c r="AZ62" s="2212"/>
    </row>
    <row r="63" spans="1:52" s="291" customFormat="1" ht="13.25" customHeight="1">
      <c r="A63" s="315" t="s">
        <v>3947</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0" t="s">
        <v>6991</v>
      </c>
      <c r="B66" s="3490"/>
      <c r="C66" s="3490"/>
      <c r="D66" s="3490"/>
      <c r="E66" s="3490"/>
      <c r="F66" s="3490"/>
      <c r="G66" s="3490"/>
      <c r="H66" s="3490"/>
      <c r="I66" s="3490"/>
      <c r="J66" s="3490"/>
      <c r="K66" s="3490"/>
      <c r="L66" s="3490"/>
      <c r="M66" s="3489"/>
      <c r="N66" s="3489"/>
      <c r="O66" s="3489"/>
      <c r="P66" s="3489"/>
      <c r="Q66" s="3489"/>
      <c r="S66" s="3488" t="s">
        <v>2453</v>
      </c>
      <c r="T66" s="3488"/>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5" customHeight="1">
      <c r="AZ70" s="2212"/>
    </row>
    <row r="71" spans="1:52" s="291" customFormat="1" ht="14.5" customHeight="1">
      <c r="Y71" s="2290"/>
      <c r="Z71" s="2294"/>
      <c r="AZ71" s="2212"/>
    </row>
    <row r="72" spans="1:52" s="291" customFormat="1" ht="14.5" customHeight="1">
      <c r="Y72" s="2290"/>
      <c r="Z72" s="2294"/>
      <c r="AZ72" s="2212"/>
    </row>
    <row r="73" spans="1:52" s="291" customFormat="1" ht="14.5" customHeight="1">
      <c r="Y73" s="2290"/>
      <c r="Z73" s="2294"/>
      <c r="AZ73" s="2211"/>
    </row>
    <row r="74" spans="1:52" ht="14.5" customHeight="1">
      <c r="AZ74" s="2212"/>
    </row>
    <row r="75" spans="1:52" s="291" customFormat="1" ht="14.5" customHeight="1">
      <c r="A75" s="368"/>
      <c r="Y75" s="2290"/>
      <c r="Z75" s="2294"/>
      <c r="AZ75" s="2212"/>
    </row>
    <row r="76" spans="1:52" s="291" customFormat="1" ht="14.5" customHeight="1">
      <c r="A76" s="368"/>
      <c r="Y76" s="2290"/>
      <c r="Z76" s="2294"/>
      <c r="AZ76" s="2212"/>
    </row>
    <row r="77" spans="1:52" s="291" customFormat="1" ht="14.5" customHeight="1">
      <c r="Y77" s="2290"/>
      <c r="Z77" s="2294"/>
      <c r="AZ77" s="2212"/>
    </row>
    <row r="78" spans="1:52" s="291" customFormat="1" ht="14.5" customHeight="1">
      <c r="A78" s="368"/>
      <c r="Y78" s="2290"/>
      <c r="Z78" s="2294"/>
      <c r="AZ78" s="2212"/>
    </row>
    <row r="79" spans="1:52" s="291" customFormat="1" ht="14.5" customHeight="1">
      <c r="A79" s="366"/>
      <c r="Y79" s="2290"/>
      <c r="Z79" s="2294"/>
      <c r="AZ79" s="2212"/>
    </row>
    <row r="80" spans="1:52" s="291" customFormat="1" ht="14.5" customHeight="1">
      <c r="A80" s="366"/>
      <c r="Y80" s="2290"/>
      <c r="Z80" s="2294"/>
      <c r="AZ80" s="2212"/>
    </row>
    <row r="81" spans="1:52" s="291" customFormat="1" ht="14.5" customHeight="1">
      <c r="A81" s="369"/>
      <c r="Y81" s="2290"/>
      <c r="Z81" s="2294"/>
      <c r="AZ81" s="2212"/>
    </row>
    <row r="82" spans="1:52" s="291" customFormat="1" ht="14.5" customHeight="1">
      <c r="A82" s="368"/>
      <c r="Y82" s="2290"/>
      <c r="Z82" s="2294"/>
      <c r="AZ82" s="2212"/>
    </row>
    <row r="83" spans="1:52" s="291" customFormat="1" ht="14.5" customHeight="1">
      <c r="A83" s="366"/>
      <c r="Y83" s="2290"/>
      <c r="Z83" s="2294"/>
      <c r="AZ83" s="2212"/>
    </row>
    <row r="84" spans="1:52" s="291" customFormat="1" ht="14.5" customHeight="1">
      <c r="A84" s="366"/>
      <c r="Y84" s="2290"/>
      <c r="Z84" s="2294"/>
      <c r="AZ84" s="2212"/>
    </row>
    <row r="85" spans="1:52" s="291" customFormat="1" ht="14.5" customHeight="1">
      <c r="A85" s="369"/>
      <c r="Y85" s="2290"/>
      <c r="Z85" s="2294"/>
      <c r="AZ85" s="2212"/>
    </row>
    <row r="86" spans="1:52" s="291" customFormat="1" ht="14.5" customHeight="1">
      <c r="A86" s="368"/>
      <c r="Y86" s="2290"/>
      <c r="Z86" s="2294"/>
      <c r="AZ86" s="2212"/>
    </row>
    <row r="87" spans="1:52" s="291" customFormat="1" ht="14.5" customHeight="1">
      <c r="A87" s="366"/>
      <c r="Y87" s="2290"/>
      <c r="Z87" s="2294"/>
      <c r="AZ87" s="2212"/>
    </row>
    <row r="88" spans="1:52" s="291" customFormat="1" ht="14.5" customHeight="1">
      <c r="A88" s="366"/>
      <c r="Y88" s="2290"/>
      <c r="Z88" s="2294"/>
      <c r="AZ88" s="2212"/>
    </row>
    <row r="89" spans="1:52" s="291" customFormat="1" ht="14.5" customHeight="1">
      <c r="A89" s="369"/>
      <c r="Y89" s="2290"/>
      <c r="Z89" s="2294"/>
      <c r="AZ89" s="2212"/>
    </row>
    <row r="90" spans="1:52" s="291" customFormat="1" ht="14.5" customHeight="1">
      <c r="A90" s="369"/>
      <c r="Y90" s="2290"/>
      <c r="Z90" s="2294"/>
      <c r="AZ90" s="2212"/>
    </row>
    <row r="91" spans="1:52" s="291" customFormat="1" ht="14.5" customHeight="1">
      <c r="A91" s="369"/>
      <c r="Y91" s="2290"/>
      <c r="Z91" s="2294"/>
      <c r="AZ91" s="2212"/>
    </row>
    <row r="92" spans="1:52" s="291" customFormat="1" ht="14.5" customHeight="1">
      <c r="A92" s="369"/>
      <c r="Y92" s="2290"/>
      <c r="Z92" s="2294"/>
      <c r="AZ92" s="2212"/>
    </row>
    <row r="93" spans="1:52" s="291" customFormat="1" ht="14.5" customHeight="1">
      <c r="Y93" s="2290"/>
      <c r="Z93" s="2294"/>
      <c r="AZ93" s="2212"/>
    </row>
    <row r="94" spans="1:52" s="291" customFormat="1" ht="14.5" customHeight="1">
      <c r="Y94" s="2290"/>
      <c r="Z94" s="2294"/>
      <c r="AZ94" s="2211"/>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315"/>
      <c r="L101" s="291"/>
      <c r="M101" s="291"/>
      <c r="N101" s="291"/>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83203125" style="27" customWidth="1"/>
    <col min="2" max="5" width="16.83203125" style="27" customWidth="1"/>
    <col min="6" max="6" width="4.83203125" style="27" bestFit="1" customWidth="1"/>
    <col min="7" max="7" width="11.1640625" style="27" customWidth="1"/>
    <col min="8" max="8" width="12.1640625" style="27" bestFit="1" customWidth="1"/>
    <col min="9" max="9" width="12.5" style="27" bestFit="1" customWidth="1"/>
    <col min="10" max="10" width="11.83203125" style="27" bestFit="1" customWidth="1"/>
    <col min="11" max="11" width="15.1640625" style="27" bestFit="1" customWidth="1"/>
    <col min="12" max="16384" width="8.83203125" style="27"/>
  </cols>
  <sheetData>
    <row r="1" spans="1:17" s="176" customFormat="1" ht="16.25"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 customHeight="1">
      <c r="A2" s="207"/>
      <c r="B2" s="207"/>
      <c r="C2" s="207"/>
      <c r="D2" s="207"/>
      <c r="E2" s="207"/>
      <c r="F2" s="207"/>
      <c r="G2" s="207"/>
      <c r="H2" s="207"/>
    </row>
    <row r="3" spans="1:17" ht="14.5" customHeight="1">
      <c r="A3" s="3629" t="s">
        <v>210</v>
      </c>
      <c r="B3" s="3629"/>
      <c r="C3" s="3629"/>
      <c r="D3" s="3629"/>
      <c r="E3" s="3629"/>
      <c r="F3" s="3629"/>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2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 customHeight="1">
      <c r="A13" s="207"/>
      <c r="B13" s="207"/>
      <c r="C13" s="207"/>
      <c r="D13" s="207"/>
      <c r="E13" s="207"/>
      <c r="F13" s="207"/>
      <c r="G13" s="207"/>
      <c r="H13" s="207"/>
    </row>
    <row r="14" spans="1:17" ht="12.5" customHeight="1">
      <c r="A14" s="3630" t="s">
        <v>122</v>
      </c>
      <c r="B14" s="3630"/>
      <c r="C14" s="3630"/>
      <c r="D14" s="3630"/>
      <c r="E14" s="3630"/>
      <c r="F14" s="3630"/>
      <c r="G14" s="207"/>
      <c r="H14" s="207"/>
    </row>
    <row r="15" spans="1:17" ht="5.5" customHeight="1">
      <c r="A15" s="28"/>
      <c r="E15" s="218"/>
      <c r="F15" s="207"/>
      <c r="G15" s="207"/>
      <c r="H15" s="207"/>
    </row>
    <row r="16" spans="1:17" ht="13.25" customHeight="1">
      <c r="A16" s="220" t="s">
        <v>2285</v>
      </c>
      <c r="B16" s="221" t="s">
        <v>2282</v>
      </c>
      <c r="C16" s="221" t="s">
        <v>2283</v>
      </c>
      <c r="D16" s="3626" t="s">
        <v>2083</v>
      </c>
      <c r="E16" s="3626"/>
      <c r="F16" s="207"/>
      <c r="G16" s="207"/>
      <c r="H16" s="207"/>
    </row>
    <row r="17" spans="1:8" ht="12.5" customHeight="1">
      <c r="A17" s="81">
        <v>1</v>
      </c>
      <c r="B17" s="196">
        <f>IF(A17&gt;$C$9,0,SUM(C64:C75)*($C$6/$C$7))</f>
        <v>0</v>
      </c>
      <c r="C17" s="219">
        <f>IF(A17&gt;C9,0,(E63+K63)*$C$8)</f>
        <v>0</v>
      </c>
      <c r="D17" s="3631">
        <f t="shared" ref="D17:D56" si="0">IF(A17&gt;$C$9,0,$C$11+C17)</f>
        <v>0</v>
      </c>
      <c r="E17" s="3631"/>
      <c r="F17" s="207"/>
      <c r="G17" s="207"/>
      <c r="H17" s="207"/>
    </row>
    <row r="18" spans="1:8" ht="12.5" customHeight="1">
      <c r="A18" s="81">
        <v>2</v>
      </c>
      <c r="B18" s="196">
        <f>IF(A18&gt;C9,0,SUM(C76:C87)*($C$6/$C$7))</f>
        <v>0</v>
      </c>
      <c r="C18" s="226">
        <f>IF(A18&gt;C9,0,(E75+K75)*$C$8)</f>
        <v>0</v>
      </c>
      <c r="D18" s="3623">
        <f t="shared" si="0"/>
        <v>0</v>
      </c>
      <c r="E18" s="3623"/>
      <c r="F18" s="207"/>
      <c r="G18" s="207"/>
      <c r="H18" s="207"/>
    </row>
    <row r="19" spans="1:8" ht="12.5" customHeight="1">
      <c r="A19" s="81">
        <v>3</v>
      </c>
      <c r="B19" s="196">
        <f>IF(A19&gt;C9,0,SUM(C88:C99)*($C$6/$C$7))</f>
        <v>0</v>
      </c>
      <c r="C19" s="219">
        <f>IF(A19&gt;C9,0,(E87+K87)*$C$8)</f>
        <v>0</v>
      </c>
      <c r="D19" s="3623">
        <f t="shared" si="0"/>
        <v>0</v>
      </c>
      <c r="E19" s="3623"/>
      <c r="F19" s="207"/>
      <c r="G19" s="207"/>
      <c r="H19" s="207"/>
    </row>
    <row r="20" spans="1:8" ht="12.5" customHeight="1">
      <c r="A20" s="81">
        <v>4</v>
      </c>
      <c r="B20" s="196">
        <f>IF(A20&gt;C9,0,SUM(C100:C111)*($C$6/$C$7))</f>
        <v>0</v>
      </c>
      <c r="C20" s="219">
        <f>IF(A20&gt;C9,0,(E99+K99)*$C$8)</f>
        <v>0</v>
      </c>
      <c r="D20" s="3623">
        <f t="shared" si="0"/>
        <v>0</v>
      </c>
      <c r="E20" s="3623"/>
      <c r="F20" s="207"/>
      <c r="G20" s="207"/>
      <c r="H20" s="207"/>
    </row>
    <row r="21" spans="1:8" ht="12.5" customHeight="1">
      <c r="A21" s="81">
        <v>5</v>
      </c>
      <c r="B21" s="196">
        <f>IF(A21&gt;C9,0,SUM(C112:C123)*($C$6/$C$7))</f>
        <v>0</v>
      </c>
      <c r="C21" s="219">
        <f>IF(A21&gt;C9,0,(E111+K111)*$C$8)</f>
        <v>0</v>
      </c>
      <c r="D21" s="3624">
        <f t="shared" si="0"/>
        <v>0</v>
      </c>
      <c r="E21" s="3624"/>
      <c r="F21" s="207"/>
      <c r="G21" s="207"/>
      <c r="H21" s="207"/>
    </row>
    <row r="22" spans="1:8" ht="12.5" customHeight="1">
      <c r="A22" s="197">
        <v>6</v>
      </c>
      <c r="B22" s="198">
        <f>IF(A22&gt;C9,0,SUM(C124:C135)*($C$6/$C$7))</f>
        <v>0</v>
      </c>
      <c r="C22" s="223">
        <f>IF(A22&gt;C9,0,(E123+K123)*$C$8)</f>
        <v>0</v>
      </c>
      <c r="D22" s="3623">
        <f t="shared" si="0"/>
        <v>0</v>
      </c>
      <c r="E22" s="3623"/>
      <c r="F22" s="207"/>
      <c r="G22" s="207"/>
      <c r="H22" s="207"/>
    </row>
    <row r="23" spans="1:8" ht="12.5" customHeight="1">
      <c r="A23" s="199">
        <v>7</v>
      </c>
      <c r="B23" s="200">
        <f>IF(A23&gt;C9,0,SUM(C136:C147)*($C$6/$C$7))</f>
        <v>0</v>
      </c>
      <c r="C23" s="201">
        <f>IF(A23&gt;C9,0,(E135+K135)*$C$8)</f>
        <v>0</v>
      </c>
      <c r="D23" s="3623">
        <f t="shared" si="0"/>
        <v>0</v>
      </c>
      <c r="E23" s="3623"/>
      <c r="F23" s="207"/>
      <c r="G23" s="207"/>
      <c r="H23" s="207"/>
    </row>
    <row r="24" spans="1:8" ht="12.5" customHeight="1">
      <c r="A24" s="199">
        <v>8</v>
      </c>
      <c r="B24" s="200">
        <f>IF(A24&gt;C9,0,SUM(C148:C159)*($C$6/$C$7))</f>
        <v>0</v>
      </c>
      <c r="C24" s="201">
        <f>IF(A24&gt;C9,0,(E147+K147)*$C$8)</f>
        <v>0</v>
      </c>
      <c r="D24" s="3623">
        <f t="shared" si="0"/>
        <v>0</v>
      </c>
      <c r="E24" s="3623"/>
      <c r="F24" s="207"/>
      <c r="G24" s="207"/>
      <c r="H24" s="207"/>
    </row>
    <row r="25" spans="1:8" ht="12.5" customHeight="1">
      <c r="A25" s="199">
        <v>9</v>
      </c>
      <c r="B25" s="200">
        <f>IF(A25&gt;C9,0,SUM(C160:C171)*($C$6/$C$7))</f>
        <v>0</v>
      </c>
      <c r="C25" s="201">
        <f>IF(A25&gt;C9,0,(E159+K159)*$C$8)</f>
        <v>0</v>
      </c>
      <c r="D25" s="3623">
        <f t="shared" si="0"/>
        <v>0</v>
      </c>
      <c r="E25" s="3623"/>
      <c r="F25" s="207"/>
      <c r="G25" s="207"/>
      <c r="H25" s="207"/>
    </row>
    <row r="26" spans="1:8" ht="12.5" customHeight="1">
      <c r="A26" s="202">
        <v>10</v>
      </c>
      <c r="B26" s="203">
        <f>IF(A26&gt;C9,0,SUM(C172:C183)*($C$6/$C$7))</f>
        <v>0</v>
      </c>
      <c r="C26" s="222">
        <f>IF(A26&gt;C9,0,(E171+K171)*$C$8)</f>
        <v>0</v>
      </c>
      <c r="D26" s="3624">
        <f t="shared" si="0"/>
        <v>0</v>
      </c>
      <c r="E26" s="3624"/>
      <c r="F26" s="207"/>
      <c r="G26" s="207"/>
      <c r="H26" s="207"/>
    </row>
    <row r="27" spans="1:8" ht="12.5" customHeight="1">
      <c r="A27" s="204">
        <v>11</v>
      </c>
      <c r="B27" s="196">
        <f>IF(A27&gt;C9,0,SUM(C184:C195)*($C$6/$C$7))</f>
        <v>0</v>
      </c>
      <c r="C27" s="219">
        <f>IF(A27&gt;C9,0,(E183+K183)*$C$8)</f>
        <v>0</v>
      </c>
      <c r="D27" s="3623">
        <f t="shared" si="0"/>
        <v>0</v>
      </c>
      <c r="E27" s="3623"/>
      <c r="F27" s="207"/>
      <c r="G27" s="207"/>
      <c r="H27" s="207"/>
    </row>
    <row r="28" spans="1:8" ht="12.5" customHeight="1">
      <c r="A28" s="204">
        <v>12</v>
      </c>
      <c r="B28" s="196">
        <f>IF(A28&gt;C9,0,SUM(C196:C207)*($C$6/$C$7))</f>
        <v>0</v>
      </c>
      <c r="C28" s="219">
        <f>IF(A28&gt;C9,0,(E195+K195)*$C$8)</f>
        <v>0</v>
      </c>
      <c r="D28" s="3623">
        <f t="shared" si="0"/>
        <v>0</v>
      </c>
      <c r="E28" s="3623"/>
      <c r="F28" s="207"/>
      <c r="G28" s="207"/>
      <c r="H28" s="207"/>
    </row>
    <row r="29" spans="1:8" ht="12.5" customHeight="1">
      <c r="A29" s="204">
        <v>13</v>
      </c>
      <c r="B29" s="196">
        <f>IF(A29&gt;C9,0,SUM(C208:C219)*($C$6/$C$7))</f>
        <v>0</v>
      </c>
      <c r="C29" s="219">
        <f>IF(A29&gt;C9,0,(E207+K207)*$C$8)</f>
        <v>0</v>
      </c>
      <c r="D29" s="3623">
        <f t="shared" si="0"/>
        <v>0</v>
      </c>
      <c r="E29" s="3623"/>
      <c r="F29" s="207"/>
      <c r="G29" s="207"/>
      <c r="H29" s="207"/>
    </row>
    <row r="30" spans="1:8" ht="12.5" customHeight="1">
      <c r="A30" s="204">
        <v>14</v>
      </c>
      <c r="B30" s="196">
        <f>IF(A30&gt;C9,0,SUM(C220:C231)*($C$6/$C$7))</f>
        <v>0</v>
      </c>
      <c r="C30" s="219">
        <f>IF(A30&gt;C9,0,(E219+K219)*$C$8)</f>
        <v>0</v>
      </c>
      <c r="D30" s="3623">
        <f t="shared" si="0"/>
        <v>0</v>
      </c>
      <c r="E30" s="3623"/>
      <c r="F30" s="207"/>
      <c r="G30" s="207"/>
      <c r="H30" s="207"/>
    </row>
    <row r="31" spans="1:8" ht="12.5" customHeight="1">
      <c r="A31" s="204">
        <v>15</v>
      </c>
      <c r="B31" s="196">
        <f>IF(A31&gt;C9,0,SUM(C232:C243)*($C$6/$C$7))</f>
        <v>0</v>
      </c>
      <c r="C31" s="219">
        <f>IF(A31&gt;C9,0,(E231+K231)*$C$8)</f>
        <v>0</v>
      </c>
      <c r="D31" s="3624">
        <f t="shared" si="0"/>
        <v>0</v>
      </c>
      <c r="E31" s="3624"/>
      <c r="F31" s="207"/>
      <c r="G31" s="207"/>
      <c r="H31" s="207"/>
    </row>
    <row r="32" spans="1:8" ht="12.5" customHeight="1">
      <c r="A32" s="206">
        <v>16</v>
      </c>
      <c r="B32" s="198">
        <f>IF(A32&gt;C9,0,SUM(C244:C255)*($C$6/$C$7))</f>
        <v>0</v>
      </c>
      <c r="C32" s="223">
        <f>IF(A32&gt;C9,0,(E243+K243)*$C$8)</f>
        <v>0</v>
      </c>
      <c r="D32" s="3623">
        <f t="shared" si="0"/>
        <v>0</v>
      </c>
      <c r="E32" s="3623"/>
      <c r="F32" s="207"/>
      <c r="G32" s="207"/>
      <c r="H32" s="207"/>
    </row>
    <row r="33" spans="1:8" ht="12.5" customHeight="1">
      <c r="A33" s="199">
        <v>17</v>
      </c>
      <c r="B33" s="200">
        <f>IF(A33&gt;C9,0,SUM(C256:C267)*($C$6/$C$7))</f>
        <v>0</v>
      </c>
      <c r="C33" s="201">
        <f>IF(A33&gt;C9,0,(E255+K255)*$C$8)</f>
        <v>0</v>
      </c>
      <c r="D33" s="3623">
        <f t="shared" si="0"/>
        <v>0</v>
      </c>
      <c r="E33" s="3623"/>
      <c r="F33" s="207"/>
      <c r="G33" s="207"/>
      <c r="H33" s="207"/>
    </row>
    <row r="34" spans="1:8" ht="12.5" customHeight="1">
      <c r="A34" s="199">
        <v>18</v>
      </c>
      <c r="B34" s="200">
        <f>IF(A34&gt;C9,0,SUM(C268:C279)*($C$6/$C$7))</f>
        <v>0</v>
      </c>
      <c r="C34" s="201">
        <f>IF(A34&gt;C9,0,(E267+K267)*$C$8)</f>
        <v>0</v>
      </c>
      <c r="D34" s="3623">
        <f t="shared" si="0"/>
        <v>0</v>
      </c>
      <c r="E34" s="3623"/>
      <c r="F34" s="207"/>
      <c r="G34" s="207"/>
      <c r="H34" s="207"/>
    </row>
    <row r="35" spans="1:8" ht="12.5" customHeight="1">
      <c r="A35" s="199">
        <v>19</v>
      </c>
      <c r="B35" s="200">
        <f>IF(A35&gt;C9,0,SUM(C280:C291)*($C$6/$C$7))</f>
        <v>0</v>
      </c>
      <c r="C35" s="201">
        <f>IF(A35&gt;C9,0,(E279+K279)*$C$8)</f>
        <v>0</v>
      </c>
      <c r="D35" s="3623">
        <f t="shared" si="0"/>
        <v>0</v>
      </c>
      <c r="E35" s="3623"/>
      <c r="F35" s="207"/>
      <c r="G35" s="207"/>
      <c r="H35" s="207"/>
    </row>
    <row r="36" spans="1:8" ht="12.5" customHeight="1">
      <c r="A36" s="202">
        <v>20</v>
      </c>
      <c r="B36" s="203">
        <f>IF(A36&gt;C9,0,SUM(C292:C303)*($C$6/$C$7))</f>
        <v>0</v>
      </c>
      <c r="C36" s="222">
        <f>IF(A36&gt;C9,0,(E291+K291)*$C$8)</f>
        <v>0</v>
      </c>
      <c r="D36" s="3624">
        <f t="shared" si="0"/>
        <v>0</v>
      </c>
      <c r="E36" s="3624"/>
      <c r="F36" s="207"/>
      <c r="G36" s="207"/>
      <c r="H36" s="207"/>
    </row>
    <row r="37" spans="1:8" ht="12.5" customHeight="1">
      <c r="A37" s="81">
        <v>21</v>
      </c>
      <c r="B37" s="198">
        <f>IF(A37&gt;C9,0,SUM(C293:C304)*($C$6/$C$7))</f>
        <v>0</v>
      </c>
      <c r="C37" s="223">
        <f>IF(A37&gt;C9,0,(E303+K303)*$C$8)</f>
        <v>0</v>
      </c>
      <c r="D37" s="3625">
        <f t="shared" si="0"/>
        <v>0</v>
      </c>
      <c r="E37" s="3625"/>
      <c r="F37" s="207"/>
      <c r="G37" s="207"/>
      <c r="H37" s="207"/>
    </row>
    <row r="38" spans="1:8" ht="12.5" customHeight="1">
      <c r="A38" s="81">
        <v>22</v>
      </c>
      <c r="B38" s="200">
        <f>IF(A38&gt;C9,0,SUM(C294:C305)*($C$6/$C$7))</f>
        <v>0</v>
      </c>
      <c r="C38" s="201">
        <f>IF(A38&gt;C9,0,(E315+K315)*$C$8)</f>
        <v>0</v>
      </c>
      <c r="D38" s="3623">
        <f t="shared" si="0"/>
        <v>0</v>
      </c>
      <c r="E38" s="3623"/>
      <c r="F38" s="207"/>
      <c r="G38" s="207"/>
      <c r="H38" s="207"/>
    </row>
    <row r="39" spans="1:8" ht="12.5" customHeight="1">
      <c r="A39" s="81">
        <v>23</v>
      </c>
      <c r="B39" s="200">
        <f>IF(A39&gt;C9,0,SUM(C295:C306)*($C$6/$C$7))</f>
        <v>0</v>
      </c>
      <c r="C39" s="201">
        <f>IF(A39&gt;C9,0,(E327+K327)*$C$8)</f>
        <v>0</v>
      </c>
      <c r="D39" s="3623">
        <f t="shared" si="0"/>
        <v>0</v>
      </c>
      <c r="E39" s="3623"/>
      <c r="F39" s="207"/>
      <c r="G39" s="207"/>
      <c r="H39" s="207"/>
    </row>
    <row r="40" spans="1:8" ht="12.5" customHeight="1">
      <c r="A40" s="81">
        <v>24</v>
      </c>
      <c r="B40" s="200">
        <f>IF(A40&gt;C9,0,SUM(C296:C307)*($C$6/$C$7))</f>
        <v>0</v>
      </c>
      <c r="C40" s="201">
        <f>IF(A40&gt;C9,0,(E339+K339)*$C$8)</f>
        <v>0</v>
      </c>
      <c r="D40" s="3623">
        <f t="shared" si="0"/>
        <v>0</v>
      </c>
      <c r="E40" s="3623"/>
      <c r="F40" s="207"/>
      <c r="G40" s="207"/>
      <c r="H40" s="207"/>
    </row>
    <row r="41" spans="1:8" ht="12.5" customHeight="1">
      <c r="A41" s="81">
        <v>25</v>
      </c>
      <c r="B41" s="203">
        <f>IF(A41&gt;C9,0,SUM(C297:C308)*($C$6/$C$7))</f>
        <v>0</v>
      </c>
      <c r="C41" s="222">
        <f>IF(A41&gt;C9,0,(E351+K351)*$C$8)</f>
        <v>0</v>
      </c>
      <c r="D41" s="3624">
        <f t="shared" si="0"/>
        <v>0</v>
      </c>
      <c r="E41" s="3624"/>
      <c r="F41" s="207"/>
      <c r="G41" s="207"/>
      <c r="H41" s="207"/>
    </row>
    <row r="42" spans="1:8" ht="12.5" customHeight="1">
      <c r="A42" s="197">
        <v>26</v>
      </c>
      <c r="B42" s="198">
        <f>IF(A42&gt;C9,0,SUM(C298:C309)*($C$6/$C$7))</f>
        <v>0</v>
      </c>
      <c r="C42" s="223">
        <f>IF(A42&gt;C9,0,(E363+K363)*$C$8)</f>
        <v>0</v>
      </c>
      <c r="D42" s="3625">
        <f t="shared" si="0"/>
        <v>0</v>
      </c>
      <c r="E42" s="3625"/>
      <c r="F42" s="207"/>
      <c r="G42" s="207"/>
      <c r="H42" s="207"/>
    </row>
    <row r="43" spans="1:8" ht="12.5" customHeight="1">
      <c r="A43" s="199">
        <v>27</v>
      </c>
      <c r="B43" s="200">
        <f>IF(A43&gt;C9,0,SUM(C299:C310)*($C$6/$C$7))</f>
        <v>0</v>
      </c>
      <c r="C43" s="201">
        <f>IF(A43&gt;C9,0,(E375+K375)*$C$8)</f>
        <v>0</v>
      </c>
      <c r="D43" s="3623">
        <f t="shared" si="0"/>
        <v>0</v>
      </c>
      <c r="E43" s="3623"/>
      <c r="F43" s="207"/>
      <c r="G43" s="207"/>
      <c r="H43" s="207"/>
    </row>
    <row r="44" spans="1:8" ht="12.5" customHeight="1">
      <c r="A44" s="199">
        <v>28</v>
      </c>
      <c r="B44" s="200">
        <f>IF(A44&gt;C9,0,SUM(C300:C311)*($C$6/$C$7))</f>
        <v>0</v>
      </c>
      <c r="C44" s="201">
        <f>IF(A44&gt;C9,0,(E387+K387)*$C$8)</f>
        <v>0</v>
      </c>
      <c r="D44" s="3623">
        <f t="shared" si="0"/>
        <v>0</v>
      </c>
      <c r="E44" s="3623"/>
      <c r="F44" s="207"/>
      <c r="G44" s="207"/>
      <c r="H44" s="207"/>
    </row>
    <row r="45" spans="1:8" ht="12.5" customHeight="1">
      <c r="A45" s="199">
        <v>29</v>
      </c>
      <c r="B45" s="200">
        <f>IF(A45&gt;C9,0,SUM(C301:C312)*($C$6/$C$7))</f>
        <v>0</v>
      </c>
      <c r="C45" s="201">
        <f>IF(A45&gt;C9,0,(E411+K411)*$C$8)</f>
        <v>0</v>
      </c>
      <c r="D45" s="3623">
        <f t="shared" si="0"/>
        <v>0</v>
      </c>
      <c r="E45" s="3623"/>
      <c r="F45" s="207"/>
      <c r="G45" s="207"/>
      <c r="H45" s="207"/>
    </row>
    <row r="46" spans="1:8" ht="12.5" customHeight="1">
      <c r="A46" s="202">
        <v>30</v>
      </c>
      <c r="B46" s="203">
        <f>IF(A46&gt;C9,0,SUM(C302:C313)*($C$6/$C$7))</f>
        <v>0</v>
      </c>
      <c r="C46" s="222">
        <f>IF(A46&gt;C9,0,(E423+K423)*$C$8)</f>
        <v>0</v>
      </c>
      <c r="D46" s="3624">
        <f t="shared" si="0"/>
        <v>0</v>
      </c>
      <c r="E46" s="3624"/>
      <c r="F46" s="207"/>
      <c r="G46" s="207"/>
      <c r="H46" s="207"/>
    </row>
    <row r="47" spans="1:8" ht="12.5" customHeight="1">
      <c r="A47" s="206">
        <v>31</v>
      </c>
      <c r="B47" s="198">
        <f>IF(A47&gt;C9,0,SUM(C303:C314)*($C$6/$C$7))</f>
        <v>0</v>
      </c>
      <c r="C47" s="223">
        <f>IF(A47&gt;C9,0,(E435+K435)*$C$8)</f>
        <v>0</v>
      </c>
      <c r="D47" s="3625">
        <f t="shared" si="0"/>
        <v>0</v>
      </c>
      <c r="E47" s="3625"/>
      <c r="F47" s="207"/>
      <c r="G47" s="207"/>
      <c r="H47" s="207"/>
    </row>
    <row r="48" spans="1:8" ht="12.5" customHeight="1">
      <c r="A48" s="199">
        <v>32</v>
      </c>
      <c r="B48" s="200">
        <f>IF(A48&gt;C9,0,SUM(C304:C315)*($C$6/$C$7))</f>
        <v>0</v>
      </c>
      <c r="C48" s="201">
        <f>IF(A48&gt;C9,0,(E447+K447)*$C$8)</f>
        <v>0</v>
      </c>
      <c r="D48" s="3623">
        <f t="shared" si="0"/>
        <v>0</v>
      </c>
      <c r="E48" s="3623"/>
      <c r="F48" s="207"/>
      <c r="G48" s="207"/>
      <c r="H48" s="207"/>
    </row>
    <row r="49" spans="1:12" ht="12.5" customHeight="1">
      <c r="A49" s="199">
        <v>33</v>
      </c>
      <c r="B49" s="200">
        <f>IF(A49&gt;C9,0,SUM(C305:C316)*($C$6/$C$7))</f>
        <v>0</v>
      </c>
      <c r="C49" s="201">
        <f>IF(A49&gt;C9,0,(E459+K459)*$C$8)</f>
        <v>0</v>
      </c>
      <c r="D49" s="3623">
        <f t="shared" si="0"/>
        <v>0</v>
      </c>
      <c r="E49" s="3623"/>
      <c r="F49" s="207"/>
      <c r="G49" s="207"/>
      <c r="H49" s="207"/>
    </row>
    <row r="50" spans="1:12" ht="12.5" customHeight="1">
      <c r="A50" s="199">
        <v>34</v>
      </c>
      <c r="B50" s="200">
        <f>IF(A50&gt;C9,0,SUM(C306:C317)*($C$6/$C$7))</f>
        <v>0</v>
      </c>
      <c r="C50" s="201">
        <f>IF(A50&gt;C9,0,(E471+K471)*$C$8)</f>
        <v>0</v>
      </c>
      <c r="D50" s="3623">
        <f t="shared" si="0"/>
        <v>0</v>
      </c>
      <c r="E50" s="3623"/>
      <c r="F50" s="207"/>
      <c r="G50" s="207"/>
      <c r="H50" s="207"/>
    </row>
    <row r="51" spans="1:12" ht="12.5" customHeight="1">
      <c r="A51" s="202">
        <v>35</v>
      </c>
      <c r="B51" s="203">
        <f>IF(A51&gt;C9,0,SUM(C307:C318)*($C$6/$C$7))</f>
        <v>0</v>
      </c>
      <c r="C51" s="222">
        <f>IF(A51&gt;C9,0,(E483+K483)*$C$8)</f>
        <v>0</v>
      </c>
      <c r="D51" s="3624">
        <f t="shared" si="0"/>
        <v>0</v>
      </c>
      <c r="E51" s="3624"/>
      <c r="F51" s="207"/>
      <c r="G51" s="207"/>
      <c r="H51" s="207"/>
    </row>
    <row r="52" spans="1:12" ht="12.5" customHeight="1">
      <c r="A52" s="206">
        <v>36</v>
      </c>
      <c r="B52" s="198">
        <f>IF(A52&gt;C9,0,SUM(C308:C319)*($C$6/$C$7))</f>
        <v>0</v>
      </c>
      <c r="C52" s="223">
        <f>IF(A52&gt;C9,0,(E495+K495)*$C$8)</f>
        <v>0</v>
      </c>
      <c r="D52" s="3625">
        <f t="shared" si="0"/>
        <v>0</v>
      </c>
      <c r="E52" s="3625"/>
      <c r="F52" s="207"/>
      <c r="G52" s="207"/>
      <c r="H52" s="207"/>
    </row>
    <row r="53" spans="1:12" ht="12.5" customHeight="1">
      <c r="A53" s="199">
        <v>37</v>
      </c>
      <c r="B53" s="200">
        <f>IF(A53&gt;C9,0,SUM(C309:C320)*($C$6/$C$7))</f>
        <v>0</v>
      </c>
      <c r="C53" s="201">
        <f>IF(A53&gt;C9,0,(E507+K507)*$C$8)</f>
        <v>0</v>
      </c>
      <c r="D53" s="3623">
        <f t="shared" si="0"/>
        <v>0</v>
      </c>
      <c r="E53" s="3623"/>
      <c r="F53" s="207"/>
      <c r="G53" s="207"/>
      <c r="H53" s="207"/>
    </row>
    <row r="54" spans="1:12" ht="12.5" customHeight="1">
      <c r="A54" s="199">
        <v>38</v>
      </c>
      <c r="B54" s="200">
        <f>IF(A54&gt;C9,0,SUM(C310:C321)*($C$6/$C$7))</f>
        <v>0</v>
      </c>
      <c r="C54" s="201">
        <f>IF(A54&gt;C9,0,(E519+K519)*$C$8)</f>
        <v>0</v>
      </c>
      <c r="D54" s="3623">
        <f t="shared" si="0"/>
        <v>0</v>
      </c>
      <c r="E54" s="3623"/>
      <c r="F54" s="207"/>
      <c r="G54" s="207"/>
      <c r="H54" s="207"/>
    </row>
    <row r="55" spans="1:12" ht="12.5" customHeight="1">
      <c r="A55" s="199">
        <v>39</v>
      </c>
      <c r="B55" s="200">
        <f>IF(A55&gt;C9,0,SUM(C311:C322)*($C$6/$C$7))</f>
        <v>0</v>
      </c>
      <c r="C55" s="201">
        <f>IF(A55&gt;C9,0,(E531+K531)*$C$8)</f>
        <v>0</v>
      </c>
      <c r="D55" s="3623">
        <f t="shared" si="0"/>
        <v>0</v>
      </c>
      <c r="E55" s="3623"/>
      <c r="F55" s="207"/>
      <c r="G55" s="207"/>
      <c r="H55" s="207"/>
    </row>
    <row r="56" spans="1:12" ht="12.5"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2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4">
      <c r="A59" s="3628" t="s">
        <v>2276</v>
      </c>
      <c r="B59" s="3628"/>
      <c r="C59" s="3628"/>
      <c r="D59" s="3628"/>
      <c r="E59" s="3628"/>
      <c r="F59" s="3628"/>
      <c r="G59" s="3628" t="s">
        <v>2276</v>
      </c>
      <c r="H59" s="3628"/>
      <c r="I59" s="3628"/>
      <c r="J59" s="3628"/>
      <c r="K59" s="3628"/>
      <c r="L59" s="3628"/>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5"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27" customWidth="1"/>
    <col min="2" max="6" width="16.83203125" style="27" customWidth="1"/>
    <col min="7" max="7" width="11.5" style="27" customWidth="1"/>
    <col min="8" max="8" width="2.1640625" style="81" customWidth="1"/>
    <col min="9" max="9" width="10.5" style="27" bestFit="1" customWidth="1"/>
    <col min="10" max="10" width="12.1640625" style="27" customWidth="1"/>
    <col min="11" max="11" width="10.83203125" style="27" customWidth="1"/>
    <col min="12" max="16384" width="8.83203125" style="27"/>
  </cols>
  <sheetData>
    <row r="1" spans="1:17" s="176" customFormat="1" ht="16.25"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c r="A2" s="13"/>
      <c r="B2" s="195"/>
      <c r="C2" s="195"/>
      <c r="D2" s="195"/>
    </row>
    <row r="3" spans="1:17" ht="15.5" customHeight="1">
      <c r="A3" s="3629" t="s">
        <v>210</v>
      </c>
      <c r="B3" s="3629"/>
      <c r="C3" s="3629"/>
      <c r="D3" s="3629"/>
      <c r="E3" s="3629"/>
      <c r="F3" s="3629"/>
      <c r="G3" s="244"/>
      <c r="H3" s="244"/>
    </row>
    <row r="4" spans="1:17">
      <c r="A4" s="13"/>
      <c r="B4" s="195"/>
      <c r="C4" s="195"/>
      <c r="D4" s="195"/>
    </row>
    <row r="5" spans="1:17" ht="13.2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 customHeight="1">
      <c r="A50" s="3627" t="e">
        <f>CONCATENATE(#REF!," ",#REF!,", ",#REF!,", ",#REF!," County")</f>
        <v>#REF!</v>
      </c>
      <c r="B50" s="3627"/>
      <c r="C50" s="3627"/>
      <c r="D50" s="3627"/>
      <c r="E50" s="3627"/>
      <c r="F50" s="3627"/>
      <c r="G50" s="228"/>
      <c r="H50" s="228"/>
    </row>
    <row r="51" spans="1:10" ht="14">
      <c r="A51" s="3628" t="s">
        <v>2276</v>
      </c>
      <c r="B51" s="3628"/>
      <c r="C51" s="3628"/>
      <c r="D51" s="3628"/>
      <c r="E51" s="3628"/>
      <c r="F51" s="3628"/>
      <c r="G51" s="260"/>
      <c r="H51" s="260"/>
      <c r="I51" s="260"/>
      <c r="J51" s="260"/>
    </row>
    <row r="52" spans="1:10" ht="5.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5"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2" zoomScale="130" zoomScaleNormal="130" workbookViewId="0">
      <selection activeCell="T169" sqref="T169"/>
    </sheetView>
  </sheetViews>
  <sheetFormatPr baseColWidth="10" defaultColWidth="9.1640625" defaultRowHeight="13"/>
  <cols>
    <col min="1" max="1" width="2.5" style="332" customWidth="1"/>
    <col min="2" max="2" width="5.5" style="332" customWidth="1"/>
    <col min="3" max="3" width="18.33203125" style="332" customWidth="1"/>
    <col min="4" max="4" width="7.1640625" style="332" customWidth="1"/>
    <col min="5" max="5" width="12.5" style="332" customWidth="1"/>
    <col min="6" max="6" width="10.5" style="332" customWidth="1"/>
    <col min="7" max="8" width="6.5" style="332" customWidth="1"/>
    <col min="9" max="9" width="1.83203125" style="332" customWidth="1"/>
    <col min="10" max="11" width="6.5" style="332" customWidth="1"/>
    <col min="12" max="12" width="1.83203125" style="332" customWidth="1"/>
    <col min="13" max="14" width="6.5" style="332" customWidth="1"/>
    <col min="15" max="15" width="1.83203125" style="332" customWidth="1"/>
    <col min="16" max="17" width="6.5" style="332" customWidth="1"/>
    <col min="18" max="18" width="1.83203125" style="332" customWidth="1"/>
    <col min="19" max="20" width="7" style="332" customWidth="1"/>
    <col min="21" max="21" width="5.83203125" style="332" customWidth="1"/>
    <col min="22" max="22" width="13.1640625" style="332" customWidth="1"/>
    <col min="23" max="23" width="24.83203125" style="332" customWidth="1"/>
    <col min="24" max="24" width="73.5" style="332" customWidth="1"/>
    <col min="25" max="25" width="9.1640625" style="332"/>
    <col min="26" max="29" width="8" style="332" customWidth="1"/>
    <col min="30" max="31" width="9.1640625" style="332" bestFit="1" customWidth="1"/>
    <col min="32" max="32" width="10.5" style="332" customWidth="1"/>
    <col min="33" max="33" width="10.33203125" style="332" customWidth="1"/>
    <col min="34" max="51" width="8" style="332" customWidth="1"/>
    <col min="52" max="52" width="9.1640625" style="2660"/>
    <col min="53" max="53" width="9.1640625" style="2296"/>
    <col min="54" max="16384" width="9.1640625" style="332"/>
  </cols>
  <sheetData>
    <row r="1" spans="1:53" s="2287" customFormat="1" ht="13.5" hidden="1" customHeight="1">
      <c r="G1" s="2287" t="s">
        <v>6338</v>
      </c>
      <c r="J1" s="2287" t="s">
        <v>6339</v>
      </c>
      <c r="M1" s="2287" t="s">
        <v>6340</v>
      </c>
      <c r="N1" s="2287" t="s">
        <v>6341</v>
      </c>
      <c r="P1" s="2287" t="s">
        <v>6342</v>
      </c>
      <c r="Q1" s="2287" t="s">
        <v>6343</v>
      </c>
      <c r="S1" s="2287" t="s">
        <v>6344</v>
      </c>
      <c r="AZ1" s="2660"/>
      <c r="BA1" s="2245">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Cave Spring Townhomes, Cave Spring, Floyd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Cave Spring Townhomes, Cave Spring, Floyd County</v>
      </c>
      <c r="X2" s="3798"/>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67" t="s">
        <v>460</v>
      </c>
      <c r="N6" s="3768"/>
      <c r="P6" s="3652" t="s">
        <v>260</v>
      </c>
      <c r="Q6" s="3653"/>
      <c r="S6" s="3652" t="s">
        <v>261</v>
      </c>
      <c r="T6" s="3653"/>
      <c r="V6" s="450" t="str">
        <f>B6</f>
        <v>DEVELOPMENT BUDGET</v>
      </c>
      <c r="AZ6" s="2661"/>
      <c r="BA6" s="2246">
        <v>6</v>
      </c>
    </row>
    <row r="7" spans="1:53" s="315" customFormat="1" ht="19.5" customHeight="1" thickBot="1">
      <c r="D7" s="1553"/>
      <c r="E7" s="1553"/>
      <c r="F7" s="1553"/>
      <c r="G7" s="3773" t="s">
        <v>95</v>
      </c>
      <c r="H7" s="3774"/>
      <c r="J7" s="3654"/>
      <c r="K7" s="3655"/>
      <c r="L7" s="370"/>
      <c r="M7" s="3769"/>
      <c r="N7" s="3770"/>
      <c r="P7" s="3654"/>
      <c r="Q7" s="3655"/>
      <c r="S7" s="3654"/>
      <c r="T7" s="3655"/>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72"/>
      <c r="H9" s="3573"/>
      <c r="J9" s="3572"/>
      <c r="K9" s="3573"/>
      <c r="L9" s="1050"/>
      <c r="M9" s="3572"/>
      <c r="N9" s="3573"/>
      <c r="P9" s="3572"/>
      <c r="Q9" s="3573"/>
      <c r="S9" s="3572"/>
      <c r="T9" s="3573"/>
      <c r="V9" s="1082"/>
      <c r="W9" s="3689"/>
      <c r="X9" s="3690"/>
      <c r="AZ9" s="2661"/>
      <c r="BA9" s="2246">
        <v>9</v>
      </c>
    </row>
    <row r="10" spans="1:53" s="315" customFormat="1" ht="11.25" customHeight="1">
      <c r="B10" s="315" t="s">
        <v>431</v>
      </c>
      <c r="G10" s="3560">
        <v>6000</v>
      </c>
      <c r="H10" s="3561"/>
      <c r="J10" s="3560">
        <v>6000</v>
      </c>
      <c r="K10" s="3561"/>
      <c r="L10" s="1050"/>
      <c r="M10" s="3560"/>
      <c r="N10" s="3561"/>
      <c r="P10" s="3560"/>
      <c r="Q10" s="3561"/>
      <c r="S10" s="3560"/>
      <c r="T10" s="3561"/>
      <c r="V10" s="1082"/>
      <c r="W10" s="3689"/>
      <c r="X10" s="3690"/>
      <c r="AZ10" s="2661"/>
      <c r="BA10" s="2245">
        <v>10</v>
      </c>
    </row>
    <row r="11" spans="1:53" s="315" customFormat="1" ht="11.25" customHeight="1">
      <c r="B11" s="315" t="s">
        <v>458</v>
      </c>
      <c r="G11" s="3560">
        <v>25000</v>
      </c>
      <c r="H11" s="3561"/>
      <c r="J11" s="3560">
        <v>25000</v>
      </c>
      <c r="K11" s="3561"/>
      <c r="L11" s="1050"/>
      <c r="M11" s="3560"/>
      <c r="N11" s="3561"/>
      <c r="P11" s="3560"/>
      <c r="Q11" s="3561"/>
      <c r="S11" s="3560"/>
      <c r="T11" s="3561"/>
      <c r="V11" s="1082"/>
      <c r="W11" s="3689"/>
      <c r="X11" s="3690"/>
      <c r="AZ11" s="2661"/>
      <c r="BA11" s="2246">
        <v>11</v>
      </c>
    </row>
    <row r="12" spans="1:53" s="315" customFormat="1" ht="11.25" customHeight="1">
      <c r="B12" s="315" t="s">
        <v>459</v>
      </c>
      <c r="G12" s="3560">
        <v>15000</v>
      </c>
      <c r="H12" s="3561"/>
      <c r="J12" s="3560">
        <v>15000</v>
      </c>
      <c r="K12" s="3561"/>
      <c r="L12" s="1050"/>
      <c r="M12" s="3560"/>
      <c r="N12" s="3561"/>
      <c r="P12" s="3560"/>
      <c r="Q12" s="3561"/>
      <c r="S12" s="3560"/>
      <c r="T12" s="3561"/>
      <c r="V12" s="1082"/>
      <c r="W12" s="3689"/>
      <c r="X12" s="3690"/>
      <c r="AZ12" s="2661"/>
      <c r="BA12" s="2246">
        <v>12</v>
      </c>
    </row>
    <row r="13" spans="1:53" s="315" customFormat="1" ht="11.25" customHeight="1">
      <c r="B13" s="315" t="s">
        <v>2302</v>
      </c>
      <c r="G13" s="3560">
        <v>7500</v>
      </c>
      <c r="H13" s="3561"/>
      <c r="J13" s="3560">
        <v>7500</v>
      </c>
      <c r="K13" s="3561"/>
      <c r="L13" s="1050"/>
      <c r="M13" s="3560"/>
      <c r="N13" s="3561"/>
      <c r="P13" s="3560"/>
      <c r="Q13" s="3561"/>
      <c r="S13" s="3560"/>
      <c r="T13" s="3561"/>
      <c r="V13" s="1082"/>
      <c r="W13" s="3689"/>
      <c r="X13" s="3690"/>
      <c r="AZ13" s="2661"/>
      <c r="BA13" s="2246">
        <v>13</v>
      </c>
    </row>
    <row r="14" spans="1:53" s="315" customFormat="1" ht="11.25" customHeight="1">
      <c r="B14" s="315" t="s">
        <v>183</v>
      </c>
      <c r="G14" s="3560"/>
      <c r="H14" s="3561"/>
      <c r="J14" s="3560"/>
      <c r="K14" s="3561"/>
      <c r="L14" s="1050"/>
      <c r="M14" s="3560"/>
      <c r="N14" s="3561"/>
      <c r="P14" s="3560"/>
      <c r="Q14" s="3561"/>
      <c r="S14" s="3560"/>
      <c r="T14" s="3561"/>
      <c r="V14" s="1082"/>
      <c r="W14" s="3689"/>
      <c r="X14" s="3690"/>
      <c r="AZ14" s="2661"/>
      <c r="BA14" s="2246">
        <v>14</v>
      </c>
    </row>
    <row r="15" spans="1:53" s="315" customFormat="1" ht="11.25" customHeight="1">
      <c r="A15" s="396" t="str">
        <f>IF(AND(G15&gt;0,OR(C15="",C15="&lt;Enter detailed description here; use Comments section if needed&gt;")),"X","")</f>
        <v/>
      </c>
      <c r="B15" s="185" t="s">
        <v>6276</v>
      </c>
      <c r="C15" s="3758" t="s">
        <v>6727</v>
      </c>
      <c r="D15" s="3758"/>
      <c r="E15" s="3758"/>
      <c r="F15" s="3759"/>
      <c r="G15" s="3560"/>
      <c r="H15" s="3561"/>
      <c r="J15" s="3560"/>
      <c r="K15" s="3561"/>
      <c r="L15" s="1050"/>
      <c r="M15" s="3560"/>
      <c r="N15" s="3561"/>
      <c r="P15" s="3560"/>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1" t="s">
        <v>6370</v>
      </c>
      <c r="BA15" s="2246">
        <v>15</v>
      </c>
    </row>
    <row r="16" spans="1:53" s="315" customFormat="1" ht="11.25" customHeight="1">
      <c r="A16" s="396" t="str">
        <f>IF(AND(G16&gt;0,OR(C16="",C16="&lt;Enter detailed description here; use Comments section if needed&gt;")),"X","")</f>
        <v/>
      </c>
      <c r="B16" s="185" t="s">
        <v>6277</v>
      </c>
      <c r="C16" s="3758" t="s">
        <v>6727</v>
      </c>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1" t="s">
        <v>6371</v>
      </c>
      <c r="BA16" s="2246">
        <v>16</v>
      </c>
    </row>
    <row r="17" spans="1:53" s="315" customFormat="1" ht="11.25" customHeight="1" thickBot="1">
      <c r="A17" s="396" t="str">
        <f>IF(AND(G17&gt;0,OR(C17="",C17="&lt;Enter detailed description here; use Comments section if needed&gt;")),"X","")</f>
        <v/>
      </c>
      <c r="B17" s="185" t="s">
        <v>6278</v>
      </c>
      <c r="C17" s="3758" t="s">
        <v>6727</v>
      </c>
      <c r="D17" s="3758"/>
      <c r="E17" s="3758"/>
      <c r="F17" s="3759"/>
      <c r="G17" s="3761"/>
      <c r="H17" s="3762"/>
      <c r="J17" s="3761"/>
      <c r="K17" s="3762"/>
      <c r="L17" s="1050"/>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3"/>
      <c r="W17" s="3691"/>
      <c r="X17" s="3692"/>
      <c r="AZ17" s="2661" t="s">
        <v>6372</v>
      </c>
      <c r="BA17" s="2246">
        <v>17</v>
      </c>
    </row>
    <row r="18" spans="1:53" s="315" customFormat="1" ht="12.5" customHeight="1" thickTop="1">
      <c r="F18" s="371" t="s">
        <v>184</v>
      </c>
      <c r="G18" s="3675">
        <f>SUM(G9:G17)</f>
        <v>53500</v>
      </c>
      <c r="H18" s="3676"/>
      <c r="J18" s="3675">
        <f>SUM(J9:J17)</f>
        <v>53500</v>
      </c>
      <c r="K18" s="3676"/>
      <c r="L18" s="1050"/>
      <c r="M18" s="3675">
        <f>SUM(M9:M17)</f>
        <v>0</v>
      </c>
      <c r="N18" s="3676"/>
      <c r="P18" s="3675">
        <f>SUM(P9:P17)</f>
        <v>0</v>
      </c>
      <c r="Q18" s="3676"/>
      <c r="S18" s="3675">
        <f>SUM(S9:S17)</f>
        <v>0</v>
      </c>
      <c r="T18" s="3676"/>
      <c r="V18" s="1084">
        <f>SUM(V9:V17)</f>
        <v>0</v>
      </c>
      <c r="W18" s="3693"/>
      <c r="X18" s="3694"/>
      <c r="AZ18" s="2661" t="s">
        <v>6373</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3222</v>
      </c>
      <c r="F20" s="2569">
        <f>IF('Part I-Project Identification'!$O$31="","",G20/'Part I-Project Identification'!$O$31)</f>
        <v>122.54901960784314</v>
      </c>
      <c r="G20" s="3572">
        <v>750</v>
      </c>
      <c r="H20" s="3573"/>
      <c r="J20" s="373"/>
      <c r="K20" s="370"/>
      <c r="L20" s="373"/>
      <c r="M20" s="373"/>
      <c r="N20" s="370"/>
      <c r="P20" s="373"/>
      <c r="Q20" s="370"/>
      <c r="S20" s="3572">
        <v>750</v>
      </c>
      <c r="T20" s="3573"/>
      <c r="V20" s="1082"/>
      <c r="W20" s="3689"/>
      <c r="X20" s="3690"/>
      <c r="AZ20" s="2661"/>
      <c r="BA20" s="2246">
        <v>20</v>
      </c>
    </row>
    <row r="21" spans="1:53" s="315" customFormat="1" ht="11.25" customHeight="1">
      <c r="B21" s="315" t="s">
        <v>1055</v>
      </c>
      <c r="G21" s="3560">
        <v>774200</v>
      </c>
      <c r="H21" s="3561"/>
      <c r="J21" s="373"/>
      <c r="K21" s="370"/>
      <c r="L21" s="373"/>
      <c r="M21" s="373"/>
      <c r="N21" s="370"/>
      <c r="P21" s="373"/>
      <c r="Q21" s="370"/>
      <c r="S21" s="3560">
        <f>G21</f>
        <v>774200</v>
      </c>
      <c r="T21" s="3561"/>
      <c r="V21" s="1082"/>
      <c r="W21" s="3689"/>
      <c r="X21" s="3690"/>
      <c r="AZ21" s="2661"/>
      <c r="BA21" s="2246">
        <v>21</v>
      </c>
    </row>
    <row r="22" spans="1:53" s="315" customFormat="1" ht="11.25" customHeight="1">
      <c r="B22" s="315" t="s">
        <v>432</v>
      </c>
      <c r="G22" s="3560"/>
      <c r="H22" s="3561"/>
      <c r="J22" s="373"/>
      <c r="K22" s="370"/>
      <c r="L22" s="373"/>
      <c r="M22" s="3572"/>
      <c r="N22" s="3573"/>
      <c r="P22" s="373"/>
      <c r="Q22" s="370"/>
      <c r="S22" s="3560"/>
      <c r="T22" s="3561"/>
      <c r="V22" s="1082"/>
      <c r="W22" s="3689"/>
      <c r="X22" s="3690"/>
      <c r="AZ22" s="2661"/>
      <c r="BA22" s="2246">
        <v>22</v>
      </c>
    </row>
    <row r="23" spans="1:53" s="315" customFormat="1" ht="11.25" customHeight="1" thickBot="1">
      <c r="B23" s="315" t="s">
        <v>405</v>
      </c>
      <c r="G23" s="3761"/>
      <c r="H23" s="3762"/>
      <c r="J23" s="373"/>
      <c r="K23" s="370"/>
      <c r="L23" s="373"/>
      <c r="M23" s="3761"/>
      <c r="N23" s="3762"/>
      <c r="P23" s="373"/>
      <c r="Q23" s="370"/>
      <c r="S23" s="3761"/>
      <c r="T23" s="3762"/>
      <c r="V23" s="1082"/>
      <c r="W23" s="3691"/>
      <c r="X23" s="3692"/>
      <c r="AZ23" s="2661"/>
      <c r="BA23" s="2246">
        <v>23</v>
      </c>
    </row>
    <row r="24" spans="1:53" s="315" customFormat="1" ht="12.5" customHeight="1" thickTop="1">
      <c r="F24" s="371" t="s">
        <v>184</v>
      </c>
      <c r="G24" s="3675">
        <f>SUM(G20:G23)</f>
        <v>774950</v>
      </c>
      <c r="H24" s="3676"/>
      <c r="J24" s="373"/>
      <c r="K24" s="370"/>
      <c r="L24" s="373"/>
      <c r="M24" s="3675">
        <f>SUM(M22:M23)</f>
        <v>0</v>
      </c>
      <c r="N24" s="3676"/>
      <c r="P24" s="373"/>
      <c r="Q24" s="370"/>
      <c r="S24" s="3675">
        <f>SUM(S20:S23)</f>
        <v>774950</v>
      </c>
      <c r="T24" s="3676"/>
      <c r="V24" s="1084">
        <f>SUM(V20:V23)</f>
        <v>0</v>
      </c>
      <c r="W24" s="3693"/>
      <c r="X24" s="3694"/>
      <c r="AZ24" s="2661" t="s">
        <v>6374</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3222</v>
      </c>
      <c r="F26" s="2569">
        <f>IF('Part I-Project Identification'!$O$31="","",G26/'Part I-Project Identification'!$O$31)</f>
        <v>152941.17647058822</v>
      </c>
      <c r="G26" s="3572">
        <v>936000</v>
      </c>
      <c r="H26" s="3573"/>
      <c r="J26" s="3572">
        <f>G26</f>
        <v>936000</v>
      </c>
      <c r="K26" s="3573"/>
      <c r="L26" s="1050"/>
      <c r="M26" s="3792"/>
      <c r="N26" s="3793"/>
      <c r="P26" s="3792"/>
      <c r="Q26" s="3793"/>
      <c r="S26" s="3572"/>
      <c r="T26" s="3573"/>
      <c r="V26" s="1082"/>
      <c r="W26" s="3689"/>
      <c r="X26" s="3690"/>
      <c r="AZ26" s="2661"/>
      <c r="BA26" s="2245">
        <v>26</v>
      </c>
    </row>
    <row r="27" spans="1:53" s="315" customFormat="1" ht="11.25" customHeight="1" thickBot="1">
      <c r="B27" s="315" t="s">
        <v>1058</v>
      </c>
      <c r="G27" s="3761"/>
      <c r="H27" s="3762"/>
      <c r="J27" s="3761"/>
      <c r="K27" s="3762"/>
      <c r="L27" s="374"/>
      <c r="M27" s="3791"/>
      <c r="N27" s="3791"/>
      <c r="P27" s="3791"/>
      <c r="Q27" s="3791"/>
      <c r="S27" s="3761"/>
      <c r="T27" s="3762"/>
      <c r="V27" s="1082"/>
      <c r="W27" s="3691"/>
      <c r="X27" s="3692"/>
      <c r="AZ27" s="2661"/>
      <c r="BA27" s="2246">
        <v>27</v>
      </c>
    </row>
    <row r="28" spans="1:53" s="315" customFormat="1" ht="12.5" customHeight="1" thickTop="1">
      <c r="F28" s="371" t="s">
        <v>184</v>
      </c>
      <c r="G28" s="3675">
        <f>SUM(G26:G27)</f>
        <v>936000</v>
      </c>
      <c r="H28" s="3676"/>
      <c r="J28" s="3675">
        <f>SUM(J26:J27)</f>
        <v>936000</v>
      </c>
      <c r="K28" s="3676"/>
      <c r="L28" s="373"/>
      <c r="M28" s="3675">
        <f>M26</f>
        <v>0</v>
      </c>
      <c r="N28" s="3676"/>
      <c r="P28" s="3675">
        <f>P26</f>
        <v>0</v>
      </c>
      <c r="Q28" s="3676"/>
      <c r="S28" s="3675">
        <f>SUM(S26:S27)</f>
        <v>0</v>
      </c>
      <c r="T28" s="3676"/>
      <c r="V28" s="1084">
        <f>SUM(V26:V27)</f>
        <v>0</v>
      </c>
      <c r="W28" s="3693"/>
      <c r="X28" s="3694"/>
      <c r="AZ28" s="2661" t="s">
        <v>6375</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2">
        <v>8587083</v>
      </c>
      <c r="H30" s="3573"/>
      <c r="J30" s="3572">
        <v>8587083</v>
      </c>
      <c r="K30" s="3573"/>
      <c r="L30" s="1050"/>
      <c r="M30" s="3572"/>
      <c r="N30" s="3573"/>
      <c r="P30" s="3572"/>
      <c r="Q30" s="3573"/>
      <c r="S30" s="3572"/>
      <c r="T30" s="3573"/>
      <c r="V30" s="1082"/>
      <c r="W30" s="3689"/>
      <c r="X30" s="3690"/>
      <c r="AZ30" s="2661"/>
      <c r="BA30" s="2246">
        <v>30</v>
      </c>
    </row>
    <row r="31" spans="1:53" s="315" customFormat="1" ht="11.25" customHeight="1">
      <c r="B31" s="315" t="s">
        <v>1061</v>
      </c>
      <c r="G31" s="3560"/>
      <c r="H31" s="3561"/>
      <c r="J31" s="3560"/>
      <c r="K31" s="3561"/>
      <c r="L31" s="1050"/>
      <c r="M31" s="3560"/>
      <c r="N31" s="3561"/>
      <c r="P31" s="3560"/>
      <c r="Q31" s="3561"/>
      <c r="S31" s="3560"/>
      <c r="T31" s="3561"/>
      <c r="V31" s="1082"/>
      <c r="W31" s="3689"/>
      <c r="X31" s="3690"/>
      <c r="AZ31" s="2661"/>
      <c r="BA31" s="2246">
        <v>31</v>
      </c>
    </row>
    <row r="32" spans="1:53" s="315" customFormat="1" ht="11.25" customHeight="1">
      <c r="B32" s="315" t="s">
        <v>6090</v>
      </c>
      <c r="G32" s="3560">
        <v>500000</v>
      </c>
      <c r="H32" s="3561"/>
      <c r="J32" s="3560">
        <v>500000</v>
      </c>
      <c r="K32" s="3561"/>
      <c r="L32" s="1050"/>
      <c r="M32" s="3560"/>
      <c r="N32" s="3561"/>
      <c r="P32" s="3560"/>
      <c r="Q32" s="3561"/>
      <c r="S32" s="3560"/>
      <c r="T32" s="3561"/>
      <c r="V32" s="1082"/>
      <c r="W32" s="3689"/>
      <c r="X32" s="3690"/>
      <c r="AZ32" s="2661"/>
      <c r="BA32" s="2246">
        <v>32</v>
      </c>
    </row>
    <row r="33" spans="1:53" s="315" customFormat="1" ht="11.25" customHeight="1">
      <c r="B33" s="315" t="s">
        <v>6088</v>
      </c>
      <c r="G33" s="3560"/>
      <c r="H33" s="3561"/>
      <c r="J33" s="3560"/>
      <c r="K33" s="3561"/>
      <c r="L33" s="1927"/>
      <c r="M33" s="3560"/>
      <c r="N33" s="3561"/>
      <c r="P33" s="3560"/>
      <c r="Q33" s="3561"/>
      <c r="S33" s="3560"/>
      <c r="T33" s="3561"/>
      <c r="V33" s="1082"/>
      <c r="W33" s="3689"/>
      <c r="X33" s="3690"/>
      <c r="AZ33" s="2661"/>
      <c r="BA33" s="2246">
        <v>33</v>
      </c>
    </row>
    <row r="34" spans="1:53" ht="11.25" customHeight="1">
      <c r="B34" s="315" t="s">
        <v>2496</v>
      </c>
      <c r="G34" s="3560"/>
      <c r="H34" s="3561"/>
      <c r="I34" s="315"/>
      <c r="J34" s="3560"/>
      <c r="K34" s="3561"/>
      <c r="L34" s="1927"/>
      <c r="M34" s="3560"/>
      <c r="N34" s="3561"/>
      <c r="O34" s="315"/>
      <c r="P34" s="3560"/>
      <c r="Q34" s="3561"/>
      <c r="R34" s="315"/>
      <c r="S34" s="3560"/>
      <c r="T34" s="3561"/>
      <c r="V34" s="1082"/>
      <c r="W34" s="3691"/>
      <c r="X34" s="3692"/>
      <c r="BA34" s="2246">
        <v>34</v>
      </c>
    </row>
    <row r="35" spans="1:53" ht="11.25" customHeight="1" thickBot="1">
      <c r="B35" s="315" t="s">
        <v>6089</v>
      </c>
      <c r="G35" s="3789"/>
      <c r="H35" s="3790"/>
      <c r="I35" s="315"/>
      <c r="J35" s="3789"/>
      <c r="K35" s="3790"/>
      <c r="L35" s="1050"/>
      <c r="M35" s="3789"/>
      <c r="N35" s="3790"/>
      <c r="O35" s="315"/>
      <c r="P35" s="3789"/>
      <c r="Q35" s="3790"/>
      <c r="R35" s="315"/>
      <c r="S35" s="3789"/>
      <c r="T35" s="3790"/>
      <c r="V35" s="1082"/>
      <c r="W35" s="3691"/>
      <c r="X35" s="3692"/>
      <c r="BA35" s="2245">
        <v>35</v>
      </c>
    </row>
    <row r="36" spans="1:53" s="315" customFormat="1" ht="12.5" customHeight="1" thickTop="1">
      <c r="C36" s="3788"/>
      <c r="D36" s="3788"/>
      <c r="E36" s="1051"/>
      <c r="F36" s="371" t="s">
        <v>184</v>
      </c>
      <c r="G36" s="3675">
        <f>SUM(G30:G35)</f>
        <v>9087083</v>
      </c>
      <c r="H36" s="3676"/>
      <c r="J36" s="3675">
        <f>SUM(J30:J35)</f>
        <v>9087083</v>
      </c>
      <c r="K36" s="3676"/>
      <c r="L36" s="1050"/>
      <c r="M36" s="3675">
        <f>SUM(M30:M35)</f>
        <v>0</v>
      </c>
      <c r="N36" s="3676"/>
      <c r="P36" s="3675">
        <f>SUM(P30:P35)</f>
        <v>0</v>
      </c>
      <c r="Q36" s="3676"/>
      <c r="S36" s="3675">
        <f>SUM(S30:S35)</f>
        <v>0</v>
      </c>
      <c r="T36" s="3676"/>
      <c r="V36" s="1084">
        <f>SUM(V30:V35)</f>
        <v>0</v>
      </c>
      <c r="W36" s="3693"/>
      <c r="X36" s="3694"/>
      <c r="AZ36" s="2661" t="s">
        <v>6376</v>
      </c>
      <c r="BA36" s="2246">
        <v>36</v>
      </c>
    </row>
    <row r="37" spans="1:53" s="315" customFormat="1" ht="12" customHeight="1">
      <c r="B37" s="317" t="s">
        <v>2164</v>
      </c>
      <c r="D37" s="3787" t="s">
        <v>3226</v>
      </c>
      <c r="E37" s="3787"/>
      <c r="F37" s="964">
        <f>SUM(F38:F40)</f>
        <v>0.1399997386033818</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601384</v>
      </c>
      <c r="F38" s="2633">
        <f>IF(($G$28+$G$36)=0,0,G38/($G$28+$G$36))</f>
        <v>5.9999902225692431E-2</v>
      </c>
      <c r="G38" s="3572">
        <v>601384</v>
      </c>
      <c r="H38" s="3573"/>
      <c r="I38" s="332"/>
      <c r="J38" s="3572">
        <f>G38</f>
        <v>601384</v>
      </c>
      <c r="K38" s="3573"/>
      <c r="L38" s="1050"/>
      <c r="M38" s="3572"/>
      <c r="N38" s="3573"/>
      <c r="P38" s="3572"/>
      <c r="Q38" s="3573"/>
      <c r="S38" s="3572"/>
      <c r="T38" s="3573"/>
      <c r="V38" s="1082"/>
      <c r="W38" s="3689"/>
      <c r="X38" s="3690"/>
      <c r="AZ38" s="2661"/>
      <c r="BA38" s="2245">
        <v>38</v>
      </c>
    </row>
    <row r="39" spans="1:53" s="315" customFormat="1" ht="11.25" customHeight="1">
      <c r="B39" s="315" t="s">
        <v>2476</v>
      </c>
      <c r="D39" s="2634">
        <f>'DCA Underwriting Assumptions'!$R$39</f>
        <v>0.02</v>
      </c>
      <c r="E39" s="2632">
        <f>ROUNDDOWN(D39*(G28+G36),0)</f>
        <v>200461</v>
      </c>
      <c r="F39" s="2633">
        <f>IF(($G$28+$G$36)=0,0,G39/($G$28+$G$36))</f>
        <v>1.9999934151996947E-2</v>
      </c>
      <c r="G39" s="3560">
        <v>200461</v>
      </c>
      <c r="H39" s="3561"/>
      <c r="I39" s="332"/>
      <c r="J39" s="3560">
        <f>G39</f>
        <v>200461</v>
      </c>
      <c r="K39" s="3561"/>
      <c r="L39" s="1050"/>
      <c r="M39" s="3560"/>
      <c r="N39" s="3561"/>
      <c r="P39" s="3560"/>
      <c r="Q39" s="3561"/>
      <c r="S39" s="3560"/>
      <c r="T39" s="3561"/>
      <c r="V39" s="1082"/>
      <c r="W39" s="3689"/>
      <c r="X39" s="3690"/>
      <c r="AZ39" s="2661"/>
      <c r="BA39" s="2246">
        <v>39</v>
      </c>
    </row>
    <row r="40" spans="1:53" s="315" customFormat="1" ht="11.25" customHeight="1" thickBot="1">
      <c r="B40" s="315" t="s">
        <v>2477</v>
      </c>
      <c r="D40" s="2635">
        <f>'DCA Underwriting Assumptions'!$R$40</f>
        <v>0.06</v>
      </c>
      <c r="E40" s="2636">
        <f>ROUNDDOWN(D40*(G28+G36),0)</f>
        <v>601384</v>
      </c>
      <c r="F40" s="2637">
        <f>IF(($G$28+$G$36)=0,0,G40/($G$28+$G$36))</f>
        <v>5.9999902225692431E-2</v>
      </c>
      <c r="G40" s="3761">
        <v>601384</v>
      </c>
      <c r="H40" s="3762"/>
      <c r="I40" s="332"/>
      <c r="J40" s="3761">
        <f>G40</f>
        <v>601384</v>
      </c>
      <c r="K40" s="3762"/>
      <c r="L40" s="1050"/>
      <c r="M40" s="3761"/>
      <c r="N40" s="3762"/>
      <c r="P40" s="3761"/>
      <c r="Q40" s="3762"/>
      <c r="S40" s="3761"/>
      <c r="T40" s="3762"/>
      <c r="V40" s="1082"/>
      <c r="W40" s="3691"/>
      <c r="X40" s="3692"/>
      <c r="AZ40" s="2661"/>
      <c r="BA40" s="2246">
        <v>40</v>
      </c>
    </row>
    <row r="41" spans="1:53" s="315" customFormat="1" ht="12.5" customHeight="1" thickTop="1">
      <c r="B41" s="185" t="s">
        <v>3227</v>
      </c>
      <c r="D41" s="965">
        <f>SUM(D38:D40)</f>
        <v>0.14000000000000001</v>
      </c>
      <c r="E41" s="966">
        <f>SUM(E38:E40)</f>
        <v>1403229</v>
      </c>
      <c r="F41" s="2630" t="s">
        <v>184</v>
      </c>
      <c r="G41" s="3675">
        <f>SUM(G38:G40)</f>
        <v>1403229</v>
      </c>
      <c r="H41" s="3676"/>
      <c r="J41" s="3675">
        <f>SUM(J38:J40)</f>
        <v>1403229</v>
      </c>
      <c r="K41" s="3676"/>
      <c r="L41" s="373"/>
      <c r="M41" s="3675">
        <f>SUM(M38:M40)</f>
        <v>0</v>
      </c>
      <c r="N41" s="3676"/>
      <c r="P41" s="3675">
        <f>SUM(P38:P40)</f>
        <v>0</v>
      </c>
      <c r="Q41" s="3676"/>
      <c r="S41" s="3675">
        <f>SUM(S38:S40)</f>
        <v>0</v>
      </c>
      <c r="T41" s="3676"/>
      <c r="V41" s="1084">
        <f>SUM(V38:V40)</f>
        <v>0</v>
      </c>
      <c r="W41" s="3693"/>
      <c r="X41" s="3694"/>
      <c r="AZ41" s="2661" t="s">
        <v>6377</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6492</v>
      </c>
      <c r="D43" s="2252"/>
      <c r="E43" s="2170"/>
      <c r="F43" s="2170"/>
      <c r="G43" s="3785">
        <f>G28+G36+G41</f>
        <v>11426312</v>
      </c>
      <c r="H43" s="3786"/>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6378</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6279</v>
      </c>
      <c r="C46" s="3758" t="s">
        <v>6727</v>
      </c>
      <c r="D46" s="3783"/>
      <c r="E46" s="3783"/>
      <c r="F46" s="3784"/>
      <c r="G46" s="3779"/>
      <c r="H46" s="3780"/>
      <c r="I46" s="315"/>
      <c r="J46" s="3779"/>
      <c r="K46" s="3780"/>
      <c r="L46" s="1050"/>
      <c r="M46" s="3779"/>
      <c r="N46" s="3780"/>
      <c r="O46" s="315"/>
      <c r="P46" s="3779"/>
      <c r="Q46" s="3780"/>
      <c r="R46" s="315"/>
      <c r="S46" s="3779"/>
      <c r="T46" s="3780"/>
      <c r="V46" s="1082"/>
      <c r="W46" s="3699"/>
      <c r="X46" s="3700"/>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1"/>
      <c r="X47" s="3702"/>
      <c r="AZ47" s="2661" t="s">
        <v>6379</v>
      </c>
      <c r="BA47" s="2245">
        <v>47</v>
      </c>
    </row>
    <row r="48" spans="1:53" s="315" customFormat="1" ht="12.5" customHeight="1">
      <c r="B48" s="2201" t="s">
        <v>2481</v>
      </c>
      <c r="C48" s="2202"/>
      <c r="E48" s="3781" t="s">
        <v>2480</v>
      </c>
      <c r="F48" s="2203">
        <f>C49/'Part V-Revenues &amp; Expenses'!$P$65</f>
        <v>219736.76923076922</v>
      </c>
      <c r="G48" s="2204" t="s">
        <v>2494</v>
      </c>
      <c r="H48" s="2205"/>
      <c r="I48" s="2205"/>
      <c r="J48" s="3666">
        <f>C49/'Part V-Revenues &amp; Expenses'!$P$67</f>
        <v>219736.76923076922</v>
      </c>
      <c r="K48" s="3666"/>
      <c r="L48" s="2205"/>
      <c r="M48" s="3667" t="s">
        <v>6478</v>
      </c>
      <c r="N48" s="3667"/>
      <c r="O48" s="2205"/>
      <c r="P48" s="3666">
        <f>C49/'Part V-Revenues &amp; Expenses'!$K$175</f>
        <v>199.1167029711597</v>
      </c>
      <c r="Q48" s="3666"/>
      <c r="R48" s="2205"/>
      <c r="S48" s="3668" t="s">
        <v>6480</v>
      </c>
      <c r="T48" s="3669"/>
      <c r="V48" s="1085"/>
      <c r="W48" s="3701"/>
      <c r="X48" s="3702"/>
      <c r="AZ48" s="2661"/>
      <c r="BA48" s="2246">
        <v>48</v>
      </c>
    </row>
    <row r="49" spans="1:53" s="315" customFormat="1" ht="12.5" customHeight="1">
      <c r="B49" s="2254" t="s">
        <v>6491</v>
      </c>
      <c r="C49" s="2253">
        <f>G28+G36+G41+G46</f>
        <v>11426312</v>
      </c>
      <c r="E49" s="3782"/>
      <c r="F49" s="2206">
        <f>C49/'Part V-Revenues &amp; Expenses'!$P$166</f>
        <v>210.10043210444056</v>
      </c>
      <c r="G49" s="2207" t="s">
        <v>2495</v>
      </c>
      <c r="H49" s="2208"/>
      <c r="I49" s="2208"/>
      <c r="J49" s="3670">
        <f>C49/'Part V-Revenues &amp; Expenses'!$P$168</f>
        <v>210.10043210444056</v>
      </c>
      <c r="K49" s="3670"/>
      <c r="L49" s="2208"/>
      <c r="M49" s="3671" t="s">
        <v>6479</v>
      </c>
      <c r="N49" s="3671"/>
      <c r="O49" s="2208"/>
      <c r="P49" s="2208"/>
      <c r="Q49" s="2208"/>
      <c r="R49" s="2208"/>
      <c r="S49" s="2208"/>
      <c r="T49" s="2209"/>
      <c r="V49" s="1085"/>
      <c r="W49" s="3703"/>
      <c r="X49" s="3704"/>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52" t="s">
        <v>259</v>
      </c>
      <c r="K51" s="3653"/>
      <c r="L51" s="370"/>
      <c r="M51" s="3767" t="s">
        <v>460</v>
      </c>
      <c r="N51" s="3768"/>
      <c r="P51" s="3652" t="s">
        <v>260</v>
      </c>
      <c r="Q51" s="3653"/>
      <c r="S51" s="3652" t="s">
        <v>261</v>
      </c>
      <c r="T51" s="3653"/>
      <c r="V51" s="1085"/>
      <c r="W51" s="450" t="str">
        <f>B51</f>
        <v>DEVELOPMENT BUDGET (cont'd)</v>
      </c>
      <c r="AZ51" s="2661"/>
      <c r="BA51" s="2246">
        <v>58</v>
      </c>
    </row>
    <row r="52" spans="1:53" s="315" customFormat="1" ht="18.75" customHeight="1" thickBot="1">
      <c r="G52" s="3773" t="s">
        <v>95</v>
      </c>
      <c r="H52" s="3774"/>
      <c r="J52" s="3654"/>
      <c r="K52" s="3655"/>
      <c r="L52" s="370"/>
      <c r="M52" s="3769"/>
      <c r="N52" s="3770"/>
      <c r="P52" s="3654"/>
      <c r="Q52" s="3655"/>
      <c r="S52" s="3654"/>
      <c r="T52" s="3655"/>
      <c r="V52" s="1085"/>
      <c r="W52" s="3698" t="s">
        <v>2449</v>
      </c>
      <c r="X52" s="3698"/>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6301</v>
      </c>
      <c r="F54" s="2311" t="s">
        <v>3412</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3411</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571315.6</v>
      </c>
      <c r="F55" s="2310">
        <f>G55/C49</f>
        <v>4.9999947489618696E-2</v>
      </c>
      <c r="G55" s="3779">
        <v>571315</v>
      </c>
      <c r="H55" s="3780"/>
      <c r="I55" s="315"/>
      <c r="J55" s="3779">
        <f>G55</f>
        <v>571315</v>
      </c>
      <c r="K55" s="3780"/>
      <c r="L55" s="1050"/>
      <c r="M55" s="3779"/>
      <c r="N55" s="3780"/>
      <c r="O55" s="315"/>
      <c r="P55" s="3779"/>
      <c r="Q55" s="3780"/>
      <c r="R55" s="315"/>
      <c r="S55" s="3779"/>
      <c r="T55" s="3780"/>
      <c r="V55" s="1082"/>
      <c r="W55" s="3689"/>
      <c r="X55" s="369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9"/>
      <c r="X56" s="3700"/>
      <c r="AZ56" s="2661"/>
      <c r="BA56" s="2246">
        <v>53</v>
      </c>
    </row>
    <row r="57" spans="1:53" s="315" customFormat="1" ht="12.5" customHeight="1">
      <c r="B57" s="2210" t="s">
        <v>6302</v>
      </c>
      <c r="C57" s="2202"/>
      <c r="E57" s="3664" t="s">
        <v>6303</v>
      </c>
      <c r="F57" s="2203">
        <f>B58/'Part V-Revenues &amp; Expenses'!$P$65</f>
        <v>230723.59615384616</v>
      </c>
      <c r="G57" s="2204" t="s">
        <v>2494</v>
      </c>
      <c r="H57" s="2205"/>
      <c r="I57" s="2205"/>
      <c r="J57" s="3666">
        <f>B58/'Part V-Revenues &amp; Expenses'!$P$67</f>
        <v>230723.59615384616</v>
      </c>
      <c r="K57" s="3666"/>
      <c r="L57" s="2205"/>
      <c r="M57" s="3667" t="s">
        <v>6478</v>
      </c>
      <c r="N57" s="3667"/>
      <c r="O57" s="2205"/>
      <c r="P57" s="3666">
        <f>B58/'Part V-Revenues &amp; Expenses'!$K$175</f>
        <v>209.07252766402371</v>
      </c>
      <c r="Q57" s="3666"/>
      <c r="R57" s="2205"/>
      <c r="S57" s="3668" t="s">
        <v>6480</v>
      </c>
      <c r="T57" s="3669"/>
      <c r="V57" s="1085"/>
      <c r="W57" s="3701"/>
      <c r="X57" s="3702"/>
      <c r="AZ57" s="2661"/>
      <c r="BA57" s="2246">
        <v>54</v>
      </c>
    </row>
    <row r="58" spans="1:53" s="315" customFormat="1" ht="12.5" customHeight="1">
      <c r="B58" s="3662">
        <f>C49+G55</f>
        <v>11997627</v>
      </c>
      <c r="C58" s="3663"/>
      <c r="E58" s="3665"/>
      <c r="F58" s="2206">
        <f>B58/'Part V-Revenues &amp; Expenses'!$P$166</f>
        <v>220.6054426772088</v>
      </c>
      <c r="G58" s="2207" t="s">
        <v>2495</v>
      </c>
      <c r="H58" s="2208"/>
      <c r="I58" s="2208"/>
      <c r="J58" s="3670">
        <f>B58/'Part V-Revenues &amp; Expenses'!$P$168</f>
        <v>220.6054426772088</v>
      </c>
      <c r="K58" s="3670"/>
      <c r="L58" s="2208"/>
      <c r="M58" s="3671" t="s">
        <v>6479</v>
      </c>
      <c r="N58" s="3671"/>
      <c r="O58" s="2208"/>
      <c r="P58" s="2208"/>
      <c r="Q58" s="2208"/>
      <c r="R58" s="2208"/>
      <c r="S58" s="2208"/>
      <c r="T58" s="2209"/>
      <c r="V58" s="1085"/>
      <c r="W58" s="3701"/>
      <c r="X58" s="3702"/>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3"/>
      <c r="X59" s="3704"/>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3228</v>
      </c>
      <c r="G61" s="3572"/>
      <c r="H61" s="3573"/>
      <c r="J61" s="3572"/>
      <c r="K61" s="3573"/>
      <c r="L61" s="1050"/>
      <c r="M61" s="3572"/>
      <c r="N61" s="3573"/>
      <c r="P61" s="3572"/>
      <c r="Q61" s="3573"/>
      <c r="S61" s="3572"/>
      <c r="T61" s="3573"/>
      <c r="V61" s="1086"/>
      <c r="W61" s="3689"/>
      <c r="X61" s="3690"/>
      <c r="AZ61" s="2661"/>
      <c r="BA61" s="2246">
        <v>61</v>
      </c>
    </row>
    <row r="62" spans="1:53" s="315" customFormat="1" ht="12" customHeight="1">
      <c r="B62" s="315" t="s">
        <v>3229</v>
      </c>
      <c r="G62" s="3560"/>
      <c r="H62" s="3561"/>
      <c r="J62" s="3560"/>
      <c r="K62" s="3561"/>
      <c r="L62" s="1050"/>
      <c r="M62" s="3560"/>
      <c r="N62" s="3561"/>
      <c r="P62" s="3560"/>
      <c r="Q62" s="3561"/>
      <c r="S62" s="3560"/>
      <c r="T62" s="3561"/>
      <c r="V62" s="1086"/>
      <c r="W62" s="3689"/>
      <c r="X62" s="3690"/>
      <c r="AZ62" s="2661"/>
      <c r="BA62" s="2246">
        <v>62</v>
      </c>
    </row>
    <row r="63" spans="1:53" s="315" customFormat="1" ht="12" customHeight="1">
      <c r="B63" s="315" t="s">
        <v>2167</v>
      </c>
      <c r="G63" s="3560">
        <v>126000</v>
      </c>
      <c r="H63" s="3561"/>
      <c r="J63" s="3560">
        <v>94500</v>
      </c>
      <c r="K63" s="3561"/>
      <c r="L63" s="1050"/>
      <c r="M63" s="3560"/>
      <c r="N63" s="3561"/>
      <c r="P63" s="3560"/>
      <c r="Q63" s="3561"/>
      <c r="S63" s="3560">
        <v>31500</v>
      </c>
      <c r="T63" s="3561"/>
      <c r="V63" s="1086"/>
      <c r="W63" s="3689"/>
      <c r="X63" s="3690"/>
      <c r="AZ63" s="2661"/>
      <c r="BA63" s="2245">
        <v>63</v>
      </c>
    </row>
    <row r="64" spans="1:53" s="315" customFormat="1" ht="12" customHeight="1">
      <c r="B64" s="315" t="s">
        <v>2168</v>
      </c>
      <c r="G64" s="3560">
        <v>502746</v>
      </c>
      <c r="H64" s="3561"/>
      <c r="J64" s="3560">
        <v>448311</v>
      </c>
      <c r="K64" s="3561"/>
      <c r="L64" s="1050"/>
      <c r="M64" s="3560"/>
      <c r="N64" s="3561"/>
      <c r="P64" s="3560"/>
      <c r="Q64" s="3561"/>
      <c r="S64" s="3560">
        <v>54435</v>
      </c>
      <c r="T64" s="3561"/>
      <c r="V64" s="1086"/>
      <c r="W64" s="3689"/>
      <c r="X64" s="3690"/>
      <c r="AZ64" s="2661"/>
      <c r="BA64" s="2246">
        <v>64</v>
      </c>
    </row>
    <row r="65" spans="1:53" s="315" customFormat="1" ht="12" customHeight="1">
      <c r="B65" s="315" t="s">
        <v>2169</v>
      </c>
      <c r="G65" s="3560">
        <v>25000</v>
      </c>
      <c r="H65" s="3561"/>
      <c r="J65" s="3560">
        <v>25000</v>
      </c>
      <c r="K65" s="3561"/>
      <c r="L65" s="1050"/>
      <c r="M65" s="3560"/>
      <c r="N65" s="3561"/>
      <c r="P65" s="3560"/>
      <c r="Q65" s="3561"/>
      <c r="S65" s="3560"/>
      <c r="T65" s="3561"/>
      <c r="V65" s="1086"/>
      <c r="W65" s="3689"/>
      <c r="X65" s="3690"/>
      <c r="AZ65" s="2661" t="s">
        <v>6380</v>
      </c>
      <c r="BA65" s="2246">
        <v>65</v>
      </c>
    </row>
    <row r="66" spans="1:53" s="315" customFormat="1" ht="12" customHeight="1">
      <c r="B66" s="315" t="s">
        <v>2451</v>
      </c>
      <c r="G66" s="3560">
        <v>18000</v>
      </c>
      <c r="H66" s="3561"/>
      <c r="J66" s="3560">
        <v>18000</v>
      </c>
      <c r="K66" s="3561"/>
      <c r="L66" s="1050"/>
      <c r="M66" s="3560"/>
      <c r="N66" s="3561"/>
      <c r="P66" s="3560"/>
      <c r="Q66" s="3561"/>
      <c r="S66" s="3560"/>
      <c r="T66" s="3561"/>
      <c r="V66" s="1086"/>
      <c r="W66" s="3689"/>
      <c r="X66" s="3690"/>
      <c r="AZ66" s="2661" t="s">
        <v>6381</v>
      </c>
      <c r="BA66" s="2246">
        <v>66</v>
      </c>
    </row>
    <row r="67" spans="1:53" s="315" customFormat="1" ht="12" customHeight="1">
      <c r="B67" s="315" t="s">
        <v>676</v>
      </c>
      <c r="G67" s="3560"/>
      <c r="H67" s="3561"/>
      <c r="J67" s="3560"/>
      <c r="K67" s="3561"/>
      <c r="L67" s="1050"/>
      <c r="M67" s="3560"/>
      <c r="N67" s="3561"/>
      <c r="P67" s="3560"/>
      <c r="Q67" s="3561"/>
      <c r="S67" s="3560"/>
      <c r="T67" s="3561"/>
      <c r="V67" s="1086"/>
      <c r="W67" s="3689"/>
      <c r="X67" s="3690"/>
      <c r="AZ67" s="2661" t="s">
        <v>6382</v>
      </c>
      <c r="BA67" s="2246">
        <v>67</v>
      </c>
    </row>
    <row r="68" spans="1:53" s="315" customFormat="1" ht="12" customHeight="1">
      <c r="B68" s="315" t="s">
        <v>2170</v>
      </c>
      <c r="G68" s="3560">
        <v>50000</v>
      </c>
      <c r="H68" s="3561"/>
      <c r="J68" s="3560">
        <v>29750</v>
      </c>
      <c r="K68" s="3561"/>
      <c r="L68" s="1050"/>
      <c r="M68" s="3560"/>
      <c r="N68" s="3561"/>
      <c r="P68" s="3560"/>
      <c r="Q68" s="3561"/>
      <c r="S68" s="3560">
        <v>20250</v>
      </c>
      <c r="T68" s="3561"/>
      <c r="V68" s="1086"/>
      <c r="W68" s="3689"/>
      <c r="X68" s="3690"/>
      <c r="AZ68" s="2661"/>
      <c r="BA68" s="2246">
        <v>68</v>
      </c>
    </row>
    <row r="69" spans="1:53" s="315" customFormat="1" ht="12" customHeight="1">
      <c r="B69" s="315" t="s">
        <v>1201</v>
      </c>
      <c r="G69" s="3560">
        <v>5000</v>
      </c>
      <c r="H69" s="3561"/>
      <c r="J69" s="3560"/>
      <c r="K69" s="3561"/>
      <c r="L69" s="1050"/>
      <c r="M69" s="3560"/>
      <c r="N69" s="3561"/>
      <c r="P69" s="3560"/>
      <c r="Q69" s="3561"/>
      <c r="S69" s="3560">
        <v>5000</v>
      </c>
      <c r="T69" s="3561"/>
      <c r="V69" s="1086"/>
      <c r="W69" s="3689"/>
      <c r="X69" s="3690"/>
      <c r="AZ69" s="2661"/>
      <c r="BA69" s="2246">
        <v>69</v>
      </c>
    </row>
    <row r="70" spans="1:53" s="315" customFormat="1" ht="12" customHeight="1">
      <c r="B70" s="377" t="s">
        <v>1086</v>
      </c>
      <c r="D70" s="375"/>
      <c r="E70" s="375"/>
      <c r="F70" s="376"/>
      <c r="G70" s="3560">
        <f>72861-540</f>
        <v>72321</v>
      </c>
      <c r="H70" s="3561"/>
      <c r="I70" s="332"/>
      <c r="J70" s="3560">
        <f>G70</f>
        <v>72321</v>
      </c>
      <c r="K70" s="3561"/>
      <c r="L70" s="1050"/>
      <c r="M70" s="3560"/>
      <c r="N70" s="3561"/>
      <c r="P70" s="3560"/>
      <c r="Q70" s="3561"/>
      <c r="S70" s="3560"/>
      <c r="T70" s="3561"/>
      <c r="V70" s="1086"/>
      <c r="W70" s="3689"/>
      <c r="X70" s="3690"/>
      <c r="AZ70" s="2661"/>
      <c r="BA70" s="2246">
        <v>70</v>
      </c>
    </row>
    <row r="71" spans="1:53" s="315" customFormat="1" ht="12" customHeight="1">
      <c r="A71" s="396" t="str">
        <f>IF(AND(G71&gt;0,OR(C71="",C71="&lt;Enter detailed description here; use Comments section if needed&gt;")),"X","")</f>
        <v/>
      </c>
      <c r="B71" s="185" t="s">
        <v>6281</v>
      </c>
      <c r="C71" s="3775" t="s">
        <v>6727</v>
      </c>
      <c r="D71" s="3775"/>
      <c r="E71" s="3775"/>
      <c r="F71" s="3776"/>
      <c r="G71" s="3560"/>
      <c r="H71" s="3561"/>
      <c r="J71" s="3560"/>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1"/>
      <c r="BA71" s="2246">
        <v>71</v>
      </c>
    </row>
    <row r="72" spans="1:53" s="315" customFormat="1" ht="12" customHeight="1" thickBot="1">
      <c r="A72" s="396" t="str">
        <f>IF(AND(G72&gt;0,OR(C72="",C72="&lt;Enter detailed description here; use Comments section if needed&gt;")),"X","")</f>
        <v/>
      </c>
      <c r="B72" s="185" t="s">
        <v>6282</v>
      </c>
      <c r="C72" s="3777" t="s">
        <v>6727</v>
      </c>
      <c r="D72" s="3777"/>
      <c r="E72" s="3777"/>
      <c r="F72" s="3778"/>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1"/>
      <c r="BA72" s="2245">
        <v>72</v>
      </c>
    </row>
    <row r="73" spans="1:53" s="315" customFormat="1" ht="12" customHeight="1" thickTop="1">
      <c r="F73" s="371" t="s">
        <v>184</v>
      </c>
      <c r="G73" s="3675">
        <f>SUM(G61:G72)</f>
        <v>799067</v>
      </c>
      <c r="H73" s="3676"/>
      <c r="J73" s="3675">
        <f>SUM(J61:J72)</f>
        <v>687882</v>
      </c>
      <c r="K73" s="3676"/>
      <c r="L73" s="373"/>
      <c r="M73" s="3675">
        <f>SUM(M61:M72)</f>
        <v>0</v>
      </c>
      <c r="N73" s="3676"/>
      <c r="P73" s="3675">
        <f>SUM(P61:P72)</f>
        <v>0</v>
      </c>
      <c r="Q73" s="3676"/>
      <c r="S73" s="3675">
        <f>SUM(S61:S72)</f>
        <v>111185</v>
      </c>
      <c r="T73" s="3676"/>
      <c r="V73" s="1087">
        <f>SUM(V61:V72)</f>
        <v>0</v>
      </c>
      <c r="W73" s="3693"/>
      <c r="X73" s="3694"/>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2">
        <v>195000</v>
      </c>
      <c r="H75" s="3573"/>
      <c r="J75" s="3572">
        <v>195000</v>
      </c>
      <c r="K75" s="3573"/>
      <c r="L75" s="1050"/>
      <c r="M75" s="3572"/>
      <c r="N75" s="3573"/>
      <c r="P75" s="3572"/>
      <c r="Q75" s="3573"/>
      <c r="S75" s="3572"/>
      <c r="T75" s="3573"/>
      <c r="V75" s="1082"/>
      <c r="W75" s="3689"/>
      <c r="X75" s="3690"/>
      <c r="AZ75" s="2661"/>
      <c r="BA75" s="2245">
        <v>75</v>
      </c>
    </row>
    <row r="76" spans="1:53" s="315" customFormat="1" ht="12" customHeight="1">
      <c r="B76" s="315" t="s">
        <v>451</v>
      </c>
      <c r="G76" s="3560">
        <v>65000</v>
      </c>
      <c r="H76" s="3561"/>
      <c r="J76" s="3560">
        <v>65000</v>
      </c>
      <c r="K76" s="3561"/>
      <c r="L76" s="1050"/>
      <c r="M76" s="3560"/>
      <c r="N76" s="3561"/>
      <c r="P76" s="3560"/>
      <c r="Q76" s="3561"/>
      <c r="S76" s="3560"/>
      <c r="T76" s="3561"/>
      <c r="V76" s="1082"/>
      <c r="W76" s="3689"/>
      <c r="X76" s="3690"/>
      <c r="AZ76" s="2661"/>
      <c r="BA76" s="2246">
        <v>76</v>
      </c>
    </row>
    <row r="77" spans="1:53" s="315" customFormat="1" ht="12" customHeight="1">
      <c r="B77" s="315" t="s">
        <v>1062</v>
      </c>
      <c r="D77" s="328"/>
      <c r="E77" s="1075"/>
      <c r="F77" s="1076"/>
      <c r="G77" s="3560">
        <v>12000</v>
      </c>
      <c r="H77" s="3561"/>
      <c r="J77" s="3560">
        <v>12000</v>
      </c>
      <c r="K77" s="3561"/>
      <c r="L77" s="1050"/>
      <c r="M77" s="3560"/>
      <c r="N77" s="3561"/>
      <c r="P77" s="3560"/>
      <c r="Q77" s="3561"/>
      <c r="S77" s="3560"/>
      <c r="T77" s="3561"/>
      <c r="V77" s="1082"/>
      <c r="W77" s="3689"/>
      <c r="X77" s="3690"/>
      <c r="AZ77" s="2661"/>
      <c r="BA77" s="2246">
        <v>77</v>
      </c>
    </row>
    <row r="78" spans="1:53" s="315" customFormat="1" ht="12" customHeight="1">
      <c r="B78" s="315" t="s">
        <v>1063</v>
      </c>
      <c r="G78" s="3560">
        <v>8000</v>
      </c>
      <c r="H78" s="3561"/>
      <c r="J78" s="3560">
        <v>8000</v>
      </c>
      <c r="K78" s="3561"/>
      <c r="L78" s="1050"/>
      <c r="M78" s="3560"/>
      <c r="N78" s="3561"/>
      <c r="P78" s="3560"/>
      <c r="Q78" s="3561"/>
      <c r="S78" s="3560"/>
      <c r="T78" s="3561"/>
      <c r="V78" s="1082"/>
      <c r="W78" s="3689"/>
      <c r="X78" s="3690"/>
      <c r="AZ78" s="2661"/>
      <c r="BA78" s="2246">
        <v>78</v>
      </c>
    </row>
    <row r="79" spans="1:53" s="315" customFormat="1" ht="12" customHeight="1">
      <c r="B79" s="315" t="s">
        <v>1064</v>
      </c>
      <c r="G79" s="3560">
        <v>7500</v>
      </c>
      <c r="H79" s="3561"/>
      <c r="J79" s="3560">
        <v>7500</v>
      </c>
      <c r="K79" s="3561"/>
      <c r="L79" s="1050"/>
      <c r="M79" s="3560"/>
      <c r="N79" s="3561"/>
      <c r="P79" s="3560"/>
      <c r="Q79" s="3561"/>
      <c r="S79" s="3560"/>
      <c r="T79" s="3561"/>
      <c r="V79" s="1082"/>
      <c r="W79" s="3689"/>
      <c r="X79" s="3690"/>
      <c r="AZ79" s="2661" t="s">
        <v>6383</v>
      </c>
      <c r="BA79" s="2246">
        <v>79</v>
      </c>
    </row>
    <row r="80" spans="1:53" s="315" customFormat="1" ht="12" customHeight="1">
      <c r="B80" s="315" t="s">
        <v>1065</v>
      </c>
      <c r="G80" s="3560">
        <v>35000</v>
      </c>
      <c r="H80" s="3561"/>
      <c r="J80" s="3560">
        <v>35000</v>
      </c>
      <c r="K80" s="3561"/>
      <c r="L80" s="1050"/>
      <c r="M80" s="3560"/>
      <c r="N80" s="3561"/>
      <c r="P80" s="3560"/>
      <c r="Q80" s="3561"/>
      <c r="S80" s="3560"/>
      <c r="T80" s="3561"/>
      <c r="V80" s="1082"/>
      <c r="W80" s="3689"/>
      <c r="X80" s="3690"/>
      <c r="AZ80" s="2661" t="s">
        <v>6384</v>
      </c>
      <c r="BA80" s="2246">
        <v>80</v>
      </c>
    </row>
    <row r="81" spans="1:53" s="315" customFormat="1" ht="12" customHeight="1">
      <c r="B81" s="315" t="s">
        <v>452</v>
      </c>
      <c r="G81" s="3560">
        <v>100000</v>
      </c>
      <c r="H81" s="3561"/>
      <c r="J81" s="3560">
        <v>100000</v>
      </c>
      <c r="K81" s="3561"/>
      <c r="L81" s="1050"/>
      <c r="M81" s="3560"/>
      <c r="N81" s="3561"/>
      <c r="P81" s="3560"/>
      <c r="Q81" s="3561"/>
      <c r="S81" s="3560"/>
      <c r="T81" s="3561"/>
      <c r="V81" s="1082"/>
      <c r="W81" s="3689"/>
      <c r="X81" s="3690"/>
      <c r="AZ81" s="2660"/>
      <c r="BA81" s="2246">
        <v>81</v>
      </c>
    </row>
    <row r="82" spans="1:53" s="315" customFormat="1" ht="12" customHeight="1">
      <c r="B82" s="315" t="s">
        <v>453</v>
      </c>
      <c r="G82" s="3560">
        <f>130000-55000</f>
        <v>75000</v>
      </c>
      <c r="H82" s="3561"/>
      <c r="J82" s="3560">
        <v>70000</v>
      </c>
      <c r="K82" s="3561"/>
      <c r="L82" s="1050"/>
      <c r="M82" s="3560"/>
      <c r="N82" s="3561"/>
      <c r="P82" s="3560"/>
      <c r="Q82" s="3561"/>
      <c r="S82" s="3560">
        <v>5000</v>
      </c>
      <c r="T82" s="3561"/>
      <c r="V82" s="1082"/>
      <c r="W82" s="3689"/>
      <c r="X82" s="3690"/>
      <c r="AZ82" s="2661"/>
      <c r="BA82" s="2246">
        <v>82</v>
      </c>
    </row>
    <row r="83" spans="1:53" s="315" customFormat="1" ht="12" customHeight="1">
      <c r="B83" s="315" t="s">
        <v>1900</v>
      </c>
      <c r="G83" s="3560">
        <v>25000</v>
      </c>
      <c r="H83" s="3561"/>
      <c r="J83" s="3560">
        <v>22500</v>
      </c>
      <c r="K83" s="3561"/>
      <c r="L83" s="1050"/>
      <c r="M83" s="3560"/>
      <c r="N83" s="3561"/>
      <c r="P83" s="3560"/>
      <c r="Q83" s="3561"/>
      <c r="S83" s="3560">
        <v>2500</v>
      </c>
      <c r="T83" s="3561"/>
      <c r="V83" s="1082"/>
      <c r="W83" s="3689"/>
      <c r="X83" s="3690"/>
      <c r="AZ83" s="2661"/>
      <c r="BA83" s="2246">
        <v>83</v>
      </c>
    </row>
    <row r="84" spans="1:53" s="315" customFormat="1" ht="12" customHeight="1">
      <c r="B84" s="315" t="s">
        <v>1202</v>
      </c>
      <c r="G84" s="3560">
        <v>15000</v>
      </c>
      <c r="H84" s="3561"/>
      <c r="J84" s="3560">
        <v>15000</v>
      </c>
      <c r="K84" s="3561"/>
      <c r="L84" s="1050"/>
      <c r="M84" s="3560"/>
      <c r="N84" s="3561"/>
      <c r="P84" s="3560"/>
      <c r="Q84" s="3561"/>
      <c r="S84" s="3560"/>
      <c r="T84" s="3561"/>
      <c r="V84" s="1082"/>
      <c r="W84" s="3689"/>
      <c r="X84" s="3690"/>
      <c r="AZ84" s="2661"/>
      <c r="BA84" s="2245">
        <v>84</v>
      </c>
    </row>
    <row r="85" spans="1:53" s="315" customFormat="1" ht="12" customHeight="1" thickBot="1">
      <c r="A85" s="396" t="str">
        <f>IF(AND(G85&gt;0,OR(C85="",C85="&lt;Enter detailed description here; use Comments section if needed&gt;")),"X","")</f>
        <v/>
      </c>
      <c r="B85" s="185" t="s">
        <v>6283</v>
      </c>
      <c r="C85" s="3758" t="s">
        <v>6727</v>
      </c>
      <c r="D85" s="3758"/>
      <c r="E85" s="3758"/>
      <c r="F85" s="3759"/>
      <c r="G85" s="3564"/>
      <c r="H85" s="3565"/>
      <c r="J85" s="3564"/>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1"/>
      <c r="BA85" s="2246">
        <v>85</v>
      </c>
    </row>
    <row r="86" spans="1:53" s="315" customFormat="1" ht="12" customHeight="1" thickTop="1">
      <c r="F86" s="371" t="s">
        <v>184</v>
      </c>
      <c r="G86" s="3675">
        <f>SUM(G75:G85)</f>
        <v>537500</v>
      </c>
      <c r="H86" s="3676"/>
      <c r="J86" s="3675">
        <f>SUM(J75:J85)</f>
        <v>530000</v>
      </c>
      <c r="K86" s="3676"/>
      <c r="L86" s="373"/>
      <c r="M86" s="3675">
        <f>SUM(M75:M85)</f>
        <v>0</v>
      </c>
      <c r="N86" s="3676"/>
      <c r="P86" s="3675">
        <f>SUM(P75:P85)</f>
        <v>0</v>
      </c>
      <c r="Q86" s="3676"/>
      <c r="S86" s="3675">
        <f>SUM(S75:S85)</f>
        <v>7500</v>
      </c>
      <c r="T86" s="3676"/>
      <c r="V86" s="1084">
        <f>SUM(V75:V85)</f>
        <v>0</v>
      </c>
      <c r="W86" s="3693"/>
      <c r="X86" s="3694"/>
      <c r="AZ86" s="2661" t="s">
        <v>6385</v>
      </c>
      <c r="BA86" s="2246">
        <v>86</v>
      </c>
    </row>
    <row r="87" spans="1:53" ht="12" customHeight="1">
      <c r="A87" s="315"/>
      <c r="B87" s="317" t="s">
        <v>1194</v>
      </c>
      <c r="C87" s="315"/>
      <c r="D87" s="884" t="s">
        <v>3230</v>
      </c>
      <c r="E87" s="968">
        <f>G92/'Part V-Revenues &amp; Expenses'!$P$67</f>
        <v>2723.0769230769229</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2">
        <v>40000</v>
      </c>
      <c r="H88" s="3573"/>
      <c r="J88" s="3572">
        <v>40000</v>
      </c>
      <c r="K88" s="3573"/>
      <c r="L88" s="1050"/>
      <c r="M88" s="3572"/>
      <c r="N88" s="3573"/>
      <c r="P88" s="3572"/>
      <c r="Q88" s="3573"/>
      <c r="S88" s="3572"/>
      <c r="T88" s="3573"/>
      <c r="V88" s="1082"/>
      <c r="W88" s="3689"/>
      <c r="X88" s="3690"/>
      <c r="AZ88" s="2661"/>
      <c r="BA88" s="2246">
        <v>88</v>
      </c>
    </row>
    <row r="89" spans="1:53" s="315" customFormat="1" ht="12" customHeight="1">
      <c r="B89" s="315" t="s">
        <v>1196</v>
      </c>
      <c r="G89" s="3560">
        <v>37000</v>
      </c>
      <c r="H89" s="3561"/>
      <c r="J89" s="3560">
        <v>37000</v>
      </c>
      <c r="K89" s="3561"/>
      <c r="L89" s="1050"/>
      <c r="M89" s="3560"/>
      <c r="N89" s="3561"/>
      <c r="P89" s="3560"/>
      <c r="Q89" s="3561"/>
      <c r="S89" s="3560"/>
      <c r="T89" s="3561"/>
      <c r="V89" s="1082"/>
      <c r="W89" s="3689"/>
      <c r="X89" s="3690"/>
      <c r="AZ89" s="2661"/>
      <c r="BA89" s="2246">
        <v>89</v>
      </c>
    </row>
    <row r="90" spans="1:53" s="315" customFormat="1" ht="12" customHeight="1">
      <c r="B90" s="315" t="s">
        <v>1197</v>
      </c>
      <c r="D90" s="379" t="s">
        <v>1325</v>
      </c>
      <c r="E90" s="1099" t="s">
        <v>2654</v>
      </c>
      <c r="G90" s="3560">
        <v>38780</v>
      </c>
      <c r="H90" s="3561"/>
      <c r="I90" s="332"/>
      <c r="J90" s="3560">
        <f>G90</f>
        <v>38780</v>
      </c>
      <c r="K90" s="3561"/>
      <c r="L90" s="1050"/>
      <c r="M90" s="3560"/>
      <c r="N90" s="3561"/>
      <c r="P90" s="3560"/>
      <c r="Q90" s="3561"/>
      <c r="S90" s="3560"/>
      <c r="T90" s="3561"/>
      <c r="V90" s="1082"/>
      <c r="W90" s="3689"/>
      <c r="X90" s="3690"/>
      <c r="AZ90" s="2661"/>
      <c r="BA90" s="2246">
        <v>90</v>
      </c>
    </row>
    <row r="91" spans="1:53" s="315" customFormat="1" ht="12" customHeight="1" thickBot="1">
      <c r="B91" s="315" t="s">
        <v>1198</v>
      </c>
      <c r="D91" s="379" t="s">
        <v>1325</v>
      </c>
      <c r="E91" s="1100" t="s">
        <v>2654</v>
      </c>
      <c r="G91" s="3564">
        <v>25820</v>
      </c>
      <c r="H91" s="3565"/>
      <c r="I91" s="332"/>
      <c r="J91" s="3564">
        <f>G91</f>
        <v>25820</v>
      </c>
      <c r="K91" s="3565"/>
      <c r="L91" s="1050"/>
      <c r="M91" s="3564"/>
      <c r="N91" s="3565"/>
      <c r="P91" s="3564"/>
      <c r="Q91" s="3565"/>
      <c r="S91" s="3564"/>
      <c r="T91" s="3565"/>
      <c r="V91" s="1082"/>
      <c r="W91" s="3691"/>
      <c r="X91" s="3692"/>
      <c r="AZ91" s="2661"/>
      <c r="BA91" s="2246">
        <v>91</v>
      </c>
    </row>
    <row r="92" spans="1:53" s="315" customFormat="1" ht="12" customHeight="1" thickTop="1">
      <c r="F92" s="371" t="s">
        <v>184</v>
      </c>
      <c r="G92" s="3675">
        <f>SUM(G88:G91)</f>
        <v>141600</v>
      </c>
      <c r="H92" s="3676"/>
      <c r="J92" s="3675">
        <f>SUM(J88:J91)</f>
        <v>141600</v>
      </c>
      <c r="K92" s="3676"/>
      <c r="L92" s="373"/>
      <c r="M92" s="3675">
        <f>SUM(M88:M91)</f>
        <v>0</v>
      </c>
      <c r="N92" s="3676"/>
      <c r="P92" s="3675">
        <f>SUM(P88:P91)</f>
        <v>0</v>
      </c>
      <c r="Q92" s="3676"/>
      <c r="S92" s="3675">
        <f>SUM(S88:S91)</f>
        <v>0</v>
      </c>
      <c r="T92" s="3676"/>
      <c r="V92" s="1084">
        <f>SUM(V88:V91)</f>
        <v>0</v>
      </c>
      <c r="W92" s="3693"/>
      <c r="X92" s="3694"/>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52" t="s">
        <v>259</v>
      </c>
      <c r="K94" s="3653"/>
      <c r="L94" s="370"/>
      <c r="M94" s="3767" t="s">
        <v>460</v>
      </c>
      <c r="N94" s="3768"/>
      <c r="P94" s="3652" t="s">
        <v>260</v>
      </c>
      <c r="Q94" s="3653"/>
      <c r="S94" s="3652" t="s">
        <v>261</v>
      </c>
      <c r="T94" s="3653"/>
      <c r="V94" s="450" t="str">
        <f>B94</f>
        <v>DEVELOPMENT BUDGET  (cont'd)</v>
      </c>
      <c r="AZ94" s="2661"/>
      <c r="BA94" s="2246">
        <v>94</v>
      </c>
    </row>
    <row r="95" spans="1:53" s="315" customFormat="1" ht="18" customHeight="1" thickBot="1">
      <c r="G95" s="3773" t="s">
        <v>95</v>
      </c>
      <c r="H95" s="3774"/>
      <c r="J95" s="3654"/>
      <c r="K95" s="3655"/>
      <c r="L95" s="370"/>
      <c r="M95" s="3769"/>
      <c r="N95" s="3770"/>
      <c r="P95" s="3654"/>
      <c r="Q95" s="3655"/>
      <c r="S95" s="3654"/>
      <c r="T95" s="3655"/>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6386</v>
      </c>
      <c r="BA96" s="2246">
        <v>96</v>
      </c>
    </row>
    <row r="97" spans="1:53" s="315" customFormat="1" ht="12" customHeight="1">
      <c r="B97" s="315" t="s">
        <v>1199</v>
      </c>
      <c r="G97" s="3572">
        <v>13200</v>
      </c>
      <c r="H97" s="3573"/>
      <c r="J97" s="3766"/>
      <c r="K97" s="3766"/>
      <c r="L97" s="1050"/>
      <c r="M97" s="3766"/>
      <c r="N97" s="3766"/>
      <c r="P97" s="3766"/>
      <c r="Q97" s="3766"/>
      <c r="S97" s="3572">
        <v>13200</v>
      </c>
      <c r="T97" s="3573"/>
      <c r="V97" s="1082"/>
      <c r="W97" s="3689"/>
      <c r="X97" s="3690"/>
      <c r="AZ97" s="2661" t="s">
        <v>6387</v>
      </c>
      <c r="BA97" s="2246">
        <v>97</v>
      </c>
    </row>
    <row r="98" spans="1:53" s="315" customFormat="1" ht="12" customHeight="1">
      <c r="B98" s="315" t="s">
        <v>1200</v>
      </c>
      <c r="G98" s="3560">
        <v>20000</v>
      </c>
      <c r="H98" s="3561"/>
      <c r="J98" s="3766"/>
      <c r="K98" s="3766"/>
      <c r="L98" s="1050"/>
      <c r="M98" s="3766"/>
      <c r="N98" s="3766"/>
      <c r="P98" s="3766"/>
      <c r="Q98" s="3766"/>
      <c r="S98" s="3560">
        <v>20000</v>
      </c>
      <c r="T98" s="3561"/>
      <c r="V98" s="1082"/>
      <c r="W98" s="3689"/>
      <c r="X98" s="3690"/>
      <c r="AZ98" s="2661"/>
      <c r="BA98" s="2246">
        <v>98</v>
      </c>
    </row>
    <row r="99" spans="1:53" s="315" customFormat="1" ht="12" customHeight="1">
      <c r="B99" s="315" t="s">
        <v>1201</v>
      </c>
      <c r="G99" s="3560">
        <v>10000</v>
      </c>
      <c r="H99" s="3561"/>
      <c r="J99" s="3766"/>
      <c r="K99" s="3766"/>
      <c r="L99" s="1050"/>
      <c r="M99" s="3766"/>
      <c r="N99" s="3766"/>
      <c r="P99" s="3766"/>
      <c r="Q99" s="3766"/>
      <c r="S99" s="3560">
        <v>10000</v>
      </c>
      <c r="T99" s="3561"/>
      <c r="V99" s="1082"/>
      <c r="W99" s="3689"/>
      <c r="X99" s="3690"/>
      <c r="AZ99" s="2661"/>
      <c r="BA99" s="2246">
        <v>99</v>
      </c>
    </row>
    <row r="100" spans="1:53" s="315" customFormat="1" ht="12" customHeight="1">
      <c r="B100" s="315" t="s">
        <v>1203</v>
      </c>
      <c r="G100" s="3560"/>
      <c r="H100" s="3561"/>
      <c r="J100" s="3766"/>
      <c r="K100" s="3766"/>
      <c r="L100" s="1050"/>
      <c r="M100" s="3766"/>
      <c r="N100" s="3766"/>
      <c r="P100" s="3766"/>
      <c r="Q100" s="3766"/>
      <c r="S100" s="345"/>
      <c r="T100" s="345"/>
      <c r="V100" s="1082"/>
      <c r="W100" s="3689"/>
      <c r="X100" s="3690"/>
      <c r="AZ100" s="2661"/>
      <c r="BA100" s="2245">
        <v>100</v>
      </c>
    </row>
    <row r="101" spans="1:53" s="315" customFormat="1" ht="12" customHeight="1">
      <c r="B101" s="315" t="s">
        <v>2122</v>
      </c>
      <c r="G101" s="3560"/>
      <c r="H101" s="3561"/>
      <c r="J101" s="3766"/>
      <c r="K101" s="3766"/>
      <c r="L101" s="1050"/>
      <c r="M101" s="3766"/>
      <c r="N101" s="3766"/>
      <c r="P101" s="3766"/>
      <c r="Q101" s="3766"/>
      <c r="S101" s="3560"/>
      <c r="T101" s="3561"/>
      <c r="V101" s="1082"/>
      <c r="W101" s="3689"/>
      <c r="X101" s="3690"/>
      <c r="AZ101" s="2661"/>
      <c r="BA101" s="2246">
        <v>101</v>
      </c>
    </row>
    <row r="102" spans="1:53" s="315" customFormat="1" ht="12" customHeight="1" thickBot="1">
      <c r="A102" s="396" t="str">
        <f>IF(AND(G102&gt;0,OR(C102="",C102="&lt;Enter detailed description here; use Comments section if needed&gt;")),"X","")</f>
        <v/>
      </c>
      <c r="B102" s="185" t="s">
        <v>6284</v>
      </c>
      <c r="C102" s="3758" t="s">
        <v>6727</v>
      </c>
      <c r="D102" s="3758"/>
      <c r="E102" s="3758"/>
      <c r="F102" s="3759"/>
      <c r="G102" s="3564"/>
      <c r="H102" s="3565"/>
      <c r="J102" s="3766"/>
      <c r="K102" s="3766"/>
      <c r="L102" s="1050"/>
      <c r="M102" s="3766"/>
      <c r="N102" s="3766"/>
      <c r="P102" s="3766"/>
      <c r="Q102" s="3766"/>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1"/>
      <c r="BA102" s="2246">
        <v>102</v>
      </c>
    </row>
    <row r="103" spans="1:53" s="315" customFormat="1" ht="12" customHeight="1" thickTop="1">
      <c r="F103" s="371" t="s">
        <v>184</v>
      </c>
      <c r="G103" s="3675">
        <f>SUM(G97:G102)</f>
        <v>43200</v>
      </c>
      <c r="H103" s="3676"/>
      <c r="J103" s="3766"/>
      <c r="K103" s="3766"/>
      <c r="L103" s="373"/>
      <c r="M103" s="3766"/>
      <c r="N103" s="3766"/>
      <c r="P103" s="3766"/>
      <c r="Q103" s="3766"/>
      <c r="S103" s="3675">
        <f>SUM(S97:S102)</f>
        <v>43200</v>
      </c>
      <c r="T103" s="3676"/>
      <c r="V103" s="1084">
        <f>SUM(V97:V102)</f>
        <v>0</v>
      </c>
      <c r="W103" s="3693"/>
      <c r="X103" s="3694"/>
      <c r="AZ103" s="2661"/>
      <c r="BA103" s="2246">
        <v>103</v>
      </c>
    </row>
    <row r="104" spans="1:53" s="315" customFormat="1" ht="13.25" customHeight="1">
      <c r="B104" s="317" t="s">
        <v>678</v>
      </c>
      <c r="J104" s="373"/>
      <c r="K104" s="373"/>
      <c r="M104" s="373"/>
      <c r="N104" s="373"/>
      <c r="O104" s="372" t="str">
        <f>B104</f>
        <v>DCA-RELATED COSTS</v>
      </c>
      <c r="P104" s="373"/>
      <c r="Q104" s="373"/>
      <c r="S104" s="373"/>
      <c r="T104" s="373"/>
      <c r="V104" s="1085"/>
      <c r="W104" s="315" t="str">
        <f>B104</f>
        <v>DCA-RELATED COSTS</v>
      </c>
      <c r="AA104" s="183" t="s">
        <v>3928</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5" customHeight="1">
      <c r="B105" s="315" t="str">
        <f>CONCATENATE("DCA HOME Loan Consent Pre-Application Fee ($",'DCA Underwriting Assumptions'!$Q$42, " FP/JV, $",'DCA Underwriting Assumptions'!$Q$43, " NP)")</f>
        <v>DCA HOME Loan Consent Pre-Application Fee ($1000 FP/JV, $500 NP)</v>
      </c>
      <c r="G105" s="3572"/>
      <c r="H105" s="3573"/>
      <c r="J105" s="373"/>
      <c r="K105" s="373"/>
      <c r="L105" s="1050"/>
      <c r="M105" s="373"/>
      <c r="N105" s="373"/>
      <c r="P105" s="373"/>
      <c r="Q105" s="373"/>
      <c r="S105" s="3572"/>
      <c r="T105" s="3573"/>
      <c r="V105" s="1082"/>
      <c r="W105" s="3689"/>
      <c r="X105" s="3690"/>
      <c r="Y105" s="3806" t="s">
        <v>6711</v>
      </c>
      <c r="AA105" s="414" t="s">
        <v>6653</v>
      </c>
      <c r="AB105" s="185"/>
      <c r="AC105" s="185"/>
      <c r="AD105" s="2604" t="str">
        <f>'Part V-Revenues &amp; Expenses'!$O$53</f>
        <v>40% of Units at 60% of AMI</v>
      </c>
      <c r="AE105" s="2602"/>
      <c r="AF105" s="2602"/>
      <c r="AZ105" s="2661"/>
      <c r="BA105" s="2246">
        <v>105</v>
      </c>
    </row>
    <row r="106" spans="1:53" s="315" customFormat="1" ht="12.5" customHeight="1">
      <c r="B106" s="315" t="str">
        <f>CONCATENATE("Tax Credit Application Fee ($",'DCA Underwriting Assumptions'!$Q$48, " ForProf/JntVent, $",'DCA Underwriting Assumptions'!$Q$49, " NonProf)")</f>
        <v>Tax Credit Application Fee ($6500 ForProf/JntVent, $5500 NonProf)</v>
      </c>
      <c r="G106" s="3560">
        <v>6500</v>
      </c>
      <c r="H106" s="3561"/>
      <c r="J106" s="373"/>
      <c r="K106" s="373"/>
      <c r="L106" s="380"/>
      <c r="M106" s="373"/>
      <c r="N106" s="373"/>
      <c r="P106" s="373"/>
      <c r="Q106" s="373"/>
      <c r="S106" s="3560">
        <v>6500</v>
      </c>
      <c r="T106" s="3561"/>
      <c r="V106" s="1082"/>
      <c r="W106" s="3689"/>
      <c r="X106" s="3690"/>
      <c r="Y106" s="3806"/>
      <c r="AA106" s="2606" t="s">
        <v>3154</v>
      </c>
      <c r="AB106" s="2606"/>
      <c r="AC106" s="2606"/>
      <c r="AD106" s="2607">
        <f>'Part V-Revenues &amp; Expenses'!$P$67</f>
        <v>52</v>
      </c>
      <c r="AZ106" s="2661" t="s">
        <v>6388</v>
      </c>
      <c r="BA106" s="2246">
        <v>106</v>
      </c>
    </row>
    <row r="107" spans="1:53" s="315" customFormat="1" ht="12.5" customHeight="1">
      <c r="B107" s="315" t="s">
        <v>3320</v>
      </c>
      <c r="G107" s="3560"/>
      <c r="H107" s="3561"/>
      <c r="J107" s="373"/>
      <c r="K107" s="373"/>
      <c r="L107" s="380"/>
      <c r="M107" s="373"/>
      <c r="N107" s="373"/>
      <c r="O107" s="1041"/>
      <c r="P107" s="373"/>
      <c r="Q107" s="373"/>
      <c r="S107" s="3560"/>
      <c r="T107" s="3561"/>
      <c r="V107" s="1082"/>
      <c r="W107" s="3689"/>
      <c r="X107" s="3690"/>
      <c r="Y107" s="3806"/>
      <c r="Z107" s="2603"/>
      <c r="AA107" s="2608" t="s">
        <v>6716</v>
      </c>
      <c r="AB107" s="185"/>
      <c r="AC107" s="185"/>
      <c r="AD107" s="185"/>
      <c r="AF107" s="2613" t="s">
        <v>6717</v>
      </c>
      <c r="AZ107" s="2661" t="s">
        <v>6389</v>
      </c>
      <c r="BA107" s="2246">
        <v>107</v>
      </c>
    </row>
    <row r="108" spans="1:53" s="315" customFormat="1" ht="12.5" customHeight="1">
      <c r="B108" s="315" t="s">
        <v>486</v>
      </c>
      <c r="E108" s="3771">
        <f>ROUNDUP('DCA Underwriting Assumptions'!$Q$53*J191,0)</f>
        <v>82800</v>
      </c>
      <c r="F108" s="3772"/>
      <c r="G108" s="3560">
        <v>82800</v>
      </c>
      <c r="H108" s="3561"/>
      <c r="J108" s="969" t="str">
        <f>IF(E108&gt;G108,"WARNING!  LIHTC Allocation Fee proposed is below minimum required.","")</f>
        <v/>
      </c>
      <c r="K108" s="373"/>
      <c r="L108" s="1050"/>
      <c r="M108" s="373"/>
      <c r="N108" s="373"/>
      <c r="O108" s="1041"/>
      <c r="P108" s="373"/>
      <c r="Q108" s="373"/>
      <c r="S108" s="3560">
        <f>G108</f>
        <v>82800</v>
      </c>
      <c r="T108" s="3561"/>
      <c r="V108" s="1082"/>
      <c r="W108" s="3689"/>
      <c r="X108" s="3690"/>
      <c r="Y108" s="3806"/>
      <c r="Z108" s="2603"/>
      <c r="AA108" s="185" t="s">
        <v>6712</v>
      </c>
      <c r="AB108" s="185"/>
      <c r="AC108" s="185"/>
      <c r="AD108" s="2609">
        <f>'Part V-Revenues &amp; Expenses'!P136+'Part V-Revenues &amp; Expenses'!P137</f>
        <v>0</v>
      </c>
      <c r="AF108" s="2611">
        <f>AD108*'DCA Underwriting Assumptions'!$Q$60</f>
        <v>0</v>
      </c>
      <c r="AZ108" s="2661" t="s">
        <v>6390</v>
      </c>
      <c r="BA108" s="2246">
        <v>108</v>
      </c>
    </row>
    <row r="109" spans="1:53" s="315" customFormat="1" ht="12.5" customHeight="1">
      <c r="B109" s="315" t="s">
        <v>702</v>
      </c>
      <c r="E109" s="3771">
        <f>AF111+AF115</f>
        <v>41600</v>
      </c>
      <c r="F109" s="3772"/>
      <c r="G109" s="3560">
        <v>41600</v>
      </c>
      <c r="H109" s="3561"/>
      <c r="I109" s="3803" t="str">
        <f>IF(E109&gt;G109,"WARNING!  LIHTC Compliance Fee proposed is below minimum required.","")</f>
        <v/>
      </c>
      <c r="J109" s="3804"/>
      <c r="K109" s="3804"/>
      <c r="L109" s="3804"/>
      <c r="M109" s="3804"/>
      <c r="N109" s="3804"/>
      <c r="O109" s="3804"/>
      <c r="P109" s="3804"/>
      <c r="Q109" s="3804"/>
      <c r="R109" s="3805"/>
      <c r="S109" s="3560">
        <f>G109</f>
        <v>41600</v>
      </c>
      <c r="T109" s="3561"/>
      <c r="V109" s="1082"/>
      <c r="W109" s="3689"/>
      <c r="X109" s="3690"/>
      <c r="Y109" s="3806"/>
      <c r="Z109" s="2603"/>
      <c r="AA109" s="185" t="s">
        <v>6292</v>
      </c>
      <c r="AB109" s="185"/>
      <c r="AC109" s="185"/>
      <c r="AD109" s="2609">
        <f>'Part V-Revenues &amp; Expenses'!$P$140+'Part V-Revenues &amp; Expenses'!$P$141</f>
        <v>0</v>
      </c>
      <c r="AF109" s="2611">
        <f>AD109*'DCA Underwriting Assumptions'!$Q$60</f>
        <v>0</v>
      </c>
      <c r="AZ109" s="2661"/>
      <c r="BA109" s="2245">
        <v>109</v>
      </c>
    </row>
    <row r="110" spans="1:53" s="315" customFormat="1" ht="12.5" customHeight="1">
      <c r="B110" s="315" t="s">
        <v>3450</v>
      </c>
      <c r="F110" s="1237"/>
      <c r="G110" s="3560">
        <v>3500</v>
      </c>
      <c r="H110" s="3561"/>
      <c r="I110" s="3803"/>
      <c r="J110" s="3804"/>
      <c r="K110" s="3804"/>
      <c r="L110" s="3804"/>
      <c r="M110" s="3804"/>
      <c r="N110" s="3804"/>
      <c r="O110" s="3804"/>
      <c r="P110" s="3804"/>
      <c r="Q110" s="3804"/>
      <c r="R110" s="3805"/>
      <c r="S110" s="3560">
        <v>3500</v>
      </c>
      <c r="T110" s="3561"/>
      <c r="V110" s="1082"/>
      <c r="W110" s="3689"/>
      <c r="X110" s="3690"/>
      <c r="Y110" s="3806"/>
      <c r="AA110" s="185" t="s">
        <v>6713</v>
      </c>
      <c r="AB110" s="185"/>
      <c r="AC110" s="185"/>
      <c r="AD110" s="2609">
        <f>'Part V-Revenues &amp; Expenses'!$P$142+'Part V-Revenues &amp; Expenses'!$P$143</f>
        <v>0</v>
      </c>
      <c r="AF110" s="2611">
        <f>AD110*'DCA Underwriting Assumptions'!$Q$60</f>
        <v>0</v>
      </c>
      <c r="AZ110" s="2661"/>
      <c r="BA110" s="2246">
        <v>110</v>
      </c>
    </row>
    <row r="111" spans="1:53" s="315" customFormat="1" ht="12.5" customHeight="1">
      <c r="B111" s="315" t="s">
        <v>3451</v>
      </c>
      <c r="F111" s="1237">
        <f>ROUNDUP('DCA Underwriting Assumptions'!$Q$88,0)</f>
        <v>3000</v>
      </c>
      <c r="G111" s="3560">
        <v>3000</v>
      </c>
      <c r="H111" s="3561"/>
      <c r="J111" s="181"/>
      <c r="K111" s="181"/>
      <c r="L111" s="181"/>
      <c r="M111" s="181"/>
      <c r="N111" s="181"/>
      <c r="O111" s="181"/>
      <c r="P111" s="181"/>
      <c r="Q111" s="181"/>
      <c r="S111" s="3560">
        <f>G111</f>
        <v>3000</v>
      </c>
      <c r="T111" s="3561"/>
      <c r="V111" s="1082"/>
      <c r="W111" s="3689"/>
      <c r="X111" s="3690"/>
      <c r="AA111" s="185"/>
      <c r="AB111" s="2598" t="s">
        <v>6714</v>
      </c>
      <c r="AC111" s="185"/>
      <c r="AD111" s="2610">
        <f>SUM(AD108:AD110)</f>
        <v>0</v>
      </c>
      <c r="AF111" s="2612">
        <f>SUM(AF108:AF110)</f>
        <v>0</v>
      </c>
      <c r="AZ111" s="2661"/>
      <c r="BA111" s="2246">
        <v>111</v>
      </c>
    </row>
    <row r="112" spans="1:53" s="315" customFormat="1" ht="12.5" customHeight="1">
      <c r="A112" s="396" t="str">
        <f>IF(AND(G112&gt;0,OR(C112="",C112="&lt;Enter detailed description here; use Comments section if needed&gt;")),"X","")</f>
        <v/>
      </c>
      <c r="B112" s="185" t="s">
        <v>6280</v>
      </c>
      <c r="C112" s="3775"/>
      <c r="D112" s="3775"/>
      <c r="E112" s="3775"/>
      <c r="F112" s="3776"/>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8" t="s">
        <v>6715</v>
      </c>
      <c r="AB112" s="185"/>
      <c r="AC112" s="2311"/>
      <c r="AD112" s="185"/>
      <c r="AF112" s="2611"/>
      <c r="AZ112" s="2661"/>
      <c r="BA112" s="2245">
        <v>112</v>
      </c>
    </row>
    <row r="113" spans="1:53" s="315" customFormat="1" ht="12.5" customHeight="1" thickBot="1">
      <c r="A113" s="396" t="str">
        <f>IF(AND(G113&gt;0,OR(C113="",C113="&lt;Enter detailed description here; use Comments section if needed&gt;")),"X","")</f>
        <v/>
      </c>
      <c r="B113" s="185" t="s">
        <v>6280</v>
      </c>
      <c r="C113" s="3777" t="s">
        <v>6727</v>
      </c>
      <c r="D113" s="3777"/>
      <c r="E113" s="3777"/>
      <c r="F113" s="3778"/>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1"/>
      <c r="AD113" s="2609">
        <f>'Part V-Revenues &amp; Expenses'!$P$127</f>
        <v>0</v>
      </c>
      <c r="AF113" s="2611">
        <f>IF($AD$105="Income Averaging",AD113*'DCA Underwriting Assumptions'!$Q$58,AD113*'DCA Underwriting Assumptions'!$Q$57)</f>
        <v>0</v>
      </c>
      <c r="AZ113" s="2661" t="s">
        <v>6391</v>
      </c>
      <c r="BA113" s="2246">
        <v>113</v>
      </c>
    </row>
    <row r="114" spans="1:53" s="315" customFormat="1" ht="12.5" customHeight="1" thickTop="1">
      <c r="F114" s="371" t="s">
        <v>184</v>
      </c>
      <c r="G114" s="3675">
        <f>SUM(G105:G113)</f>
        <v>137400</v>
      </c>
      <c r="H114" s="3676"/>
      <c r="J114" s="373"/>
      <c r="K114" s="373"/>
      <c r="L114" s="1050"/>
      <c r="M114" s="373"/>
      <c r="N114" s="373"/>
      <c r="P114" s="373"/>
      <c r="Q114" s="373"/>
      <c r="S114" s="3675">
        <f>SUM(S105:S113)</f>
        <v>137400</v>
      </c>
      <c r="T114" s="3676"/>
      <c r="V114" s="1084">
        <f>SUM(V105:V113)</f>
        <v>0</v>
      </c>
      <c r="W114" s="3696"/>
      <c r="X114" s="3697"/>
      <c r="AA114" s="509" t="s">
        <v>6484</v>
      </c>
      <c r="AB114" s="185"/>
      <c r="AC114" s="2594"/>
      <c r="AD114" s="2609">
        <f>'Part V-Revenues &amp; Expenses'!$P$138+'Part V-Revenues &amp; Expenses'!$P$139</f>
        <v>52</v>
      </c>
      <c r="AF114" s="2611">
        <f>IF($AD$105="Income Averaging",AD114*'DCA Underwriting Assumptions'!$Q$58,AD114*'DCA Underwriting Assumptions'!$Q$57)</f>
        <v>41600</v>
      </c>
      <c r="AZ114" s="2661" t="s">
        <v>6392</v>
      </c>
      <c r="BA114" s="2246">
        <v>114</v>
      </c>
    </row>
    <row r="115" spans="1:53" s="315" customFormat="1" ht="13.25" customHeight="1">
      <c r="B115" s="317" t="s">
        <v>2123</v>
      </c>
      <c r="J115" s="373"/>
      <c r="K115" s="373"/>
      <c r="M115" s="373"/>
      <c r="N115" s="373"/>
      <c r="O115" s="372" t="str">
        <f>B115</f>
        <v>EQUITY COSTS</v>
      </c>
      <c r="P115" s="373"/>
      <c r="Q115" s="373"/>
      <c r="S115" s="373"/>
      <c r="T115" s="373"/>
      <c r="V115" s="1085"/>
      <c r="W115" s="315" t="str">
        <f>B115</f>
        <v>EQUITY COSTS</v>
      </c>
      <c r="AA115" s="185"/>
      <c r="AB115" s="2598" t="s">
        <v>6714</v>
      </c>
      <c r="AC115" s="185"/>
      <c r="AD115" s="2610">
        <f>SUM(AD113:AD114)</f>
        <v>52</v>
      </c>
      <c r="AF115" s="2612">
        <f>SUM(AF113:AF114)</f>
        <v>41600</v>
      </c>
      <c r="AZ115" s="2646"/>
      <c r="BA115" s="2246">
        <v>115</v>
      </c>
    </row>
    <row r="116" spans="1:53" s="315" customFormat="1" ht="12.5" customHeight="1">
      <c r="B116" s="315" t="s">
        <v>267</v>
      </c>
      <c r="G116" s="3572">
        <v>2500</v>
      </c>
      <c r="H116" s="3573"/>
      <c r="J116" s="3766"/>
      <c r="K116" s="3766"/>
      <c r="L116" s="1050"/>
      <c r="M116" s="3766"/>
      <c r="N116" s="3766"/>
      <c r="O116" s="1041"/>
      <c r="P116" s="3766"/>
      <c r="Q116" s="3766"/>
      <c r="S116" s="3572">
        <v>2500</v>
      </c>
      <c r="T116" s="3573"/>
      <c r="V116" s="1082"/>
      <c r="W116" s="3689"/>
      <c r="X116" s="3690"/>
      <c r="AZ116" s="2646"/>
      <c r="BA116" s="2246">
        <v>116</v>
      </c>
    </row>
    <row r="117" spans="1:53" s="315" customFormat="1" ht="12.5" customHeight="1">
      <c r="B117" s="315" t="s">
        <v>268</v>
      </c>
      <c r="G117" s="3560"/>
      <c r="H117" s="3561"/>
      <c r="J117" s="3766"/>
      <c r="K117" s="3766"/>
      <c r="L117" s="1050"/>
      <c r="M117" s="3766"/>
      <c r="N117" s="3766"/>
      <c r="O117" s="1041"/>
      <c r="P117" s="3766"/>
      <c r="Q117" s="3766"/>
      <c r="S117" s="3560"/>
      <c r="T117" s="3561"/>
      <c r="V117" s="1082"/>
      <c r="W117" s="3689"/>
      <c r="X117" s="3690"/>
      <c r="AZ117" s="2646"/>
      <c r="BA117" s="2246">
        <v>117</v>
      </c>
    </row>
    <row r="118" spans="1:53" s="315" customFormat="1" ht="12.5" customHeight="1">
      <c r="B118" s="315" t="s">
        <v>2201</v>
      </c>
      <c r="G118" s="3560">
        <v>50000</v>
      </c>
      <c r="H118" s="3561"/>
      <c r="J118" s="3766"/>
      <c r="K118" s="3766"/>
      <c r="L118" s="1050"/>
      <c r="M118" s="3766"/>
      <c r="N118" s="3766"/>
      <c r="O118" s="1041"/>
      <c r="P118" s="3766"/>
      <c r="Q118" s="3766"/>
      <c r="S118" s="3560">
        <v>50000</v>
      </c>
      <c r="T118" s="3561"/>
      <c r="V118" s="1082"/>
      <c r="W118" s="3689"/>
      <c r="X118" s="3690"/>
      <c r="AZ118" s="2646"/>
      <c r="BA118" s="2246">
        <v>118</v>
      </c>
    </row>
    <row r="119" spans="1:53" s="315" customFormat="1" ht="12.5" customHeight="1" thickBot="1">
      <c r="A119" s="396" t="str">
        <f>IF(AND(G119&gt;0,OR(C119="",C119="&lt;Enter detailed description here; use Comments section if needed&gt;")),"X","")</f>
        <v/>
      </c>
      <c r="B119" s="185" t="s">
        <v>6280</v>
      </c>
      <c r="C119" s="3758" t="s">
        <v>6727</v>
      </c>
      <c r="D119" s="3758"/>
      <c r="E119" s="3758"/>
      <c r="F119" s="3759"/>
      <c r="G119" s="3564"/>
      <c r="H119" s="3565"/>
      <c r="J119" s="3766"/>
      <c r="K119" s="3766"/>
      <c r="L119" s="1050"/>
      <c r="M119" s="3766"/>
      <c r="N119" s="3766"/>
      <c r="O119" s="1041"/>
      <c r="P119" s="3766"/>
      <c r="Q119" s="3766"/>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6"/>
      <c r="BA119" s="2246">
        <v>119</v>
      </c>
    </row>
    <row r="120" spans="1:53" s="315" customFormat="1" ht="12.5" customHeight="1" thickTop="1">
      <c r="F120" s="371" t="s">
        <v>184</v>
      </c>
      <c r="G120" s="3675">
        <f>SUM(G116:G119)</f>
        <v>52500</v>
      </c>
      <c r="H120" s="3676"/>
      <c r="J120" s="3766"/>
      <c r="K120" s="3766"/>
      <c r="L120" s="1050"/>
      <c r="M120" s="3766"/>
      <c r="N120" s="3766"/>
      <c r="O120" s="1041"/>
      <c r="P120" s="3766"/>
      <c r="Q120" s="3766"/>
      <c r="S120" s="3675">
        <f>SUM(S116:S119)</f>
        <v>52500</v>
      </c>
      <c r="T120" s="3676"/>
      <c r="V120" s="1084">
        <f>SUM(V116:V119)</f>
        <v>0</v>
      </c>
      <c r="W120" s="3693"/>
      <c r="X120" s="3694"/>
      <c r="AC120" s="3799" t="s">
        <v>3925</v>
      </c>
      <c r="AD120" s="3799" t="s">
        <v>3926</v>
      </c>
      <c r="AE120" s="3801" t="s">
        <v>3929</v>
      </c>
      <c r="AF120" s="3794" t="s">
        <v>3927</v>
      </c>
      <c r="AG120" s="3645" t="s">
        <v>3918</v>
      </c>
      <c r="AH120" s="3636" t="s">
        <v>6748</v>
      </c>
      <c r="AI120" s="3636"/>
      <c r="AZ120" s="2646"/>
      <c r="BA120" s="2246">
        <v>120</v>
      </c>
    </row>
    <row r="121" spans="1:53" s="315" customFormat="1" ht="13.25" customHeight="1">
      <c r="B121" s="317" t="s">
        <v>269</v>
      </c>
      <c r="D121" s="628" t="s">
        <v>3928</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3916</v>
      </c>
      <c r="Z121" s="1631"/>
      <c r="AA121" s="300" t="s">
        <v>3922</v>
      </c>
      <c r="AB121" s="300" t="s">
        <v>3923</v>
      </c>
      <c r="AC121" s="3800"/>
      <c r="AD121" s="3800"/>
      <c r="AE121" s="3802"/>
      <c r="AF121" s="3795"/>
      <c r="AG121" s="3645"/>
      <c r="AH121" s="3636"/>
      <c r="AI121" s="3636"/>
      <c r="AK121" s="1641"/>
      <c r="AZ121" s="2646" t="s">
        <v>6393</v>
      </c>
      <c r="BA121" s="2245">
        <v>121</v>
      </c>
    </row>
    <row r="122" spans="1:53" s="315" customFormat="1" ht="12.5" customHeight="1">
      <c r="B122" s="315" t="s">
        <v>1724</v>
      </c>
      <c r="F122" s="422">
        <f>IF($G$127=0,0,G122/$G$127)</f>
        <v>0</v>
      </c>
      <c r="G122" s="3763"/>
      <c r="H122" s="3763"/>
      <c r="J122" s="3764"/>
      <c r="K122" s="3765"/>
      <c r="L122" s="372"/>
      <c r="M122" s="3764"/>
      <c r="N122" s="3765"/>
      <c r="P122" s="3764"/>
      <c r="Q122" s="3765"/>
      <c r="S122" s="3764"/>
      <c r="T122" s="3765"/>
      <c r="V122" s="1082"/>
      <c r="W122" s="3689"/>
      <c r="X122" s="369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6">
        <f>SUM(AE122:AE124)</f>
        <v>1419000</v>
      </c>
      <c r="AG122" s="3649">
        <f>'DCA Underwriting Assumptions'!$Q$72</f>
        <v>2000000</v>
      </c>
      <c r="AH122" s="3637">
        <f>MIN(AF122,AG122)</f>
        <v>1419000</v>
      </c>
      <c r="AI122" s="3638"/>
      <c r="AZ122" s="2646"/>
      <c r="BA122" s="2246">
        <v>122</v>
      </c>
    </row>
    <row r="123" spans="1:53" s="315" customFormat="1" ht="12.5" customHeight="1">
      <c r="B123" s="315" t="s">
        <v>3413</v>
      </c>
      <c r="F123" s="1216"/>
      <c r="G123" s="2594" t="s">
        <v>6728</v>
      </c>
      <c r="V123" s="1082"/>
      <c r="W123" s="3689"/>
      <c r="X123" s="369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44000</v>
      </c>
      <c r="AF123" s="3647"/>
      <c r="AG123" s="3650"/>
      <c r="AH123" s="3639"/>
      <c r="AI123" s="3640"/>
      <c r="AZ123" s="2646"/>
      <c r="BA123" s="2246">
        <v>123</v>
      </c>
    </row>
    <row r="124" spans="1:53" s="315" customFormat="1" ht="12.5" customHeight="1">
      <c r="B124" s="315" t="s">
        <v>1725</v>
      </c>
      <c r="F124" s="422">
        <f>IF($G$127=0,0,G124/$G$127)</f>
        <v>2.4665257223396759E-2</v>
      </c>
      <c r="G124" s="3572">
        <v>35000</v>
      </c>
      <c r="H124" s="3573"/>
      <c r="J124" s="3572">
        <v>35000</v>
      </c>
      <c r="K124" s="3573"/>
      <c r="L124" s="1050"/>
      <c r="M124" s="3572"/>
      <c r="N124" s="3573"/>
      <c r="P124" s="3572"/>
      <c r="Q124" s="3573"/>
      <c r="S124" s="3572"/>
      <c r="T124" s="3573"/>
      <c r="V124" s="1082"/>
      <c r="W124" s="3689"/>
      <c r="X124" s="369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8"/>
      <c r="AG124" s="3651"/>
      <c r="AH124" s="3641"/>
      <c r="AI124" s="3642"/>
      <c r="AZ124" s="2646"/>
      <c r="BA124" s="2246">
        <v>124</v>
      </c>
    </row>
    <row r="125" spans="1:53" s="315" customFormat="1" ht="12.5" customHeight="1">
      <c r="B125" s="315" t="s">
        <v>3166</v>
      </c>
      <c r="F125" s="422">
        <f>IF($G$127=0,0,G125/$G$127)</f>
        <v>0</v>
      </c>
      <c r="G125" s="3560"/>
      <c r="H125" s="3561"/>
      <c r="J125" s="3560"/>
      <c r="K125" s="3561"/>
      <c r="L125" s="1050"/>
      <c r="M125" s="3560"/>
      <c r="N125" s="3561"/>
      <c r="P125" s="3560"/>
      <c r="Q125" s="3561"/>
      <c r="S125" s="3560"/>
      <c r="T125" s="3561"/>
      <c r="V125" s="1082"/>
      <c r="W125" s="3689"/>
      <c r="X125" s="369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6">
        <f>SUM(AE125:AE127)</f>
        <v>1419000</v>
      </c>
      <c r="AG125" s="3646">
        <f>'DCA Underwriting Assumptions'!$Q$73</f>
        <v>3500000</v>
      </c>
      <c r="AH125" s="3637">
        <f>MIN(AF125,AG125)</f>
        <v>1419000</v>
      </c>
      <c r="AI125" s="3638"/>
      <c r="AZ125" s="2646"/>
      <c r="BA125" s="2246">
        <v>125</v>
      </c>
    </row>
    <row r="126" spans="1:53" s="315" customFormat="1" ht="12.5" customHeight="1" thickBot="1">
      <c r="B126" s="315" t="s">
        <v>1717</v>
      </c>
      <c r="F126" s="422">
        <f>IF($G$127=0,0,G126/$G$127)</f>
        <v>0.97533474277660326</v>
      </c>
      <c r="G126" s="3564">
        <v>1384000</v>
      </c>
      <c r="H126" s="3565"/>
      <c r="J126" s="3564">
        <v>1384000</v>
      </c>
      <c r="K126" s="3565"/>
      <c r="L126" s="1050"/>
      <c r="M126" s="3564"/>
      <c r="N126" s="3565"/>
      <c r="P126" s="3564"/>
      <c r="Q126" s="3565"/>
      <c r="S126" s="3564"/>
      <c r="T126" s="3565"/>
      <c r="V126" s="1082"/>
      <c r="W126" s="3691"/>
      <c r="X126" s="3692"/>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44000</v>
      </c>
      <c r="AF126" s="3647"/>
      <c r="AG126" s="3647"/>
      <c r="AH126" s="3639"/>
      <c r="AI126" s="3640"/>
      <c r="AZ126" s="2661"/>
      <c r="BA126" s="2246">
        <v>126</v>
      </c>
    </row>
    <row r="127" spans="1:53" s="315" customFormat="1" ht="12.5" customHeight="1" thickTop="1">
      <c r="A127" s="1656" t="str">
        <f>IF(G127&gt;E127,"DF over limit!  Round down/Enter nbr.","")</f>
        <v/>
      </c>
      <c r="B127" s="2638"/>
      <c r="D127" s="628" t="s">
        <v>3924</v>
      </c>
      <c r="E127" s="2639">
        <f>IF(E121="9%",AH122,IF(E121="4%",AH125,"Select App Type!"))</f>
        <v>1419000</v>
      </c>
      <c r="F127" s="371" t="s">
        <v>184</v>
      </c>
      <c r="G127" s="3675">
        <f>SUM(G122:G126)</f>
        <v>1419000</v>
      </c>
      <c r="H127" s="3760"/>
      <c r="J127" s="3675">
        <f>SUM(J122:J126)</f>
        <v>1419000</v>
      </c>
      <c r="K127" s="3760"/>
      <c r="L127" s="1050"/>
      <c r="M127" s="3675">
        <f>SUM(M122:M126)</f>
        <v>0</v>
      </c>
      <c r="N127" s="3760"/>
      <c r="P127" s="3675">
        <f>SUM(P122:P126)</f>
        <v>0</v>
      </c>
      <c r="Q127" s="3760"/>
      <c r="S127" s="3675">
        <f>SUM(S122:S126)</f>
        <v>0</v>
      </c>
      <c r="T127" s="3760"/>
      <c r="V127" s="1084">
        <f>SUM(V122:V126)</f>
        <v>0</v>
      </c>
      <c r="W127" s="3693"/>
      <c r="X127" s="3694"/>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8"/>
      <c r="AG127" s="3648"/>
      <c r="AH127" s="3641"/>
      <c r="AI127" s="3642"/>
      <c r="AZ127" s="2661"/>
      <c r="BA127" s="2246">
        <v>127</v>
      </c>
    </row>
    <row r="128" spans="1:53" s="315" customFormat="1" ht="13.2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6394</v>
      </c>
      <c r="BA128" s="2246">
        <v>128</v>
      </c>
    </row>
    <row r="129" spans="1:53" s="315" customFormat="1" ht="12.5" customHeight="1">
      <c r="B129" s="315" t="s">
        <v>241</v>
      </c>
      <c r="G129" s="3572">
        <v>25000</v>
      </c>
      <c r="H129" s="3573"/>
      <c r="J129" s="381"/>
      <c r="K129" s="381"/>
      <c r="L129" s="381"/>
      <c r="M129" s="381"/>
      <c r="N129" s="381"/>
      <c r="P129" s="381"/>
      <c r="Q129" s="381"/>
      <c r="S129" s="3572">
        <v>25000</v>
      </c>
      <c r="T129" s="3573"/>
      <c r="V129" s="1082"/>
      <c r="W129" s="3689"/>
      <c r="X129" s="3690"/>
      <c r="Z129" s="1652"/>
      <c r="AB129" s="1633"/>
      <c r="AC129"/>
      <c r="AD129"/>
      <c r="AF129"/>
      <c r="AG129"/>
      <c r="AH129"/>
      <c r="AI129"/>
      <c r="AJ129"/>
      <c r="AK129"/>
      <c r="AZ129" s="2661" t="s">
        <v>6395</v>
      </c>
      <c r="BA129" s="2246">
        <v>129</v>
      </c>
    </row>
    <row r="130" spans="1:53" s="315" customFormat="1" ht="12.5" customHeight="1">
      <c r="B130" s="315" t="s">
        <v>1437</v>
      </c>
      <c r="F130" s="477">
        <f>+'Part V-Revenues &amp; Expenses'!$Q$228*('DCA Underwriting Assumptions'!$Q$87/12)</f>
        <v>71008.75</v>
      </c>
      <c r="G130" s="3560">
        <v>71009</v>
      </c>
      <c r="H130" s="3561"/>
      <c r="J130" s="971" t="str">
        <f>IF(E130&gt;G130,"WARNING! Rent-Up Reserves proposed is below minimum - add comment.","")</f>
        <v/>
      </c>
      <c r="K130" s="971"/>
      <c r="L130" s="1050"/>
      <c r="M130" s="951"/>
      <c r="N130" s="951"/>
      <c r="O130" s="1041"/>
      <c r="P130" s="951"/>
      <c r="Q130" s="951"/>
      <c r="R130" s="1041"/>
      <c r="S130" s="3560">
        <f>G130</f>
        <v>71009</v>
      </c>
      <c r="T130" s="3561"/>
      <c r="V130" s="1082"/>
      <c r="W130" s="3689"/>
      <c r="X130" s="3690"/>
      <c r="Y130" s="27"/>
      <c r="Z130" s="1653"/>
      <c r="AB130" s="1632"/>
      <c r="AD130"/>
      <c r="AG130"/>
      <c r="AH130"/>
      <c r="AI130"/>
      <c r="AZ130" s="2661"/>
      <c r="BA130" s="2245">
        <v>130</v>
      </c>
    </row>
    <row r="131" spans="1:53" s="315" customFormat="1" ht="12.5" customHeight="1">
      <c r="B131" s="315" t="s">
        <v>632</v>
      </c>
      <c r="F131" s="477">
        <f>'Part V-Revenues &amp; Expenses'!$Q$228*('DCA Underwriting Assumptions'!$Q$86/12)+('Part VI-Pro Forma'!$B$26+'Part VI-Pro Forma'!$B$27+'Part VI-Pro Forma'!$B$28+'Part VI-Pro Forma'!$B$29)*'DCA Underwriting Assumptions'!$Q$85/(-12)</f>
        <v>192077.28746064272</v>
      </c>
      <c r="G131" s="3560">
        <v>192077</v>
      </c>
      <c r="H131" s="3561"/>
      <c r="J131" s="971" t="str">
        <f>IF(E131&gt;G131,"WARNING! ODR proposed is below minimum - add comment.","")</f>
        <v/>
      </c>
      <c r="K131" s="380"/>
      <c r="L131" s="380"/>
      <c r="M131" s="380"/>
      <c r="N131" s="380"/>
      <c r="O131" s="1041"/>
      <c r="P131" s="380"/>
      <c r="Q131" s="380"/>
      <c r="R131" s="1041"/>
      <c r="S131" s="3560">
        <f>G131</f>
        <v>192077</v>
      </c>
      <c r="T131" s="3561"/>
      <c r="V131" s="1082"/>
      <c r="W131" s="3689"/>
      <c r="X131" s="3690"/>
      <c r="Y131" s="27"/>
      <c r="Z131" s="1653"/>
      <c r="AB131" s="1632"/>
      <c r="AD131"/>
      <c r="AG131"/>
      <c r="AH131"/>
      <c r="AI131"/>
      <c r="AZ131" s="2661"/>
      <c r="BA131" s="2246">
        <v>131</v>
      </c>
    </row>
    <row r="132" spans="1:53" s="315" customFormat="1" ht="12.5" customHeight="1">
      <c r="B132" s="315" t="s">
        <v>1171</v>
      </c>
      <c r="G132" s="3560"/>
      <c r="H132" s="3561"/>
      <c r="J132" s="381"/>
      <c r="K132" s="381"/>
      <c r="L132" s="381"/>
      <c r="M132" s="381"/>
      <c r="N132" s="381"/>
      <c r="P132" s="381"/>
      <c r="Q132" s="381"/>
      <c r="S132" s="3560"/>
      <c r="T132" s="3561"/>
      <c r="V132" s="1082"/>
      <c r="W132" s="3689"/>
      <c r="X132" s="3690"/>
      <c r="AZ132" s="2661" t="s">
        <v>6396</v>
      </c>
      <c r="BA132" s="2246">
        <v>132</v>
      </c>
    </row>
    <row r="133" spans="1:53" s="315" customFormat="1" ht="12.5" customHeight="1">
      <c r="B133" s="315" t="s">
        <v>1172</v>
      </c>
      <c r="E133" s="840" t="s">
        <v>3140</v>
      </c>
      <c r="F133" s="477">
        <f>IF('Part V-Revenues &amp; Expenses'!$P$67=0,0,G133/'Part V-Revenues &amp; Expenses'!$P$67)</f>
        <v>1500</v>
      </c>
      <c r="G133" s="3560">
        <v>78000</v>
      </c>
      <c r="H133" s="3561"/>
      <c r="J133" s="3572">
        <v>78000</v>
      </c>
      <c r="K133" s="3573"/>
      <c r="L133" s="1050"/>
      <c r="M133" s="3572"/>
      <c r="N133" s="3573"/>
      <c r="P133" s="3572"/>
      <c r="Q133" s="3573"/>
      <c r="S133" s="3560"/>
      <c r="T133" s="3561"/>
      <c r="V133" s="1082"/>
      <c r="W133" s="3689"/>
      <c r="X133" s="3690"/>
      <c r="AZ133" s="2661" t="s">
        <v>6397</v>
      </c>
      <c r="BA133" s="2246">
        <v>133</v>
      </c>
    </row>
    <row r="134" spans="1:53" s="315" customFormat="1" ht="12.5" customHeight="1" thickBot="1">
      <c r="A134" s="396" t="str">
        <f>IF(AND(G134&gt;0,OR(C134="",C134="&lt;Enter detailed description here; use Comments section if needed&gt;")),"X","")</f>
        <v/>
      </c>
      <c r="B134" s="185" t="s">
        <v>6280</v>
      </c>
      <c r="C134" s="3758" t="s">
        <v>6727</v>
      </c>
      <c r="D134" s="3758"/>
      <c r="E134" s="3758"/>
      <c r="F134" s="3759"/>
      <c r="G134" s="3564"/>
      <c r="H134" s="3565"/>
      <c r="J134" s="3761"/>
      <c r="K134" s="3762"/>
      <c r="L134" s="1050"/>
      <c r="M134" s="3564"/>
      <c r="N134" s="3565"/>
      <c r="P134" s="3564"/>
      <c r="Q134" s="3565"/>
      <c r="S134" s="3564"/>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1"/>
      <c r="BA134" s="2246">
        <v>134</v>
      </c>
    </row>
    <row r="135" spans="1:53" s="315" customFormat="1" ht="12.5" customHeight="1" thickTop="1">
      <c r="B135" s="382"/>
      <c r="F135" s="371" t="s">
        <v>184</v>
      </c>
      <c r="G135" s="3675">
        <f>SUM(G129:G134)</f>
        <v>366086</v>
      </c>
      <c r="H135" s="3676"/>
      <c r="J135" s="3675">
        <f>SUM(J133:J134)</f>
        <v>78000</v>
      </c>
      <c r="K135" s="3676"/>
      <c r="L135" s="1050"/>
      <c r="M135" s="3675">
        <f>SUM(M133:M134)</f>
        <v>0</v>
      </c>
      <c r="N135" s="3676"/>
      <c r="P135" s="3675">
        <f>SUM(P133:P134)</f>
        <v>0</v>
      </c>
      <c r="Q135" s="3676"/>
      <c r="S135" s="3675">
        <f>SUM(S129:S134)</f>
        <v>288086</v>
      </c>
      <c r="T135" s="3676"/>
      <c r="V135" s="1084">
        <f>SUM(V129:V134)</f>
        <v>0</v>
      </c>
      <c r="W135" s="3693"/>
      <c r="X135" s="3694"/>
      <c r="AZ135" s="2661"/>
      <c r="BA135" s="2246">
        <v>135</v>
      </c>
    </row>
    <row r="136" spans="1:53" s="315" customFormat="1" ht="3" customHeight="1">
      <c r="I136" s="383"/>
      <c r="L136" s="383"/>
      <c r="V136" s="1085"/>
      <c r="AZ136" s="2661"/>
      <c r="BA136" s="2246">
        <v>136</v>
      </c>
    </row>
    <row r="137" spans="1:53" s="315" customFormat="1" ht="3.5"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52" t="s">
        <v>259</v>
      </c>
      <c r="K139" s="3653"/>
      <c r="L139" s="370"/>
      <c r="M139" s="3767" t="s">
        <v>460</v>
      </c>
      <c r="N139" s="3768"/>
      <c r="P139" s="3652" t="s">
        <v>260</v>
      </c>
      <c r="Q139" s="3653"/>
      <c r="S139" s="3652" t="s">
        <v>261</v>
      </c>
      <c r="T139" s="3653"/>
      <c r="V139" s="450" t="str">
        <f>B139</f>
        <v>DEVELOPMENT BUDGET  (cont'd)</v>
      </c>
      <c r="AZ139" s="2661"/>
      <c r="BA139" s="2246">
        <v>139</v>
      </c>
    </row>
    <row r="140" spans="1:53" s="315" customFormat="1" ht="18" customHeight="1" thickBot="1">
      <c r="G140" s="3773" t="s">
        <v>95</v>
      </c>
      <c r="H140" s="3774"/>
      <c r="J140" s="3654"/>
      <c r="K140" s="3655"/>
      <c r="L140" s="370"/>
      <c r="M140" s="3769"/>
      <c r="N140" s="3770"/>
      <c r="P140" s="3654"/>
      <c r="Q140" s="3655"/>
      <c r="S140" s="3654"/>
      <c r="T140" s="3655"/>
      <c r="V140" s="342" t="s">
        <v>2449</v>
      </c>
      <c r="X140" s="342"/>
      <c r="AZ140" s="2661"/>
      <c r="BA140" s="2246">
        <v>140</v>
      </c>
    </row>
    <row r="141" spans="1:53" s="315" customFormat="1" ht="13.2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5" customHeight="1">
      <c r="B142" s="315" t="s">
        <v>569</v>
      </c>
      <c r="C142" s="1034"/>
      <c r="G142" s="3572">
        <v>190800</v>
      </c>
      <c r="H142" s="3573"/>
      <c r="J142" s="3572">
        <f>G142</f>
        <v>190800</v>
      </c>
      <c r="K142" s="3573"/>
      <c r="L142" s="372"/>
      <c r="M142" s="3572"/>
      <c r="N142" s="3573"/>
      <c r="P142" s="3572"/>
      <c r="Q142" s="3573"/>
      <c r="S142" s="3572"/>
      <c r="T142" s="3573"/>
      <c r="V142" s="1082"/>
      <c r="W142" s="3689"/>
      <c r="X142" s="3690"/>
      <c r="AZ142" s="2661"/>
      <c r="BA142" s="2246">
        <v>142</v>
      </c>
    </row>
    <row r="143" spans="1:53" s="315" customFormat="1" ht="12.5" customHeight="1" thickBot="1">
      <c r="A143" s="396" t="str">
        <f>IF(AND(G143&gt;0,OR(C143="",C143="&lt;Enter detailed description here; use Comments section if needed&gt;")),"X","")</f>
        <v/>
      </c>
      <c r="B143" s="185" t="s">
        <v>6280</v>
      </c>
      <c r="C143" s="3758" t="s">
        <v>6727</v>
      </c>
      <c r="D143" s="3758"/>
      <c r="E143" s="3758"/>
      <c r="F143" s="3759"/>
      <c r="G143" s="3564"/>
      <c r="H143" s="3565"/>
      <c r="J143" s="3564"/>
      <c r="K143" s="3565"/>
      <c r="L143" s="1050"/>
      <c r="M143" s="3564"/>
      <c r="N143" s="3565"/>
      <c r="P143" s="3564"/>
      <c r="Q143" s="3565"/>
      <c r="S143" s="3564"/>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1"/>
      <c r="BA143" s="2246">
        <v>143</v>
      </c>
    </row>
    <row r="144" spans="1:53" s="315" customFormat="1" ht="12.5" customHeight="1" thickTop="1">
      <c r="C144" s="1034"/>
      <c r="F144" s="371" t="s">
        <v>184</v>
      </c>
      <c r="G144" s="3675">
        <f>SUM(G142:G143)</f>
        <v>190800</v>
      </c>
      <c r="H144" s="3676"/>
      <c r="J144" s="3675">
        <f>SUM(J142:J143)</f>
        <v>190800</v>
      </c>
      <c r="K144" s="3676"/>
      <c r="L144" s="1050"/>
      <c r="M144" s="3675">
        <f>SUM(M142:M143)</f>
        <v>0</v>
      </c>
      <c r="N144" s="3676"/>
      <c r="P144" s="3675">
        <f>SUM(P142:P143)</f>
        <v>0</v>
      </c>
      <c r="Q144" s="3676"/>
      <c r="S144" s="3675">
        <f>SUM(S142:S143)</f>
        <v>0</v>
      </c>
      <c r="T144" s="3676"/>
      <c r="V144" s="1084">
        <f>SUM(V142:V143)</f>
        <v>0</v>
      </c>
      <c r="W144" s="3693"/>
      <c r="X144" s="3694"/>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6493</v>
      </c>
      <c r="E146" s="840"/>
      <c r="F146" s="1657"/>
      <c r="G146" s="3660">
        <f>G18+G24+G28+G36+G41+G46+G55+G73+G86+G92+G103+G114+G120+G127+G135+G144</f>
        <v>16513230</v>
      </c>
      <c r="H146" s="3661"/>
      <c r="J146" s="3660">
        <f>J18+J24+J28+J36+J41+J46+J55+J73+J86+J92+J103+J114+J120+J127+J135+J144</f>
        <v>15098409</v>
      </c>
      <c r="K146" s="3661"/>
      <c r="M146" s="3660">
        <f>M18+M24+M28+M36+M41+M46+M55+M73+M86+M92+M103+M114+M120+M127+M135+M144</f>
        <v>0</v>
      </c>
      <c r="N146" s="3661"/>
      <c r="P146" s="3660">
        <f>P18+P24+P28+P36+P41+P46+P55+P73+P86+P92+P103+P114+P120+P127+P135+P144</f>
        <v>0</v>
      </c>
      <c r="Q146" s="3661"/>
      <c r="S146" s="3660">
        <f>S18+S24+S28+S36+S41+S46+S55+S73+S86+S92+S103+S114+S120+S127+S135+S144</f>
        <v>1414821</v>
      </c>
      <c r="T146" s="3661"/>
      <c r="V146" s="1088">
        <f>V18+V24+V28+V36+V41+V46+V55+V73+V86+V92+V103+V114+V120+V127+V135+V144</f>
        <v>0</v>
      </c>
      <c r="W146" s="3695"/>
      <c r="X146" s="3694"/>
      <c r="AZ146" s="2661"/>
      <c r="BA146" s="2246">
        <v>146</v>
      </c>
    </row>
    <row r="147" spans="1:53" s="315" customFormat="1" ht="12" customHeight="1">
      <c r="C147" s="1034"/>
      <c r="H147" s="378"/>
      <c r="I147" s="378"/>
      <c r="L147" s="1041"/>
      <c r="V147" s="1085"/>
      <c r="AZ147" s="2661"/>
      <c r="BA147" s="2246">
        <v>147</v>
      </c>
    </row>
    <row r="148" spans="1:53" s="315" customFormat="1" ht="14" customHeight="1">
      <c r="B148" s="514" t="s">
        <v>2490</v>
      </c>
      <c r="C148" s="512"/>
      <c r="D148" s="3672">
        <f>IF('Part V-Revenues &amp; Expenses'!$P$67=0,0,G146/'Part V-Revenues &amp; Expenses'!$P$67)</f>
        <v>317562.11538461538</v>
      </c>
      <c r="E148" s="3672"/>
      <c r="F148" s="513" t="s">
        <v>2489</v>
      </c>
      <c r="G148" s="3673">
        <f>IF('Part V-Revenues &amp; Expenses'!$K$175=0,0,G146/'Part V-Revenues &amp; Expenses'!$K$175)</f>
        <v>287.76213296157533</v>
      </c>
      <c r="H148" s="367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1"/>
      <c r="BA150" s="2246">
        <v>150</v>
      </c>
    </row>
    <row r="151" spans="1:53" s="315" customFormat="1" ht="15" customHeight="1" thickBot="1">
      <c r="B151" s="321" t="s">
        <v>1895</v>
      </c>
      <c r="D151" s="1050"/>
      <c r="E151" s="1050"/>
      <c r="I151" s="385"/>
      <c r="J151" s="3654"/>
      <c r="K151" s="3655"/>
      <c r="L151" s="862"/>
      <c r="M151" s="3654"/>
      <c r="N151" s="3655"/>
      <c r="P151" s="3654"/>
      <c r="Q151" s="3655"/>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 customHeight="1">
      <c r="B153" s="1034" t="s">
        <v>138</v>
      </c>
      <c r="D153" s="1041"/>
      <c r="E153" s="1041"/>
      <c r="F153" s="1041"/>
      <c r="G153" s="1041"/>
      <c r="H153" s="1041"/>
      <c r="I153" s="385"/>
      <c r="J153" s="3656"/>
      <c r="K153" s="3657"/>
      <c r="P153" s="3656"/>
      <c r="Q153" s="3657"/>
      <c r="V153" s="1082"/>
      <c r="W153" s="3689"/>
      <c r="X153" s="3690"/>
      <c r="AZ153" s="2661"/>
      <c r="BA153" s="2246">
        <v>153</v>
      </c>
    </row>
    <row r="154" spans="1:53" s="315" customFormat="1" ht="14" customHeight="1">
      <c r="B154" s="1041" t="s">
        <v>1999</v>
      </c>
      <c r="D154" s="1041"/>
      <c r="E154" s="1041"/>
      <c r="F154" s="1041"/>
      <c r="G154" s="1041"/>
      <c r="H154" s="1041"/>
      <c r="I154" s="385"/>
      <c r="J154" s="3658"/>
      <c r="K154" s="3659"/>
      <c r="P154" s="3658"/>
      <c r="Q154" s="3659"/>
      <c r="V154" s="1082"/>
      <c r="W154" s="3689"/>
      <c r="X154" s="3690"/>
      <c r="AZ154" s="2661"/>
      <c r="BA154" s="2246">
        <v>154</v>
      </c>
    </row>
    <row r="155" spans="1:53" s="315" customFormat="1" ht="14" customHeight="1">
      <c r="B155" s="1041" t="s">
        <v>1727</v>
      </c>
      <c r="D155" s="1041"/>
      <c r="E155" s="1041"/>
      <c r="I155" s="385"/>
      <c r="J155" s="3658"/>
      <c r="K155" s="3659"/>
      <c r="P155" s="3658"/>
      <c r="Q155" s="3659"/>
      <c r="V155" s="1082"/>
      <c r="W155" s="3689"/>
      <c r="X155" s="3690"/>
      <c r="AZ155" s="2661"/>
      <c r="BA155" s="2246">
        <v>155</v>
      </c>
    </row>
    <row r="156" spans="1:53" s="315" customFormat="1" ht="14" customHeight="1">
      <c r="B156" s="1041" t="s">
        <v>1728</v>
      </c>
      <c r="D156" s="1041"/>
      <c r="E156" s="1041"/>
      <c r="I156" s="385"/>
      <c r="J156" s="3658"/>
      <c r="K156" s="3659"/>
      <c r="P156" s="3658"/>
      <c r="Q156" s="3659"/>
      <c r="V156" s="1082"/>
      <c r="W156" s="3689"/>
      <c r="X156" s="3690"/>
      <c r="AZ156" s="2661"/>
      <c r="BA156" s="2246">
        <v>156</v>
      </c>
    </row>
    <row r="157" spans="1:53" s="315" customFormat="1" ht="14" customHeight="1">
      <c r="B157" s="1041" t="s">
        <v>243</v>
      </c>
      <c r="D157" s="1041"/>
      <c r="E157" s="1041"/>
      <c r="I157" s="385"/>
      <c r="J157" s="3658"/>
      <c r="K157" s="3659"/>
      <c r="P157" s="3658"/>
      <c r="Q157" s="3659"/>
      <c r="V157" s="1082"/>
      <c r="W157" s="3689"/>
      <c r="X157" s="3690"/>
      <c r="AZ157" s="2661"/>
      <c r="BA157" s="2246">
        <v>157</v>
      </c>
    </row>
    <row r="158" spans="1:53" s="315" customFormat="1" ht="14" customHeight="1" thickBot="1">
      <c r="B158" s="1041" t="s">
        <v>1497</v>
      </c>
      <c r="C158" s="3643" t="s">
        <v>2225</v>
      </c>
      <c r="D158" s="3643"/>
      <c r="E158" s="3643"/>
      <c r="F158" s="3643"/>
      <c r="G158" s="3643"/>
      <c r="H158" s="3643"/>
      <c r="I158" s="3644"/>
      <c r="J158" s="3756"/>
      <c r="K158" s="3757"/>
      <c r="P158" s="3756"/>
      <c r="Q158" s="3757"/>
      <c r="V158" s="1082"/>
      <c r="W158" s="3691"/>
      <c r="X158" s="3692"/>
      <c r="AZ158" s="2661"/>
      <c r="BA158" s="2246">
        <v>158</v>
      </c>
    </row>
    <row r="159" spans="1:53" s="315" customFormat="1" ht="14" customHeight="1" thickBot="1">
      <c r="B159" s="326" t="s">
        <v>1729</v>
      </c>
      <c r="C159" s="329"/>
      <c r="J159" s="3510">
        <f>SUM(J153:K158)</f>
        <v>0</v>
      </c>
      <c r="K159" s="3511"/>
      <c r="P159" s="3510">
        <f>SUM(P153:Q158)</f>
        <v>0</v>
      </c>
      <c r="Q159" s="3511"/>
      <c r="V159" s="1084">
        <f>SUM(V153:V158)</f>
        <v>0</v>
      </c>
      <c r="W159" s="3693"/>
      <c r="X159" s="3694"/>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 customHeight="1">
      <c r="B162" s="315" t="s">
        <v>1666</v>
      </c>
      <c r="J162" s="3718">
        <f>J146</f>
        <v>15098409</v>
      </c>
      <c r="K162" s="3720"/>
      <c r="M162" s="3811">
        <f>M146</f>
        <v>0</v>
      </c>
      <c r="N162" s="3812"/>
      <c r="P162" s="3718">
        <f>P146</f>
        <v>0</v>
      </c>
      <c r="Q162" s="3720"/>
      <c r="R162" s="3678" t="s">
        <v>3774</v>
      </c>
      <c r="S162" s="3679"/>
      <c r="T162" s="3679"/>
      <c r="V162" s="1082"/>
      <c r="W162" s="3689"/>
      <c r="X162" s="3690"/>
      <c r="AZ162" s="2661"/>
      <c r="BA162" s="2246">
        <v>162</v>
      </c>
    </row>
    <row r="163" spans="1:53" s="315" customFormat="1" ht="14" customHeight="1">
      <c r="B163" s="315" t="s">
        <v>2053</v>
      </c>
      <c r="J163" s="3721">
        <f>J159</f>
        <v>0</v>
      </c>
      <c r="K163" s="3723"/>
      <c r="M163" s="3731"/>
      <c r="N163" s="3731"/>
      <c r="P163" s="3721">
        <f>P159</f>
        <v>0</v>
      </c>
      <c r="Q163" s="3723"/>
      <c r="R163" s="3678"/>
      <c r="S163" s="3679"/>
      <c r="T163" s="3679"/>
      <c r="U163" s="1476"/>
      <c r="V163" s="1082"/>
      <c r="W163" s="3689"/>
      <c r="X163" s="3690"/>
      <c r="AZ163" s="2661"/>
      <c r="BA163" s="2246">
        <v>163</v>
      </c>
    </row>
    <row r="164" spans="1:53" s="315" customFormat="1" ht="14" customHeight="1">
      <c r="B164" s="315" t="s">
        <v>2054</v>
      </c>
      <c r="J164" s="3721">
        <f>J162-J163</f>
        <v>15098409</v>
      </c>
      <c r="K164" s="3723"/>
      <c r="M164" s="3730">
        <f>M162</f>
        <v>0</v>
      </c>
      <c r="N164" s="3732"/>
      <c r="P164" s="3721">
        <f>P162-P163</f>
        <v>0</v>
      </c>
      <c r="Q164" s="3723"/>
      <c r="R164" s="3678"/>
      <c r="S164" s="3679"/>
      <c r="T164" s="3679"/>
      <c r="U164" s="1476"/>
      <c r="V164" s="1082"/>
      <c r="W164" s="3689"/>
      <c r="X164" s="3690"/>
      <c r="AZ164" s="2661"/>
      <c r="BA164" s="2246">
        <v>164</v>
      </c>
    </row>
    <row r="165" spans="1:53" s="315" customFormat="1" ht="14" customHeight="1">
      <c r="B165" s="315" t="s">
        <v>1391</v>
      </c>
      <c r="G165" s="1036" t="s">
        <v>1594</v>
      </c>
      <c r="H165" s="3737" t="s">
        <v>1647</v>
      </c>
      <c r="I165" s="3738"/>
      <c r="J165" s="3739">
        <v>1</v>
      </c>
      <c r="K165" s="3740"/>
      <c r="M165" s="3741"/>
      <c r="N165" s="3741"/>
      <c r="P165" s="3739"/>
      <c r="Q165" s="3740"/>
      <c r="R165" s="3680" t="s">
        <v>6990</v>
      </c>
      <c r="S165" s="3681"/>
      <c r="T165" s="3682"/>
      <c r="U165" s="1477"/>
      <c r="V165" s="1082"/>
      <c r="W165" s="3689"/>
      <c r="X165" s="3690"/>
      <c r="AZ165" s="2661"/>
      <c r="BA165" s="2246">
        <v>165</v>
      </c>
    </row>
    <row r="166" spans="1:53" s="315" customFormat="1" ht="14" customHeight="1">
      <c r="B166" s="315" t="s">
        <v>1904</v>
      </c>
      <c r="J166" s="3721">
        <f>J164*J165</f>
        <v>15098409</v>
      </c>
      <c r="K166" s="3723"/>
      <c r="M166" s="3718">
        <f>+M164</f>
        <v>0</v>
      </c>
      <c r="N166" s="3720"/>
      <c r="P166" s="3721">
        <f>P164*P165</f>
        <v>0</v>
      </c>
      <c r="Q166" s="3723"/>
      <c r="R166" s="3683"/>
      <c r="S166" s="3684"/>
      <c r="T166" s="3685"/>
      <c r="U166" s="1477"/>
      <c r="V166" s="1082"/>
      <c r="W166" s="3689"/>
      <c r="X166" s="3690"/>
      <c r="AZ166" s="2661"/>
      <c r="BA166" s="2246">
        <v>166</v>
      </c>
    </row>
    <row r="167" spans="1:53" s="315" customFormat="1" ht="14" customHeight="1">
      <c r="B167" s="315" t="s">
        <v>2340</v>
      </c>
      <c r="J167" s="3742">
        <f>MIN('Part V-Revenues &amp; Expenses'!$P$63/'Part V-Revenues &amp; Expenses'!$P$65,'Part V-Revenues &amp; Expenses'!$P$164/'Part V-Revenues &amp; Expenses'!$P$166)</f>
        <v>1</v>
      </c>
      <c r="K167" s="3743"/>
      <c r="M167" s="3742">
        <f>MIN('Part V-Revenues &amp; Expenses'!$P$63/'Part V-Revenues &amp; Expenses'!$P$65,'Part V-Revenues &amp; Expenses'!$P$164/'Part V-Revenues &amp; Expenses'!$P$166)</f>
        <v>1</v>
      </c>
      <c r="N167" s="3743"/>
      <c r="P167" s="3742">
        <f>MIN('Part V-Revenues &amp; Expenses'!$P$63/'Part V-Revenues &amp; Expenses'!$P$65,'Part V-Revenues &amp; Expenses'!$P$164/'Part V-Revenues &amp; Expenses'!$P$166)</f>
        <v>1</v>
      </c>
      <c r="Q167" s="3743"/>
      <c r="R167" s="3686"/>
      <c r="S167" s="3687"/>
      <c r="T167" s="3688"/>
      <c r="V167" s="1082"/>
      <c r="W167" s="3689"/>
      <c r="X167" s="3690"/>
      <c r="AZ167" s="2661"/>
      <c r="BA167" s="2246">
        <v>167</v>
      </c>
    </row>
    <row r="168" spans="1:53" s="315" customFormat="1" ht="14" customHeight="1">
      <c r="B168" s="315" t="s">
        <v>1896</v>
      </c>
      <c r="J168" s="3721">
        <f>J166*J167</f>
        <v>15098409</v>
      </c>
      <c r="K168" s="3723"/>
      <c r="M168" s="3721">
        <f>M166*M167</f>
        <v>0</v>
      </c>
      <c r="N168" s="3723"/>
      <c r="P168" s="3721">
        <f>P166*P167</f>
        <v>0</v>
      </c>
      <c r="Q168" s="3723"/>
      <c r="V168" s="1082"/>
      <c r="W168" s="3689"/>
      <c r="X168" s="3690"/>
      <c r="AZ168" s="2661"/>
      <c r="BA168" s="2246">
        <v>168</v>
      </c>
    </row>
    <row r="169" spans="1:53" s="315" customFormat="1" ht="14" customHeight="1">
      <c r="B169" s="315" t="s">
        <v>1897</v>
      </c>
      <c r="J169" s="3739">
        <v>0.09</v>
      </c>
      <c r="K169" s="3740"/>
      <c r="M169" s="3739"/>
      <c r="N169" s="3740"/>
      <c r="P169" s="3739"/>
      <c r="Q169" s="3740"/>
      <c r="V169" s="1082"/>
      <c r="W169" s="3689"/>
      <c r="X169" s="3690"/>
      <c r="AZ169" s="2661"/>
      <c r="BA169" s="2246">
        <v>169</v>
      </c>
    </row>
    <row r="170" spans="1:53" s="315" customFormat="1" ht="14" customHeight="1" thickBot="1">
      <c r="B170" s="315" t="s">
        <v>2341</v>
      </c>
      <c r="J170" s="3744">
        <f>J168*J169</f>
        <v>1358856.81</v>
      </c>
      <c r="K170" s="3745"/>
      <c r="M170" s="3744">
        <f>M168*M169</f>
        <v>0</v>
      </c>
      <c r="N170" s="3745"/>
      <c r="P170" s="3744">
        <f>P168*P169</f>
        <v>0</v>
      </c>
      <c r="Q170" s="3745"/>
      <c r="V170" s="1089"/>
      <c r="W170" s="3691"/>
      <c r="X170" s="3692"/>
      <c r="AZ170" s="2661"/>
      <c r="BA170" s="2246">
        <v>170</v>
      </c>
    </row>
    <row r="171" spans="1:53" s="315" customFormat="1" ht="14" customHeight="1" thickBot="1">
      <c r="B171" s="317" t="s">
        <v>1340</v>
      </c>
      <c r="J171" s="3510">
        <f>ROUNDDOWN(J170+M170+P170,0)</f>
        <v>1358856</v>
      </c>
      <c r="K171" s="3710"/>
      <c r="L171" s="3710"/>
      <c r="M171" s="3710"/>
      <c r="N171" s="3710"/>
      <c r="O171" s="3710"/>
      <c r="P171" s="3710"/>
      <c r="Q171" s="3511"/>
      <c r="V171" s="1084"/>
      <c r="W171" s="3696"/>
      <c r="X171" s="3697"/>
      <c r="AZ171" s="2661"/>
      <c r="BA171" s="2246">
        <v>171</v>
      </c>
    </row>
    <row r="172" spans="1:53" s="315" customFormat="1" ht="6" customHeight="1">
      <c r="B172" s="386"/>
      <c r="L172" s="387"/>
      <c r="M172" s="387"/>
      <c r="N172" s="387"/>
      <c r="O172" s="387"/>
      <c r="V172" s="1085"/>
      <c r="AZ172" s="2661"/>
      <c r="BA172" s="2246">
        <v>172</v>
      </c>
    </row>
    <row r="173" spans="1:53" s="315" customFormat="1" ht="14"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6"/>
      <c r="P174" s="3746"/>
      <c r="Q174" s="3746"/>
      <c r="R174" s="3746"/>
      <c r="S174" s="3746"/>
      <c r="T174" s="3746"/>
      <c r="U174" s="3746"/>
      <c r="V174" s="3746"/>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3937</v>
      </c>
      <c r="C176" s="1661"/>
      <c r="J176" s="3718">
        <f>G146</f>
        <v>16513230</v>
      </c>
      <c r="K176" s="3719"/>
      <c r="L176" s="3720"/>
      <c r="N176" s="3748" t="s">
        <v>6722</v>
      </c>
      <c r="O176" s="3749"/>
      <c r="P176" s="3749"/>
      <c r="Q176" s="3750"/>
      <c r="S176" s="3714" t="s">
        <v>3190</v>
      </c>
      <c r="T176" s="3715"/>
      <c r="V176" s="1082"/>
      <c r="W176" s="3689"/>
      <c r="X176" s="3690"/>
      <c r="AZ176" s="2661"/>
      <c r="BA176" s="2246">
        <v>176</v>
      </c>
    </row>
    <row r="177" spans="1:53" s="315" customFormat="1" ht="14" customHeight="1">
      <c r="B177" s="315" t="s">
        <v>252</v>
      </c>
      <c r="J177" s="3721">
        <f>'Part II-Sources of Funds'!$I$60-'Part II-Sources of Funds'!$I$44-'Part II-Sources of Funds'!$I$45-'Part II-Sources of Funds'!$I$51-'Part II-Sources of Funds'!$I$52</f>
        <v>1320000</v>
      </c>
      <c r="K177" s="3722"/>
      <c r="L177" s="3723"/>
      <c r="M177" s="2663"/>
      <c r="N177" s="3751"/>
      <c r="O177" s="3679"/>
      <c r="P177" s="3679"/>
      <c r="Q177" s="3752"/>
      <c r="S177" s="3716"/>
      <c r="T177" s="3717"/>
      <c r="V177" s="1082"/>
      <c r="W177" s="3689"/>
      <c r="X177" s="3690"/>
      <c r="AZ177" s="2661"/>
      <c r="BA177" s="2246">
        <v>177</v>
      </c>
    </row>
    <row r="178" spans="1:53" s="315" customFormat="1" ht="14" customHeight="1">
      <c r="B178" s="315" t="s">
        <v>2065</v>
      </c>
      <c r="J178" s="3724">
        <f>+J176-J177</f>
        <v>15193230</v>
      </c>
      <c r="K178" s="3725"/>
      <c r="L178" s="3726"/>
      <c r="M178" s="2663"/>
      <c r="N178" s="3753"/>
      <c r="O178" s="3754"/>
      <c r="P178" s="3754"/>
      <c r="Q178" s="3755"/>
      <c r="S178" s="3716"/>
      <c r="T178" s="3717"/>
      <c r="V178" s="1082"/>
      <c r="W178" s="3689"/>
      <c r="X178" s="3690"/>
      <c r="AZ178" s="2661"/>
      <c r="BA178" s="2246">
        <v>178</v>
      </c>
    </row>
    <row r="179" spans="1:53" s="315" customFormat="1" ht="14" customHeight="1" thickBot="1">
      <c r="B179" s="315" t="s">
        <v>1210</v>
      </c>
      <c r="J179" s="3535" t="str">
        <f>"/ 10"</f>
        <v>/ 10</v>
      </c>
      <c r="K179" s="3535"/>
      <c r="L179" s="3535"/>
      <c r="M179" s="1070"/>
      <c r="N179" s="3727">
        <f>'Part II-Sources of Funds'!$I$44</f>
        <v>0</v>
      </c>
      <c r="O179" s="3728"/>
      <c r="P179" s="3728"/>
      <c r="Q179" s="3729"/>
      <c r="S179" s="432" t="s">
        <v>1549</v>
      </c>
      <c r="T179" s="433" t="s">
        <v>2654</v>
      </c>
      <c r="V179" s="1082"/>
      <c r="W179" s="3689"/>
      <c r="X179" s="3690"/>
      <c r="AZ179" s="2661"/>
      <c r="BA179" s="2246">
        <v>179</v>
      </c>
    </row>
    <row r="180" spans="1:53" s="315" customFormat="1" ht="14" customHeight="1">
      <c r="B180" s="315" t="s">
        <v>1211</v>
      </c>
      <c r="J180" s="3730">
        <f>J178/10</f>
        <v>1519323</v>
      </c>
      <c r="K180" s="3731"/>
      <c r="L180" s="3732"/>
      <c r="M180" s="2615"/>
      <c r="N180" s="487"/>
      <c r="O180" s="487"/>
      <c r="P180" s="487"/>
      <c r="Q180" s="487"/>
      <c r="R180" s="487"/>
      <c r="V180" s="1082"/>
      <c r="W180" s="3689"/>
      <c r="X180" s="3690"/>
      <c r="AZ180" s="2661"/>
      <c r="BA180" s="2246">
        <v>180</v>
      </c>
    </row>
    <row r="181" spans="1:53" s="315" customFormat="1" ht="14" customHeight="1">
      <c r="M181" s="332"/>
      <c r="N181" s="3549" t="s">
        <v>1212</v>
      </c>
      <c r="O181" s="3549"/>
      <c r="Q181" s="3549" t="s">
        <v>1672</v>
      </c>
      <c r="R181" s="3549"/>
      <c r="V181" s="1082"/>
      <c r="W181" s="3689"/>
      <c r="X181" s="3690"/>
      <c r="Z181" s="2401" t="s">
        <v>1647</v>
      </c>
      <c r="AZ181" s="2661"/>
      <c r="BA181" s="2246">
        <v>181</v>
      </c>
    </row>
    <row r="182" spans="1:53" s="315" customFormat="1" ht="14" customHeight="1" thickBot="1">
      <c r="B182" s="315" t="s">
        <v>1390</v>
      </c>
      <c r="J182" s="3705">
        <f>N182+Q182</f>
        <v>1.46</v>
      </c>
      <c r="K182" s="3706"/>
      <c r="L182" s="3707"/>
      <c r="M182" s="1036" t="s">
        <v>1213</v>
      </c>
      <c r="N182" s="3708">
        <v>0.89</v>
      </c>
      <c r="O182" s="3709"/>
      <c r="P182" s="1036" t="s">
        <v>570</v>
      </c>
      <c r="Q182" s="3708">
        <v>0.56999999999999995</v>
      </c>
      <c r="R182" s="3709"/>
      <c r="V182" s="1082"/>
      <c r="W182" s="3689"/>
      <c r="X182" s="3690"/>
      <c r="Z182" s="2402">
        <f>'DCA Underwriting Assumptions'!Q113</f>
        <v>1035000</v>
      </c>
      <c r="AZ182" s="2661"/>
      <c r="BA182" s="2246">
        <v>182</v>
      </c>
    </row>
    <row r="183" spans="1:53" s="315" customFormat="1" ht="14" customHeight="1" thickBot="1">
      <c r="B183" s="317" t="s">
        <v>1341</v>
      </c>
      <c r="J183" s="3510">
        <f>ROUNDDOWN(IF(J182=0,"",J180/J182),0)</f>
        <v>1040632</v>
      </c>
      <c r="K183" s="3710"/>
      <c r="L183" s="3511"/>
      <c r="M183" s="332"/>
      <c r="N183" s="1041"/>
      <c r="O183" s="1041"/>
      <c r="V183" s="1082"/>
      <c r="W183" s="3689"/>
      <c r="X183" s="369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 customHeight="1">
      <c r="A185" s="450" t="s">
        <v>1667</v>
      </c>
      <c r="B185" s="450" t="s">
        <v>3936</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25" customHeight="1">
      <c r="B187" s="317" t="s">
        <v>6721</v>
      </c>
      <c r="J187" s="3711">
        <v>1035000</v>
      </c>
      <c r="K187" s="3712"/>
      <c r="L187" s="3713"/>
      <c r="Q187" s="2172" t="s">
        <v>6252</v>
      </c>
      <c r="R187" s="185"/>
      <c r="S187" s="3809" t="str">
        <f>'Part VIII Scoring Criteria'!$M$59</f>
        <v>Rural</v>
      </c>
      <c r="T187" s="3810"/>
      <c r="U187" s="2111" t="str">
        <f>IF(OR(S187="Atlanta Metro", "Other Metro"), "Metro", IF(S187="Rural","Rural",""))</f>
        <v>Rural</v>
      </c>
      <c r="V187" s="1082"/>
      <c r="W187" s="3689"/>
      <c r="X187" s="369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25" customHeight="1">
      <c r="B189" s="317" t="s">
        <v>4076</v>
      </c>
      <c r="J189" s="3711">
        <v>1035000</v>
      </c>
      <c r="K189" s="3712"/>
      <c r="L189" s="3713"/>
      <c r="M189" s="3747" t="str">
        <f>IF(J187=0,"",IF(J189&gt;J187,"Request can't exceed Maximum - REVISE (Try Round Down)!",""))</f>
        <v/>
      </c>
      <c r="N189" s="3747"/>
      <c r="O189" s="3747"/>
      <c r="P189" s="3747"/>
      <c r="Q189" s="313" t="s">
        <v>6549</v>
      </c>
      <c r="R189" s="509"/>
      <c r="S189" s="3807" t="str">
        <f>'Part VIII Scoring Criteria'!$M$54</f>
        <v>New Supply</v>
      </c>
      <c r="T189" s="3808"/>
      <c r="V189" s="1082"/>
      <c r="W189" s="3689"/>
      <c r="X189" s="3690"/>
      <c r="AZ189" s="2660"/>
      <c r="BA189" s="2246">
        <v>189</v>
      </c>
    </row>
    <row r="190" spans="1:53" s="315" customFormat="1" ht="3" customHeight="1">
      <c r="J190" s="388"/>
      <c r="K190" s="388"/>
      <c r="L190" s="388"/>
      <c r="M190" s="3747"/>
      <c r="N190" s="3747"/>
      <c r="O190" s="3747"/>
      <c r="P190" s="3747"/>
      <c r="Q190" s="185"/>
      <c r="R190" s="509"/>
      <c r="S190" s="489"/>
      <c r="T190" s="489"/>
      <c r="V190" s="1085"/>
      <c r="W190" s="1080"/>
      <c r="X190" s="1081"/>
      <c r="AZ190" s="2660"/>
      <c r="BA190" s="2246">
        <v>190</v>
      </c>
    </row>
    <row r="191" spans="1:53" s="315" customFormat="1" ht="16.25" customHeight="1">
      <c r="A191" s="450"/>
      <c r="B191" s="450" t="s">
        <v>4077</v>
      </c>
      <c r="D191" s="332"/>
      <c r="E191" s="332"/>
      <c r="F191" s="320"/>
      <c r="J191" s="3733">
        <f>IF(J189="",0,+MIN(J187,J189))</f>
        <v>1035000</v>
      </c>
      <c r="K191" s="3734"/>
      <c r="L191" s="3735"/>
      <c r="M191" s="3747"/>
      <c r="N191" s="3747"/>
      <c r="O191" s="3747"/>
      <c r="P191" s="3747"/>
      <c r="Q191" s="305" t="s">
        <v>3928</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0" t="s">
        <v>6992</v>
      </c>
      <c r="B195" s="3490"/>
      <c r="C195" s="3490"/>
      <c r="D195" s="3490"/>
      <c r="E195" s="3490"/>
      <c r="F195" s="3490"/>
      <c r="G195" s="3490"/>
      <c r="H195" s="3490"/>
      <c r="I195" s="3490"/>
      <c r="J195" s="3490"/>
      <c r="K195" s="3490"/>
      <c r="L195" s="3490"/>
      <c r="M195" s="3490"/>
      <c r="N195" s="3736"/>
      <c r="O195" s="3736"/>
      <c r="P195" s="3736"/>
      <c r="Q195" s="3736"/>
      <c r="R195" s="3736"/>
      <c r="S195" s="3736"/>
      <c r="T195" s="3736"/>
      <c r="V195" s="954"/>
      <c r="W195" s="3488" t="s">
        <v>2453</v>
      </c>
      <c r="X195" s="3488"/>
      <c r="AZ195" s="2661"/>
      <c r="BA195" s="2246">
        <v>195</v>
      </c>
    </row>
    <row r="196" spans="1:53" ht="11.25" customHeight="1">
      <c r="AZ196" s="2661"/>
      <c r="BA196" s="2295"/>
    </row>
    <row r="197" spans="1:53" ht="12" customHeight="1">
      <c r="BA197" s="2295"/>
    </row>
    <row r="198" spans="1:53" ht="12" customHeight="1">
      <c r="AZ198" s="2661"/>
    </row>
    <row r="199" spans="1:53" ht="14.5" customHeight="1">
      <c r="BA199" s="2295"/>
    </row>
    <row r="200" spans="1:53" s="315" customFormat="1" ht="14.5" customHeight="1">
      <c r="AZ200" s="2661"/>
      <c r="BA200" s="2296"/>
    </row>
    <row r="201" spans="1:53" s="315" customFormat="1" ht="14.5" customHeight="1">
      <c r="AZ201" s="2661"/>
      <c r="BA201" s="2295"/>
    </row>
    <row r="202" spans="1:53" s="315" customFormat="1" ht="14.5" customHeight="1">
      <c r="AZ202" s="2661"/>
      <c r="BA202" s="2295"/>
    </row>
    <row r="203" spans="1:53" ht="14.5" customHeight="1">
      <c r="AZ203" s="2661"/>
      <c r="BA203" s="2295"/>
    </row>
    <row r="204" spans="1:53" s="315" customFormat="1" ht="14.5" customHeight="1">
      <c r="A204" s="321"/>
      <c r="AZ204" s="2661"/>
      <c r="BA204" s="2295"/>
    </row>
    <row r="205" spans="1:53" ht="14.5" customHeight="1">
      <c r="AZ205" s="2661"/>
      <c r="BA205" s="2295"/>
    </row>
    <row r="206" spans="1:53" s="315" customFormat="1" ht="14.5" customHeight="1">
      <c r="AZ206" s="2661"/>
      <c r="BA206" s="2295"/>
    </row>
    <row r="207" spans="1:53" s="315" customFormat="1" ht="14.5" customHeight="1">
      <c r="A207" s="321"/>
      <c r="AZ207" s="2661"/>
      <c r="BA207" s="2295"/>
    </row>
    <row r="208" spans="1:53" s="315" customFormat="1" ht="14.5" customHeight="1">
      <c r="A208" s="495"/>
      <c r="AZ208" s="2661"/>
      <c r="BA208" s="2295"/>
    </row>
    <row r="209" spans="1:53" s="315" customFormat="1" ht="14.5" customHeight="1">
      <c r="AZ209" s="2660"/>
      <c r="BA209" s="2295"/>
    </row>
    <row r="210" spans="1:53" s="315" customFormat="1" ht="14.5" customHeight="1">
      <c r="A210" s="344"/>
      <c r="AZ210" s="2660"/>
      <c r="BA210" s="2296"/>
    </row>
    <row r="211" spans="1:53" s="315" customFormat="1" ht="14.5" customHeight="1">
      <c r="A211" s="344"/>
      <c r="AZ211" s="2660"/>
      <c r="BA211" s="2296"/>
    </row>
    <row r="212" spans="1:53" s="315" customFormat="1" ht="14.5" customHeight="1">
      <c r="A212" s="344"/>
      <c r="AZ212" s="2660"/>
      <c r="BA212" s="2296"/>
    </row>
    <row r="213" spans="1:53" s="315" customFormat="1" ht="14.5" customHeight="1">
      <c r="AZ213" s="2660"/>
      <c r="BA213" s="2296"/>
    </row>
    <row r="214" spans="1:53" s="315" customFormat="1" ht="14.5" customHeight="1">
      <c r="AZ214" s="2660"/>
      <c r="BA214" s="2296"/>
    </row>
    <row r="215" spans="1:53" ht="14.5" customHeight="1"/>
    <row r="216" spans="1:53" ht="14.5" customHeight="1"/>
    <row r="217" spans="1:53" ht="14.5" customHeight="1">
      <c r="AZ217" s="2661"/>
    </row>
    <row r="218" spans="1:53" ht="14.5" customHeight="1">
      <c r="BA218" s="2295"/>
    </row>
    <row r="219" spans="1:53" ht="14.5" customHeight="1"/>
    <row r="220" spans="1:53" ht="14.5" customHeight="1"/>
    <row r="221" spans="1:53" ht="14.5" customHeight="1"/>
    <row r="222" spans="1:53" ht="14.5" customHeight="1"/>
    <row r="223" spans="1:53" s="315" customFormat="1" ht="14.5" customHeight="1">
      <c r="AZ223" s="2660"/>
      <c r="BA223" s="2296"/>
    </row>
    <row r="224" spans="1:53" ht="14.5" customHeight="1"/>
    <row r="225" spans="10:12" ht="14.5" customHeight="1"/>
    <row r="226" spans="10:12" ht="14.5" customHeight="1"/>
    <row r="227" spans="10:12" ht="14.5" customHeight="1"/>
    <row r="228" spans="10:12" ht="14.5" customHeight="1"/>
    <row r="229" spans="10:12" ht="14.5" customHeight="1"/>
    <row r="230" spans="10:12" ht="14.5" customHeight="1"/>
    <row r="231" spans="10:12" ht="14.5" customHeight="1"/>
    <row r="232" spans="10:12" ht="14.5" customHeight="1"/>
    <row r="233" spans="10:12" ht="14.5" customHeight="1"/>
    <row r="234" spans="10:12" ht="14.5" customHeight="1"/>
    <row r="235" spans="10:12" ht="14.5" customHeight="1"/>
    <row r="236" spans="10:12" ht="14.5" customHeight="1">
      <c r="K236" s="324"/>
      <c r="L236" s="324"/>
    </row>
    <row r="237" spans="10:12" ht="14.5" customHeight="1">
      <c r="J237" s="1577"/>
      <c r="K237" s="2219"/>
      <c r="L237" s="2194"/>
    </row>
    <row r="238" spans="10:12" ht="1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5">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S142:T142"/>
    <mergeCell ref="P144:Q144"/>
    <mergeCell ref="S144:T144"/>
    <mergeCell ref="W143:X143"/>
    <mergeCell ref="S143:T143"/>
    <mergeCell ref="P126:Q126"/>
    <mergeCell ref="S126:T126"/>
    <mergeCell ref="W119:X119"/>
    <mergeCell ref="G79:H79"/>
    <mergeCell ref="J79:K79"/>
    <mergeCell ref="G140:H140"/>
    <mergeCell ref="I109:R110"/>
    <mergeCell ref="M79:N79"/>
    <mergeCell ref="G80:H80"/>
    <mergeCell ref="J80:K80"/>
    <mergeCell ref="M80:N80"/>
    <mergeCell ref="G92:H92"/>
    <mergeCell ref="J92:K92"/>
    <mergeCell ref="M92:N92"/>
    <mergeCell ref="P92:Q92"/>
    <mergeCell ref="S92:T92"/>
    <mergeCell ref="G86:H86"/>
    <mergeCell ref="J86:K86"/>
    <mergeCell ref="M86:N86"/>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P76:Q76"/>
    <mergeCell ref="S76:T76"/>
    <mergeCell ref="P77:Q77"/>
    <mergeCell ref="S77:T77"/>
    <mergeCell ref="P78:Q78"/>
    <mergeCell ref="S78:T78"/>
    <mergeCell ref="P82:Q82"/>
    <mergeCell ref="S82:T82"/>
    <mergeCell ref="P81:Q81"/>
    <mergeCell ref="S81:T81"/>
    <mergeCell ref="P79:Q79"/>
    <mergeCell ref="S79:T79"/>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W122:X122"/>
    <mergeCell ref="W124:X124"/>
    <mergeCell ref="W123:X123"/>
    <mergeCell ref="W129:X129"/>
    <mergeCell ref="W130:X130"/>
    <mergeCell ref="W133:X133"/>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S99:T99"/>
    <mergeCell ref="P98:Q98"/>
    <mergeCell ref="S98:T98"/>
    <mergeCell ref="G99:H99"/>
    <mergeCell ref="J99:K99"/>
    <mergeCell ref="M99:N99"/>
    <mergeCell ref="P99:Q99"/>
    <mergeCell ref="G98:H98"/>
    <mergeCell ref="J98:K98"/>
    <mergeCell ref="M98:N98"/>
    <mergeCell ref="S97:T97"/>
    <mergeCell ref="G95:H95"/>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0:H100"/>
    <mergeCell ref="J100:K100"/>
    <mergeCell ref="M100:N100"/>
    <mergeCell ref="P100:Q100"/>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W98:X98"/>
    <mergeCell ref="P94:Q95"/>
    <mergeCell ref="S94:T95"/>
    <mergeCell ref="G103:H103"/>
    <mergeCell ref="J103:K103"/>
    <mergeCell ref="M103:N103"/>
    <mergeCell ref="P103:Q103"/>
    <mergeCell ref="S103:T103"/>
    <mergeCell ref="W102:X102"/>
    <mergeCell ref="G97:H97"/>
    <mergeCell ref="J97:K97"/>
    <mergeCell ref="M97:N97"/>
    <mergeCell ref="P97:Q97"/>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56:X59"/>
    <mergeCell ref="W30:X30"/>
    <mergeCell ref="W31:X31"/>
    <mergeCell ref="W32:X32"/>
    <mergeCell ref="W55:X55"/>
    <mergeCell ref="W168:X168"/>
    <mergeCell ref="W171:X171"/>
    <mergeCell ref="W177:X177"/>
    <mergeCell ref="W176:X176"/>
    <mergeCell ref="W179:X179"/>
    <mergeCell ref="W178:X178"/>
    <mergeCell ref="W114:X114"/>
    <mergeCell ref="W16:X16"/>
    <mergeCell ref="W15:X15"/>
    <mergeCell ref="W88:X88"/>
    <mergeCell ref="W75:X75"/>
    <mergeCell ref="W64:X64"/>
    <mergeCell ref="W65:X65"/>
    <mergeCell ref="W66:X66"/>
    <mergeCell ref="W67:X67"/>
    <mergeCell ref="W68:X68"/>
    <mergeCell ref="W69:X69"/>
    <mergeCell ref="W157:X157"/>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118:X118"/>
    <mergeCell ref="W89:X89"/>
    <mergeCell ref="W91:X91"/>
    <mergeCell ref="W92:X92"/>
    <mergeCell ref="W72:X72"/>
    <mergeCell ref="W90:X90"/>
    <mergeCell ref="W116:X116"/>
    <mergeCell ref="W117:X117"/>
    <mergeCell ref="W73:X73"/>
    <mergeCell ref="W76:X76"/>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54" sqref="F54:F58"/>
    </sheetView>
  </sheetViews>
  <sheetFormatPr baseColWidth="10" defaultColWidth="9.1640625" defaultRowHeight="13"/>
  <cols>
    <col min="1" max="1" width="7.1640625" style="562" customWidth="1"/>
    <col min="2" max="2" width="12.83203125" style="562" customWidth="1"/>
    <col min="3" max="3" width="7.83203125" style="562" customWidth="1"/>
    <col min="4" max="4" width="12.83203125" style="562" customWidth="1"/>
    <col min="5" max="5" width="0.83203125" style="562" customWidth="1"/>
    <col min="6" max="6" width="46.83203125" style="562" customWidth="1"/>
    <col min="7" max="7" width="0.83203125" style="562" customWidth="1"/>
    <col min="8" max="8" width="46.83203125" style="562" customWidth="1"/>
    <col min="9" max="16384" width="9.1640625" style="562"/>
  </cols>
  <sheetData>
    <row r="1" spans="1:14" ht="16">
      <c r="A1" s="3828" t="str">
        <f>CONCATENATE("PART THREE (B) -  OTHER COSTS","  -  ",'Part I-Project Identification'!$O$7," - ",'Part I-Project Identification'!$F$29,"  -  ",'Part I-Project Identification'!$F$30,"  -  ",'Part I-Project Identification'!$J$30,",  ","County")</f>
        <v>PART THREE (B) -  OTHER COSTS  -  2022-0 - Cave Spring Townhomes  -  Cave Spring  -  Floyd,  County</v>
      </c>
      <c r="B1" s="3829"/>
      <c r="C1" s="3829"/>
      <c r="D1" s="3829"/>
      <c r="E1" s="3829"/>
      <c r="F1" s="3829"/>
      <c r="G1" s="3829"/>
      <c r="H1" s="3829"/>
      <c r="I1" s="923"/>
      <c r="J1" s="923"/>
      <c r="K1" s="923"/>
      <c r="L1" s="923"/>
      <c r="M1" s="923"/>
      <c r="N1" s="923"/>
    </row>
    <row r="2" spans="1:14" ht="9" customHeight="1"/>
    <row r="3" spans="1:14" ht="57" customHeight="1">
      <c r="A3" s="3830" t="s">
        <v>3216</v>
      </c>
      <c r="B3" s="3831"/>
      <c r="C3" s="3831"/>
      <c r="D3" s="3831"/>
      <c r="E3" s="3831"/>
      <c r="F3" s="3831"/>
      <c r="G3" s="3831"/>
      <c r="H3" s="3832"/>
    </row>
    <row r="4" spans="1:14" ht="6" customHeight="1"/>
    <row r="5" spans="1:14" ht="38.25" customHeight="1">
      <c r="A5" s="3833" t="s">
        <v>3278</v>
      </c>
      <c r="B5" s="3833"/>
      <c r="C5" s="3833"/>
      <c r="D5" s="3833"/>
      <c r="F5" s="924" t="s">
        <v>3208</v>
      </c>
      <c r="G5" s="575"/>
      <c r="H5" s="924" t="s">
        <v>3209</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5" t="str">
        <f>'Part III-A-Uses of Funds'!$C$15</f>
        <v>&lt;&lt; Enter description here; provide detail &amp; justification in tab Part III-b &gt;&gt;</v>
      </c>
      <c r="B9" s="3826"/>
      <c r="C9" s="3826"/>
      <c r="D9" s="3827"/>
      <c r="F9" s="3822"/>
      <c r="G9" s="927"/>
      <c r="H9" s="3822"/>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3211</v>
      </c>
      <c r="B12" s="935">
        <f>'Part III-A-Uses of Funds'!$G$15</f>
        <v>0</v>
      </c>
      <c r="C12" s="936" t="s">
        <v>1666</v>
      </c>
      <c r="D12" s="935">
        <f>'Part III-A-Uses of Funds'!$J$15+'Part III-A-Uses of Funds'!$M$15+'Part III-A-Uses of Funds'!$P$15</f>
        <v>0</v>
      </c>
      <c r="F12" s="3823"/>
      <c r="G12" s="927"/>
      <c r="H12" s="3823"/>
    </row>
    <row r="13" spans="1:14" s="926" customFormat="1" ht="6" customHeight="1">
      <c r="A13" s="927"/>
      <c r="B13" s="928"/>
      <c r="C13" s="927"/>
      <c r="D13" s="927"/>
      <c r="F13" s="3823"/>
      <c r="G13" s="929"/>
      <c r="H13" s="3823"/>
    </row>
    <row r="14" spans="1:14" s="926" customFormat="1" ht="41.25" customHeight="1">
      <c r="A14" s="3825" t="str">
        <f>'Part III-A-Uses of Funds'!$C$16</f>
        <v>&lt;&lt; Enter description here; provide detail &amp; justification in tab Part III-b &gt;&gt;</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3211</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t="str">
        <f>'Part III-A-Uses of Funds'!$C$17</f>
        <v>&lt;&lt; Enter description here; provide detail &amp; justification in tab Part III-b &gt;&gt;</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3211</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c r="A24" s="937" t="s">
        <v>3210</v>
      </c>
      <c r="B24" s="927"/>
      <c r="C24" s="927"/>
      <c r="D24" s="927"/>
      <c r="E24" s="927"/>
      <c r="F24" s="927"/>
      <c r="G24" s="927"/>
    </row>
    <row r="25" spans="1:8" s="926" customFormat="1" ht="41.25" customHeight="1">
      <c r="A25" s="3825" t="str">
        <f>'Part III-A-Uses of Funds'!$C$46</f>
        <v>&lt;&lt; Enter description here; provide detail &amp; justification in tab Part III-b &gt;&gt;</v>
      </c>
      <c r="B25" s="3826"/>
      <c r="C25" s="3826"/>
      <c r="D25" s="3827"/>
      <c r="E25" s="927"/>
      <c r="F25" s="3819"/>
      <c r="G25" s="927"/>
      <c r="H25" s="3819"/>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12">
      <c r="A28" s="936" t="s">
        <v>3211</v>
      </c>
      <c r="B28" s="935">
        <f>'Part III-A-Uses of Funds'!$G$46</f>
        <v>0</v>
      </c>
      <c r="C28" s="936" t="s">
        <v>1666</v>
      </c>
      <c r="D28" s="935">
        <f>'Part III-A-Uses of Funds'!$J$46+'Part III-A-Uses of Funds'!$M$46+'Part III-A-Uses of Funds'!$P$46</f>
        <v>0</v>
      </c>
      <c r="E28" s="927"/>
      <c r="F28" s="3820"/>
      <c r="G28" s="927"/>
      <c r="H28" s="3820"/>
    </row>
    <row r="29" spans="1:8" s="926" customFormat="1" ht="6" customHeight="1">
      <c r="A29" s="927"/>
      <c r="B29" s="928"/>
      <c r="C29" s="927"/>
      <c r="D29" s="927"/>
      <c r="E29" s="927"/>
      <c r="F29" s="3821"/>
      <c r="G29" s="929"/>
      <c r="H29" s="3821"/>
    </row>
    <row r="30" spans="1:8" s="926" customFormat="1">
      <c r="A30" s="937" t="s">
        <v>675</v>
      </c>
      <c r="B30" s="927"/>
      <c r="C30" s="927"/>
      <c r="D30" s="927"/>
      <c r="E30" s="927"/>
      <c r="F30" s="927"/>
      <c r="G30" s="927"/>
    </row>
    <row r="31" spans="1:8" s="926" customFormat="1" ht="41.25" customHeight="1">
      <c r="A31" s="3813" t="str">
        <f>'Part III-A-Uses of Funds'!$C$71</f>
        <v>&lt;&lt; Enter description here; provide detail &amp; justification in tab Part III-b &gt;&gt;</v>
      </c>
      <c r="B31" s="3814"/>
      <c r="C31" s="3814"/>
      <c r="D31" s="3815"/>
      <c r="E31" s="927"/>
      <c r="F31" s="3822"/>
      <c r="G31" s="927"/>
      <c r="H31" s="3822"/>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3211</v>
      </c>
      <c r="B34" s="935">
        <f>'Part III-A-Uses of Funds'!$G$71</f>
        <v>0</v>
      </c>
      <c r="C34" s="936" t="s">
        <v>1666</v>
      </c>
      <c r="D34" s="935">
        <f>'Part III-A-Uses of Funds'!$J$71+'Part III-A-Uses of Funds'!$M$71+'Part III-A-Uses of Funds'!$P$71</f>
        <v>0</v>
      </c>
      <c r="E34" s="927"/>
      <c r="F34" s="3823"/>
      <c r="G34" s="927"/>
      <c r="H34" s="3823"/>
    </row>
    <row r="35" spans="1:8" s="926" customFormat="1" ht="6" customHeight="1">
      <c r="D35" s="927"/>
      <c r="E35" s="927"/>
      <c r="F35" s="3823"/>
      <c r="G35" s="929"/>
      <c r="H35" s="3823"/>
    </row>
    <row r="36" spans="1:8" s="926" customFormat="1" ht="41.25" customHeight="1">
      <c r="A36" s="3813" t="str">
        <f>'Part III-A-Uses of Funds'!$C$72</f>
        <v>&lt;&lt; Enter description here; provide detail &amp; justification in tab Part III-b &gt;&gt;</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3211</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c r="A41" s="937" t="s">
        <v>449</v>
      </c>
      <c r="B41" s="927"/>
      <c r="C41" s="927"/>
      <c r="D41" s="927"/>
      <c r="E41" s="931"/>
      <c r="F41" s="931"/>
      <c r="G41" s="927"/>
    </row>
    <row r="42" spans="1:8" s="926" customFormat="1" ht="41.25" customHeight="1">
      <c r="A42" s="3813" t="str">
        <f>'Part III-A-Uses of Funds'!$C$85</f>
        <v>&lt;&lt; Enter description here; provide detail &amp; justification in tab Part III-b &gt;&gt;</v>
      </c>
      <c r="B42" s="3814"/>
      <c r="C42" s="3814"/>
      <c r="D42" s="3815"/>
      <c r="F42" s="3819"/>
      <c r="G42" s="927"/>
      <c r="H42" s="3819"/>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3211</v>
      </c>
      <c r="B45" s="935">
        <f>'Part III-A-Uses of Funds'!$G$85</f>
        <v>0</v>
      </c>
      <c r="C45" s="936" t="s">
        <v>1666</v>
      </c>
      <c r="D45" s="935">
        <f>'Part III-A-Uses of Funds'!$J$85+'Part III-A-Uses of Funds'!$M$85+'Part III-A-Uses of Funds'!$P$85</f>
        <v>0</v>
      </c>
      <c r="E45" s="927"/>
      <c r="F45" s="3820"/>
      <c r="G45" s="927"/>
      <c r="H45" s="3820"/>
    </row>
    <row r="46" spans="1:8" s="926" customFormat="1" ht="6" customHeight="1">
      <c r="A46" s="927"/>
      <c r="B46" s="928"/>
      <c r="C46" s="927"/>
      <c r="D46" s="927"/>
      <c r="E46" s="927"/>
      <c r="F46" s="3821"/>
      <c r="G46" s="929"/>
      <c r="H46" s="3821"/>
    </row>
    <row r="47" spans="1:8" s="926" customFormat="1">
      <c r="A47" s="937" t="s">
        <v>677</v>
      </c>
      <c r="B47" s="927"/>
      <c r="C47" s="927"/>
      <c r="D47" s="927"/>
      <c r="E47" s="927"/>
      <c r="F47" s="927"/>
      <c r="G47" s="927"/>
    </row>
    <row r="48" spans="1:8" s="926" customFormat="1" ht="41.25" customHeight="1">
      <c r="A48" s="3813" t="str">
        <f>'Part III-A-Uses of Funds'!$C$102</f>
        <v>&lt;&lt; Enter description here; provide detail &amp; justification in tab Part III-b &gt;&gt;</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3211</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c r="A53" s="937" t="s">
        <v>3212</v>
      </c>
      <c r="B53" s="927"/>
      <c r="C53" s="927"/>
      <c r="D53" s="927"/>
      <c r="E53" s="927"/>
      <c r="F53" s="927"/>
      <c r="G53" s="927"/>
    </row>
    <row r="54" spans="1:7" s="926" customFormat="1" ht="41.25" customHeight="1">
      <c r="A54" s="3813">
        <f>'Part III-A-Uses of Funds'!$C$112</f>
        <v>0</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12">
      <c r="A57" s="936" t="s">
        <v>3211</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12">
      <c r="A62" s="936" t="s">
        <v>3211</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c r="A64" s="937" t="s">
        <v>3213</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12">
      <c r="A68" s="936" t="s">
        <v>3211</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c r="A70" s="937" t="s">
        <v>1232</v>
      </c>
      <c r="B70" s="927"/>
      <c r="C70" s="927"/>
      <c r="D70" s="927"/>
      <c r="E70" s="927"/>
      <c r="F70" s="927"/>
      <c r="G70" s="927"/>
    </row>
    <row r="71" spans="1:8" s="926" customFormat="1" ht="41.25" customHeight="1">
      <c r="A71" s="3813" t="str">
        <f>'Part III-A-Uses of Funds'!$C$134</f>
        <v>&lt;&lt; Enter description here; provide detail &amp; justification in tab Part III-b &gt;&gt;</v>
      </c>
      <c r="B71" s="3814"/>
      <c r="C71" s="3814"/>
      <c r="D71" s="3815"/>
      <c r="F71" s="3819"/>
      <c r="G71" s="927"/>
      <c r="H71" s="3819"/>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3211</v>
      </c>
      <c r="B74" s="935">
        <f>'Part III-A-Uses of Funds'!$G$134</f>
        <v>0</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c r="A76" s="937" t="s">
        <v>3214</v>
      </c>
      <c r="B76" s="928"/>
      <c r="C76" s="927"/>
      <c r="D76" s="927"/>
      <c r="E76" s="927"/>
      <c r="F76" s="927"/>
      <c r="G76" s="929"/>
    </row>
    <row r="77" spans="1:8" s="926" customFormat="1" ht="41.25" customHeight="1">
      <c r="A77" s="3813" t="str">
        <f>'Part III-A-Uses of Funds'!$C$143</f>
        <v>&lt;&lt; Enter description here; provide detail &amp; justification in tab Part III-b &gt;&gt;</v>
      </c>
      <c r="B77" s="3814"/>
      <c r="C77" s="3814"/>
      <c r="D77" s="3815"/>
      <c r="F77" s="3819"/>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3211</v>
      </c>
      <c r="B80" s="935">
        <f>'Part III-A-Uses of Funds'!$G$143</f>
        <v>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ht="11"/>
    <row r="83" spans="4:8" s="926" customFormat="1" ht="11"/>
    <row r="84" spans="4:8" s="926" customFormat="1" ht="11"/>
    <row r="85" spans="4:8" s="926" customFormat="1" ht="11"/>
    <row r="86" spans="4:8" s="926" customFormat="1" ht="11"/>
    <row r="87" spans="4:8" s="926" customFormat="1" ht="11"/>
    <row r="88" spans="4:8" s="926" customFormat="1" ht="11"/>
    <row r="89" spans="4:8" s="926" customFormat="1" ht="11"/>
    <row r="90" spans="4:8" s="926" customFormat="1" ht="11"/>
    <row r="91" spans="4:8" s="926" customFormat="1" ht="11"/>
    <row r="92" spans="4:8" s="926" customFormat="1" ht="1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140" zoomScaleNormal="140" workbookViewId="0">
      <selection activeCell="B43" sqref="B43:M43"/>
    </sheetView>
  </sheetViews>
  <sheetFormatPr baseColWidth="10" defaultColWidth="8.83203125" defaultRowHeight="13"/>
  <cols>
    <col min="1" max="1" width="2.1640625" style="27" customWidth="1"/>
    <col min="2" max="3" width="8.83203125" style="27"/>
    <col min="4" max="4" width="12.83203125" style="27" customWidth="1"/>
    <col min="5" max="5" width="9.5" style="27" customWidth="1"/>
    <col min="6" max="7" width="9.83203125" style="27" customWidth="1"/>
    <col min="8" max="8" width="8.1640625" style="27" customWidth="1"/>
    <col min="9" max="13" width="10.83203125" style="27" customWidth="1"/>
    <col min="14" max="14" width="3" style="27" customWidth="1"/>
    <col min="15" max="17" width="8.83203125" style="27"/>
    <col min="18" max="18" width="8.83203125" style="27" customWidth="1"/>
    <col min="19" max="16384" width="8.83203125" style="27"/>
  </cols>
  <sheetData>
    <row r="1" spans="1:25" s="8" customFormat="1" ht="14" customHeight="1">
      <c r="A1" s="3857" t="str">
        <f>CONCATENATE("PART FOUR - UTILITY ALLOWANCES","  -  ",'Part I-Project Identification'!$O$7," ",'Part I-Project Identification'!$F$29,", ",'Part I-Project Identification'!F30,", ",'Part I-Project Identification'!J30," County")</f>
        <v>PART FOUR - UTILITY ALLOWANCES  -  2022-0 Cave Spring Townhomes, Cave Spring, Floyd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0" t="str">
        <f>'Part I-Project Identification'!$A$6</f>
        <v>May 12 2022 Core Application</v>
      </c>
      <c r="C3" s="3860"/>
      <c r="D3" s="3860"/>
      <c r="E3" s="3860"/>
      <c r="F3" s="4" t="s">
        <v>6743</v>
      </c>
      <c r="I3" s="1660" t="str">
        <f>VLOOKUP('Part I-Project Identification'!$J$30,'DCA Underwriting Assumptions'!$G$136:$H$295,2)</f>
        <v>North</v>
      </c>
    </row>
    <row r="4" spans="1:25" s="8" customFormat="1" ht="6" customHeight="1"/>
    <row r="5" spans="1:25">
      <c r="A5" s="271" t="s">
        <v>6500</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59" t="s">
        <v>6994</v>
      </c>
      <c r="J7" s="3851"/>
      <c r="K7" s="3851"/>
      <c r="L7" s="3851"/>
      <c r="M7" s="3852"/>
      <c r="O7" s="1067"/>
      <c r="P7" s="1067"/>
      <c r="Q7" s="1067"/>
      <c r="R7" s="1067"/>
      <c r="S7" s="1067"/>
      <c r="T7" s="1067"/>
      <c r="U7" s="1067"/>
      <c r="V7" s="516"/>
      <c r="W7" s="516"/>
      <c r="X7" s="516"/>
      <c r="Y7" s="516"/>
    </row>
    <row r="8" spans="1:25" s="8" customFormat="1" ht="13.25" customHeight="1">
      <c r="A8" s="13"/>
      <c r="F8" s="1" t="s">
        <v>593</v>
      </c>
      <c r="G8" s="1"/>
      <c r="H8" s="33"/>
      <c r="I8" s="3853">
        <v>44477</v>
      </c>
      <c r="J8" s="3854"/>
      <c r="K8" s="6" t="s">
        <v>505</v>
      </c>
      <c r="L8" s="3855" t="s">
        <v>6924</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43" t="s">
        <v>6923</v>
      </c>
      <c r="E12" s="3844"/>
      <c r="F12" s="272" t="s">
        <v>416</v>
      </c>
      <c r="G12" s="272"/>
      <c r="H12" s="1017"/>
      <c r="I12" s="1601"/>
      <c r="J12" s="1601">
        <v>16</v>
      </c>
      <c r="K12" s="1601">
        <v>20</v>
      </c>
      <c r="L12" s="1601">
        <v>22</v>
      </c>
      <c r="M12" s="1601"/>
      <c r="O12" s="1067"/>
      <c r="P12" s="1067"/>
      <c r="Q12" s="1067"/>
      <c r="R12" s="1067"/>
      <c r="S12" s="1067"/>
      <c r="T12" s="1067"/>
      <c r="U12" s="1067"/>
    </row>
    <row r="13" spans="1:25" s="8" customFormat="1" ht="12" customHeight="1">
      <c r="B13" s="1608" t="s">
        <v>1493</v>
      </c>
      <c r="C13" s="1609"/>
      <c r="D13" s="3845" t="s">
        <v>1492</v>
      </c>
      <c r="E13" s="3846"/>
      <c r="F13" s="273" t="s">
        <v>416</v>
      </c>
      <c r="G13" s="273"/>
      <c r="H13" s="1016"/>
      <c r="I13" s="1602"/>
      <c r="J13" s="1602">
        <v>9</v>
      </c>
      <c r="K13" s="1602">
        <v>11</v>
      </c>
      <c r="L13" s="1603">
        <v>12</v>
      </c>
      <c r="M13" s="1603"/>
      <c r="O13" s="3834" t="s">
        <v>3277</v>
      </c>
      <c r="P13" s="3834"/>
      <c r="Q13" s="3834"/>
    </row>
    <row r="14" spans="1:25" s="8" customFormat="1" ht="12" customHeight="1">
      <c r="B14" s="1610" t="s">
        <v>1494</v>
      </c>
      <c r="C14" s="1611"/>
      <c r="D14" s="3845" t="s">
        <v>1492</v>
      </c>
      <c r="E14" s="3846"/>
      <c r="F14" s="273" t="s">
        <v>416</v>
      </c>
      <c r="G14" s="273"/>
      <c r="H14" s="268"/>
      <c r="I14" s="1602"/>
      <c r="J14" s="1602">
        <v>17</v>
      </c>
      <c r="K14" s="1602">
        <v>23</v>
      </c>
      <c r="L14" s="1603">
        <v>37</v>
      </c>
      <c r="M14" s="1603"/>
      <c r="O14" s="3834"/>
      <c r="P14" s="3834"/>
      <c r="Q14" s="3834"/>
    </row>
    <row r="15" spans="1:25" s="8" customFormat="1" ht="12" customHeight="1">
      <c r="B15" s="1612" t="s">
        <v>440</v>
      </c>
      <c r="C15" s="1613"/>
      <c r="D15" s="1612" t="s">
        <v>1492</v>
      </c>
      <c r="E15" s="269"/>
      <c r="F15" s="273" t="s">
        <v>416</v>
      </c>
      <c r="G15" s="273"/>
      <c r="H15" s="1015"/>
      <c r="I15" s="1602"/>
      <c r="J15" s="1602">
        <v>12</v>
      </c>
      <c r="K15" s="1602">
        <v>15</v>
      </c>
      <c r="L15" s="1603">
        <v>19</v>
      </c>
      <c r="M15" s="1603"/>
      <c r="O15" s="3834"/>
      <c r="P15" s="3834"/>
      <c r="Q15" s="3834"/>
    </row>
    <row r="16" spans="1:25" s="8" customFormat="1" ht="12" customHeight="1">
      <c r="B16" s="1614" t="s">
        <v>3271</v>
      </c>
      <c r="C16" s="1609"/>
      <c r="D16" s="1608" t="s">
        <v>1492</v>
      </c>
      <c r="E16" s="1014"/>
      <c r="F16" s="273"/>
      <c r="G16" s="273"/>
      <c r="H16" s="1016"/>
      <c r="I16" s="1602"/>
      <c r="J16" s="1602"/>
      <c r="K16" s="1602"/>
      <c r="L16" s="1603"/>
      <c r="M16" s="1603"/>
      <c r="O16" s="3834"/>
      <c r="P16" s="3834"/>
      <c r="Q16" s="3834"/>
    </row>
    <row r="17" spans="1:25" s="8" customFormat="1" ht="12" customHeight="1">
      <c r="B17" s="1614" t="s">
        <v>3272</v>
      </c>
      <c r="C17" s="1609"/>
      <c r="D17" s="1608" t="s">
        <v>1492</v>
      </c>
      <c r="E17" s="1014"/>
      <c r="F17" s="273"/>
      <c r="G17" s="273"/>
      <c r="H17" s="1016"/>
      <c r="I17" s="1602"/>
      <c r="J17" s="1602"/>
      <c r="K17" s="1602"/>
      <c r="L17" s="1603"/>
      <c r="M17" s="1603"/>
      <c r="O17" s="3834"/>
      <c r="P17" s="3834"/>
      <c r="Q17" s="3834"/>
    </row>
    <row r="18" spans="1:25" s="8" customFormat="1" ht="12" customHeight="1">
      <c r="B18" s="1615" t="s">
        <v>3273</v>
      </c>
      <c r="C18" s="1611"/>
      <c r="D18" s="1610" t="s">
        <v>1492</v>
      </c>
      <c r="E18" s="1014"/>
      <c r="F18" s="273" t="s">
        <v>416</v>
      </c>
      <c r="G18" s="273"/>
      <c r="H18" s="268"/>
      <c r="I18" s="1602"/>
      <c r="J18" s="1602">
        <v>33</v>
      </c>
      <c r="K18" s="1602">
        <v>37</v>
      </c>
      <c r="L18" s="1603">
        <v>42</v>
      </c>
      <c r="M18" s="1603"/>
      <c r="O18" s="3834"/>
      <c r="P18" s="3834"/>
      <c r="Q18" s="3834"/>
    </row>
    <row r="19" spans="1:25" s="8" customFormat="1" ht="12" customHeight="1">
      <c r="B19" s="1612" t="s">
        <v>1293</v>
      </c>
      <c r="C19" s="1613"/>
      <c r="D19" s="1618" t="s">
        <v>3079</v>
      </c>
      <c r="E19" s="1600" t="s">
        <v>2654</v>
      </c>
      <c r="F19" s="273"/>
      <c r="G19" s="273" t="s">
        <v>416</v>
      </c>
      <c r="H19" s="1015"/>
      <c r="I19" s="1602"/>
      <c r="J19" s="1602"/>
      <c r="K19" s="1602"/>
      <c r="L19" s="1603"/>
      <c r="M19" s="1603"/>
      <c r="O19" s="3834"/>
      <c r="P19" s="3834"/>
      <c r="Q19" s="3834"/>
    </row>
    <row r="20" spans="1:25" s="8" customFormat="1" ht="12" customHeight="1">
      <c r="B20" s="1616" t="s">
        <v>1715</v>
      </c>
      <c r="C20" s="1617"/>
      <c r="D20" s="270"/>
      <c r="E20" s="242"/>
      <c r="F20" s="273"/>
      <c r="G20" s="273" t="s">
        <v>416</v>
      </c>
      <c r="H20" s="1016"/>
      <c r="I20" s="1602"/>
      <c r="J20" s="1602"/>
      <c r="K20" s="1602"/>
      <c r="L20" s="1603"/>
      <c r="M20" s="1603"/>
      <c r="O20" s="3834"/>
      <c r="P20" s="3834"/>
      <c r="Q20" s="3834"/>
    </row>
    <row r="21" spans="1:25" s="8" customFormat="1" ht="12" customHeight="1">
      <c r="B21" s="1616" t="s">
        <v>690</v>
      </c>
      <c r="C21" s="3847"/>
      <c r="D21" s="3848"/>
      <c r="E21" s="3849"/>
      <c r="F21" s="274"/>
      <c r="G21" s="274"/>
      <c r="H21" s="1018"/>
      <c r="I21" s="1604"/>
      <c r="J21" s="1604"/>
      <c r="K21" s="1604"/>
      <c r="L21" s="1605"/>
      <c r="M21" s="1605"/>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87</v>
      </c>
      <c r="K22" s="152">
        <f>IF(SUM(K12:K21)=0,0,IF(OR($D12="&lt;&lt;Select Fuel &gt;&gt;",$D13="&lt;&lt;Select Fuel &gt;&gt;",$D14="&lt;&lt;Select Fuel &gt;&gt;"),"Select Fuel",IF($E19="&lt;Select&gt;","Submeter?",SUM(K12:K21))))</f>
        <v>106</v>
      </c>
      <c r="L22" s="152">
        <f>IF(SUM(L12:L21)=0,0,IF(OR($D12="&lt;&lt;Select Fuel &gt;&gt;",$D13="&lt;&lt;Select Fuel &gt;&gt;",$D14="&lt;&lt;Select Fuel &gt;&gt;"),"Select Fuel",IF($E19="&lt;Select&gt;","Submeter?",SUM(L12:L21))))</f>
        <v>132</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50"/>
      <c r="J24" s="3851"/>
      <c r="K24" s="3851"/>
      <c r="L24" s="3851"/>
      <c r="M24" s="3852"/>
      <c r="O24" s="1067"/>
      <c r="P24" s="1067"/>
      <c r="Q24" s="1067"/>
      <c r="R24" s="1067"/>
      <c r="S24" s="1067"/>
      <c r="T24" s="1067"/>
      <c r="U24" s="1067"/>
      <c r="V24" s="516"/>
      <c r="W24" s="516"/>
      <c r="X24" s="516"/>
      <c r="Y24" s="516"/>
    </row>
    <row r="25" spans="1:25" s="8" customFormat="1" ht="13.25" customHeight="1">
      <c r="A25" s="13"/>
      <c r="B25" s="13"/>
      <c r="F25" s="1" t="s">
        <v>593</v>
      </c>
      <c r="G25" s="1"/>
      <c r="H25" s="33"/>
      <c r="I25" s="3853"/>
      <c r="J25" s="3854"/>
      <c r="K25" s="6" t="s">
        <v>505</v>
      </c>
      <c r="L25" s="3855"/>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43" t="s">
        <v>1690</v>
      </c>
      <c r="E29" s="3844"/>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5" t="s">
        <v>1690</v>
      </c>
      <c r="E30" s="384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5" t="s">
        <v>1690</v>
      </c>
      <c r="E31" s="3846"/>
      <c r="F31" s="273"/>
      <c r="G31" s="273"/>
      <c r="H31" s="268"/>
      <c r="I31" s="1602"/>
      <c r="J31" s="1602"/>
      <c r="K31" s="1602"/>
      <c r="L31" s="1603"/>
      <c r="M31" s="1603"/>
      <c r="O31" s="3834" t="s">
        <v>3277</v>
      </c>
      <c r="P31" s="3834"/>
      <c r="Q31" s="3834"/>
    </row>
    <row r="32" spans="1:25" s="8" customFormat="1" ht="12" customHeight="1">
      <c r="B32" s="1612" t="s">
        <v>440</v>
      </c>
      <c r="C32" s="1613"/>
      <c r="D32" s="1612" t="s">
        <v>1492</v>
      </c>
      <c r="E32" s="269"/>
      <c r="F32" s="273"/>
      <c r="G32" s="273"/>
      <c r="H32" s="1015"/>
      <c r="I32" s="1602"/>
      <c r="J32" s="1602"/>
      <c r="K32" s="1602"/>
      <c r="L32" s="1603"/>
      <c r="M32" s="1603"/>
      <c r="O32" s="3834"/>
      <c r="P32" s="3834"/>
      <c r="Q32" s="3834"/>
    </row>
    <row r="33" spans="1:19" s="8" customFormat="1" ht="12" customHeight="1">
      <c r="B33" s="1614" t="s">
        <v>3271</v>
      </c>
      <c r="C33" s="1609"/>
      <c r="D33" s="1608" t="s">
        <v>1492</v>
      </c>
      <c r="E33" s="1014"/>
      <c r="F33" s="273"/>
      <c r="G33" s="273"/>
      <c r="H33" s="1016"/>
      <c r="I33" s="1602"/>
      <c r="J33" s="1602"/>
      <c r="K33" s="1602"/>
      <c r="L33" s="1603"/>
      <c r="M33" s="1603"/>
      <c r="O33" s="3834"/>
      <c r="P33" s="3834"/>
      <c r="Q33" s="3834"/>
    </row>
    <row r="34" spans="1:19" s="8" customFormat="1" ht="12" customHeight="1">
      <c r="B34" s="1614" t="s">
        <v>3272</v>
      </c>
      <c r="C34" s="1609"/>
      <c r="D34" s="1608" t="s">
        <v>1492</v>
      </c>
      <c r="E34" s="1014"/>
      <c r="F34" s="273"/>
      <c r="G34" s="273"/>
      <c r="H34" s="1016"/>
      <c r="I34" s="1602"/>
      <c r="J34" s="1602"/>
      <c r="K34" s="1602"/>
      <c r="L34" s="1603"/>
      <c r="M34" s="1603"/>
      <c r="O34" s="3834"/>
      <c r="P34" s="3834"/>
      <c r="Q34" s="3834"/>
    </row>
    <row r="35" spans="1:19" s="8" customFormat="1" ht="12" customHeight="1">
      <c r="B35" s="1615" t="s">
        <v>3273</v>
      </c>
      <c r="C35" s="1611"/>
      <c r="D35" s="1610" t="s">
        <v>1492</v>
      </c>
      <c r="E35" s="1014"/>
      <c r="F35" s="273"/>
      <c r="G35" s="273"/>
      <c r="H35" s="268"/>
      <c r="I35" s="1602"/>
      <c r="J35" s="1602"/>
      <c r="K35" s="1602"/>
      <c r="L35" s="1603"/>
      <c r="M35" s="1603"/>
      <c r="O35" s="3834"/>
      <c r="P35" s="3834"/>
      <c r="Q35" s="3834"/>
    </row>
    <row r="36" spans="1:19" s="8" customFormat="1" ht="12" customHeight="1">
      <c r="B36" s="1612" t="s">
        <v>1293</v>
      </c>
      <c r="C36" s="1613"/>
      <c r="D36" s="1618" t="s">
        <v>3079</v>
      </c>
      <c r="E36" s="1600" t="s">
        <v>194</v>
      </c>
      <c r="F36" s="273"/>
      <c r="G36" s="273"/>
      <c r="H36" s="1015"/>
      <c r="I36" s="1602"/>
      <c r="J36" s="1602"/>
      <c r="K36" s="1602"/>
      <c r="L36" s="1603"/>
      <c r="M36" s="1603"/>
      <c r="O36" s="3834"/>
      <c r="P36" s="3834"/>
      <c r="Q36" s="3834"/>
    </row>
    <row r="37" spans="1:19" s="8" customFormat="1" ht="12" customHeight="1">
      <c r="B37" s="1616" t="s">
        <v>1715</v>
      </c>
      <c r="C37" s="1617"/>
      <c r="D37" s="270"/>
      <c r="E37" s="242"/>
      <c r="F37" s="273"/>
      <c r="G37" s="273"/>
      <c r="H37" s="1016"/>
      <c r="I37" s="1602"/>
      <c r="J37" s="1602"/>
      <c r="K37" s="1602"/>
      <c r="L37" s="1603"/>
      <c r="M37" s="1603"/>
      <c r="O37" s="3834"/>
      <c r="P37" s="3834"/>
      <c r="Q37" s="3834"/>
    </row>
    <row r="38" spans="1:19" s="8" customFormat="1" ht="12" customHeight="1">
      <c r="B38" s="1616" t="s">
        <v>690</v>
      </c>
      <c r="C38" s="3847"/>
      <c r="D38" s="3848"/>
      <c r="E38" s="3849"/>
      <c r="F38" s="274"/>
      <c r="G38" s="274"/>
      <c r="H38" s="1018"/>
      <c r="I38" s="1604"/>
      <c r="J38" s="1604"/>
      <c r="K38" s="1604"/>
      <c r="L38" s="1605"/>
      <c r="M38" s="1605"/>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5" t="s">
        <v>6995</v>
      </c>
      <c r="C43" s="3836"/>
      <c r="D43" s="3836"/>
      <c r="E43" s="3836"/>
      <c r="F43" s="3836"/>
      <c r="G43" s="3836"/>
      <c r="H43" s="3836"/>
      <c r="I43" s="3836"/>
      <c r="J43" s="3836"/>
      <c r="K43" s="3836"/>
      <c r="L43" s="3836"/>
      <c r="M43" s="3837"/>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38"/>
      <c r="C46" s="3839"/>
      <c r="D46" s="3839"/>
      <c r="E46" s="3839"/>
      <c r="F46" s="3839"/>
      <c r="G46" s="3839"/>
      <c r="H46" s="3839"/>
      <c r="I46" s="3839"/>
      <c r="J46" s="3839"/>
      <c r="K46" s="3839"/>
      <c r="L46" s="3839"/>
      <c r="M46" s="3840"/>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VIII Scoring Criteria'!Print_Area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Criteria'!Print_Titles</vt:lpstr>
      <vt:lpstr>'Part VIII Scoring Criteria'!Print_Titles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Microsoft Office User</cp:lastModifiedBy>
  <cp:lastPrinted>2022-05-17T13:35:55Z</cp:lastPrinted>
  <dcterms:created xsi:type="dcterms:W3CDTF">2005-09-15T20:51:37Z</dcterms:created>
  <dcterms:modified xsi:type="dcterms:W3CDTF">2022-06-03T19:19:51Z</dcterms:modified>
</cp:coreProperties>
</file>