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showInkAnnotation="0" codeName="ThisWorkbook" defaultThemeVersion="124226"/>
  <mc:AlternateContent xmlns:mc="http://schemas.openxmlformats.org/markup-compatibility/2006">
    <mc:Choice Requires="x15">
      <x15ac:absPath xmlns:x15ac="http://schemas.microsoft.com/office/spreadsheetml/2010/11/ac" url="C:\Users\mfreehill\Desktop\2022 apps\"/>
    </mc:Choice>
  </mc:AlternateContent>
  <xr:revisionPtr revIDLastSave="0" documentId="8_{EFF7A091-BFCF-44D3-8BC4-EB9D92DC41D7}" xr6:coauthVersionLast="36" xr6:coauthVersionMax="36"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0" yWindow="0" windowWidth="24720" windowHeight="827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iterate="1" iterateCount="50"/>
</workbook>
</file>

<file path=xl/calcChain.xml><?xml version="1.0" encoding="utf-8"?>
<calcChain xmlns="http://schemas.openxmlformats.org/spreadsheetml/2006/main">
  <c r="C31" i="74" l="1"/>
  <c r="S64" i="78"/>
  <c r="L228" i="75"/>
  <c r="G133" i="78" l="1"/>
  <c r="S97" i="78"/>
  <c r="J55" i="78"/>
  <c r="J40" i="78"/>
  <c r="J39" i="78"/>
  <c r="J38" i="78"/>
  <c r="J30" i="78"/>
  <c r="G30" i="78"/>
  <c r="L246" i="75"/>
  <c r="F246" i="75" l="1"/>
  <c r="F239" i="75"/>
  <c r="L237" i="75"/>
  <c r="G98" i="78" l="1"/>
  <c r="G80" i="78"/>
  <c r="G78" i="78"/>
  <c r="G81" i="78"/>
  <c r="L29" i="68"/>
  <c r="L28" i="68"/>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P1752" i="99"/>
  <c r="P1751" i="99"/>
  <c r="P1742" i="99"/>
  <c r="AD1537" i="99" s="1"/>
  <c r="O1742" i="99"/>
  <c r="X1537" i="99" s="1"/>
  <c r="P1732" i="99"/>
  <c r="O1732" i="99"/>
  <c r="P1723" i="99"/>
  <c r="P1715" i="99"/>
  <c r="P1695" i="99"/>
  <c r="P1661" i="99"/>
  <c r="O1661" i="99"/>
  <c r="P1659" i="99"/>
  <c r="O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2" i="99"/>
  <c r="Q1801" i="99"/>
  <c r="Q1785" i="99"/>
  <c r="Q1767" i="99"/>
  <c r="Q1766" i="99"/>
  <c r="Q1745" i="99"/>
  <c r="Q1744" i="99"/>
  <c r="Q1743" i="99"/>
  <c r="L1742" i="99"/>
  <c r="L1732" i="99"/>
  <c r="E1732" i="99"/>
  <c r="M1725" i="99"/>
  <c r="Q1718" i="99"/>
  <c r="K1716" i="99"/>
  <c r="H1715" i="99"/>
  <c r="N1704" i="99"/>
  <c r="L1681" i="99"/>
  <c r="Q1674" i="99"/>
  <c r="L1674" i="99"/>
  <c r="Q1672" i="99"/>
  <c r="Q1671" i="99"/>
  <c r="Q1670" i="99"/>
  <c r="V1667" i="99"/>
  <c r="Q1667" i="99"/>
  <c r="V1666" i="99"/>
  <c r="Q1666" i="99"/>
  <c r="Q1662" i="99"/>
  <c r="Q1642" i="99"/>
  <c r="H1642" i="99"/>
  <c r="M1625" i="99"/>
  <c r="AE1528" i="99"/>
  <c r="J1588"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19" i="99"/>
  <c r="D919" i="99"/>
  <c r="E919" i="99"/>
  <c r="F919" i="99"/>
  <c r="G919" i="99"/>
  <c r="H919" i="99"/>
  <c r="I919" i="99"/>
  <c r="J919" i="99"/>
  <c r="K919"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I657" i="99"/>
  <c r="MC657" i="99"/>
  <c r="LW657" i="99"/>
  <c r="LR657" i="99"/>
  <c r="LM657" i="99"/>
  <c r="LG657" i="99"/>
  <c r="LD657" i="99"/>
  <c r="LA657" i="99"/>
  <c r="KV657" i="99"/>
  <c r="KS657" i="99"/>
  <c r="KN657" i="99"/>
  <c r="KK657" i="99"/>
  <c r="KF657" i="99"/>
  <c r="KC657" i="99"/>
  <c r="JX657" i="99"/>
  <c r="JU657" i="99"/>
  <c r="JP657" i="99"/>
  <c r="JM657" i="99"/>
  <c r="JH657" i="99"/>
  <c r="JE657" i="99"/>
  <c r="IZ657" i="99"/>
  <c r="IW657" i="99"/>
  <c r="IR657" i="99"/>
  <c r="IO657" i="99"/>
  <c r="IJ657" i="99"/>
  <c r="IG657" i="99"/>
  <c r="IB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377" i="72"/>
  <c r="O341" i="72"/>
  <c r="P317" i="72"/>
  <c r="O309" i="72"/>
  <c r="O1800" i="99" s="1"/>
  <c r="O284" i="72"/>
  <c r="O1775" i="99" s="1"/>
  <c r="O265" i="72"/>
  <c r="O1756" i="99" s="1"/>
  <c r="L1756" i="99" s="1"/>
  <c r="O261" i="72"/>
  <c r="O267" i="72" s="1"/>
  <c r="O1758" i="99" s="1"/>
  <c r="O251" i="72"/>
  <c r="O224" i="72"/>
  <c r="O1715" i="99" s="1"/>
  <c r="R1715" i="99" s="1"/>
  <c r="O204" i="72"/>
  <c r="O1695" i="99" s="1"/>
  <c r="O102" i="72"/>
  <c r="O1593" i="99" s="1"/>
  <c r="P1594" i="99" s="1"/>
  <c r="AA1541" i="99" l="1"/>
  <c r="AB1541" i="99"/>
  <c r="AA1540" i="99"/>
  <c r="X1540" i="99"/>
  <c r="AB1540" i="99"/>
  <c r="O1752" i="99"/>
  <c r="Q1758" i="99" s="1"/>
  <c r="Y1533" i="99"/>
  <c r="L1695" i="99"/>
  <c r="L1584" i="99"/>
  <c r="Q1585" i="99"/>
  <c r="L293" i="99"/>
  <c r="L294" i="99"/>
  <c r="M1932" i="99"/>
  <c r="K1715" i="99"/>
  <c r="J1764" i="99"/>
  <c r="L1764" i="99" s="1"/>
  <c r="J1171" i="99"/>
  <c r="F1171" i="99"/>
  <c r="H1171" i="99"/>
  <c r="I1171" i="99"/>
  <c r="L869" i="99"/>
  <c r="F885" i="99"/>
  <c r="L885" i="99"/>
  <c r="L879" i="99"/>
  <c r="F865" i="99"/>
  <c r="KZ657" i="99"/>
  <c r="IH657" i="99"/>
  <c r="IP657" i="99"/>
  <c r="IX657" i="99"/>
  <c r="JF657" i="99"/>
  <c r="JN657" i="99"/>
  <c r="JV657" i="99"/>
  <c r="KD657" i="99"/>
  <c r="KD687" i="99" s="1"/>
  <c r="L767" i="99" s="1"/>
  <c r="KL657" i="99"/>
  <c r="KT657" i="99"/>
  <c r="LB657" i="99"/>
  <c r="MO657" i="99"/>
  <c r="HZ657" i="99"/>
  <c r="II657" i="99"/>
  <c r="II687" i="99" s="1"/>
  <c r="O774" i="99" s="1"/>
  <c r="IQ657" i="99"/>
  <c r="IY657" i="99"/>
  <c r="IY687" i="99" s="1"/>
  <c r="K778" i="99" s="1"/>
  <c r="JG657" i="99"/>
  <c r="JG687" i="99" s="1"/>
  <c r="N779" i="99" s="1"/>
  <c r="JO657" i="99"/>
  <c r="JW657" i="99"/>
  <c r="KE657" i="99"/>
  <c r="KM657" i="99"/>
  <c r="KU657" i="99"/>
  <c r="KU687" i="99" s="1"/>
  <c r="N772" i="99" s="1"/>
  <c r="LC657" i="99"/>
  <c r="IC657" i="99"/>
  <c r="IC687" i="99" s="1"/>
  <c r="IK657" i="99"/>
  <c r="IK687" i="99" s="1"/>
  <c r="L775" i="99" s="1"/>
  <c r="IS657" i="99"/>
  <c r="JA657" i="99"/>
  <c r="JI657" i="99"/>
  <c r="JQ657" i="99"/>
  <c r="JY657" i="99"/>
  <c r="KG657" i="99"/>
  <c r="KO657" i="99"/>
  <c r="KO687" i="99" s="1"/>
  <c r="M770" i="99" s="1"/>
  <c r="KW657" i="99"/>
  <c r="KW687" i="99" s="1"/>
  <c r="K771" i="99" s="1"/>
  <c r="LE657" i="99"/>
  <c r="MQ657" i="99"/>
  <c r="ID657" i="99"/>
  <c r="IL657" i="99"/>
  <c r="IT657" i="99"/>
  <c r="JB657" i="99"/>
  <c r="JJ657" i="99"/>
  <c r="JJ687" i="99" s="1"/>
  <c r="L776" i="99" s="1"/>
  <c r="L787" i="99" s="1"/>
  <c r="JR657" i="99"/>
  <c r="JR687" i="99" s="1"/>
  <c r="O777" i="99" s="1"/>
  <c r="O788" i="99" s="1"/>
  <c r="JZ657" i="99"/>
  <c r="KH657" i="99"/>
  <c r="KP657" i="99"/>
  <c r="KX657" i="99"/>
  <c r="LF657" i="99"/>
  <c r="IE657" i="99"/>
  <c r="IM657" i="99"/>
  <c r="IM687" i="99" s="1"/>
  <c r="N775" i="99" s="1"/>
  <c r="IU657" i="99"/>
  <c r="JC657" i="99"/>
  <c r="JK657" i="99"/>
  <c r="JS657" i="99"/>
  <c r="KA657" i="99"/>
  <c r="KI657" i="99"/>
  <c r="KQ657" i="99"/>
  <c r="KY657" i="99"/>
  <c r="IF657" i="99"/>
  <c r="IF687" i="99" s="1"/>
  <c r="L774" i="99" s="1"/>
  <c r="IN657" i="99"/>
  <c r="IV657" i="99"/>
  <c r="JD657" i="99"/>
  <c r="JL657" i="99"/>
  <c r="JT657" i="99"/>
  <c r="JT687" i="99" s="1"/>
  <c r="L766" i="99" s="1"/>
  <c r="KB657" i="99"/>
  <c r="KJ657" i="99"/>
  <c r="KJ687" i="99" s="1"/>
  <c r="M769" i="99" s="1"/>
  <c r="KR657" i="99"/>
  <c r="MH657" i="99"/>
  <c r="MP657" i="99"/>
  <c r="MJ657" i="99"/>
  <c r="MR657" i="99"/>
  <c r="MK657" i="99"/>
  <c r="MK687" i="99" s="1"/>
  <c r="MS657" i="99"/>
  <c r="A657" i="99"/>
  <c r="ML657" i="99"/>
  <c r="MT657" i="99"/>
  <c r="MT687" i="99" s="1"/>
  <c r="B688" i="99"/>
  <c r="IA657" i="99"/>
  <c r="MM657" i="99"/>
  <c r="MF657" i="99"/>
  <c r="MF687" i="99" s="1"/>
  <c r="MN657" i="99"/>
  <c r="AI657" i="99"/>
  <c r="MG657" i="99"/>
  <c r="MG687" i="99" s="1"/>
  <c r="E687" i="99"/>
  <c r="E688" i="99"/>
  <c r="P469" i="99"/>
  <c r="P473" i="99" s="1"/>
  <c r="J351" i="99"/>
  <c r="G430" i="99"/>
  <c r="U395" i="99"/>
  <c r="G402" i="99"/>
  <c r="F347" i="99"/>
  <c r="N294" i="99"/>
  <c r="N293" i="99"/>
  <c r="L275" i="99"/>
  <c r="S328" i="99"/>
  <c r="U381" i="99"/>
  <c r="J338" i="99"/>
  <c r="J501" i="99"/>
  <c r="E418" i="99" s="1"/>
  <c r="S334" i="99"/>
  <c r="A395" i="99"/>
  <c r="G334" i="99"/>
  <c r="G346" i="99"/>
  <c r="M351" i="99"/>
  <c r="P402" i="99"/>
  <c r="A412" i="99"/>
  <c r="S424" i="99"/>
  <c r="S456" i="99" s="1"/>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T664" i="99"/>
  <c r="JN664" i="99"/>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U664" i="99"/>
  <c r="KQ664" i="99"/>
  <c r="KM664" i="99"/>
  <c r="KI664" i="99"/>
  <c r="KE664" i="99"/>
  <c r="KA664" i="99"/>
  <c r="KA687" i="99" s="1"/>
  <c r="N768" i="99" s="1"/>
  <c r="JW664" i="99"/>
  <c r="JS664" i="99"/>
  <c r="JO664" i="99"/>
  <c r="JK664" i="99"/>
  <c r="JG664" i="99"/>
  <c r="JC664" i="99"/>
  <c r="JC687" i="99" s="1"/>
  <c r="O778" i="99" s="1"/>
  <c r="IY664" i="99"/>
  <c r="IU664" i="99"/>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GA687" i="99" s="1"/>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L687" i="99"/>
  <c r="M775" i="99" s="1"/>
  <c r="HZ687" i="99"/>
  <c r="IP687" i="99"/>
  <c r="L780" i="99" s="1"/>
  <c r="IX687" i="99"/>
  <c r="O781" i="99" s="1"/>
  <c r="JF687" i="99"/>
  <c r="M779" i="99" s="1"/>
  <c r="JV687" i="99"/>
  <c r="N766" i="99" s="1"/>
  <c r="LB687" i="99"/>
  <c r="K773" i="99" s="1"/>
  <c r="MH687" i="99"/>
  <c r="IV687" i="99"/>
  <c r="M781" i="99" s="1"/>
  <c r="JL687" i="99"/>
  <c r="N776" i="99" s="1"/>
  <c r="N787" i="99" s="1"/>
  <c r="KB687" i="99"/>
  <c r="O768" i="99" s="1"/>
  <c r="KR687" i="99"/>
  <c r="K772" i="99" s="1"/>
  <c r="JK687" i="99"/>
  <c r="M776" i="99" s="1"/>
  <c r="M787" i="99" s="1"/>
  <c r="JS687" i="99"/>
  <c r="K766" i="99" s="1"/>
  <c r="KE687" i="99"/>
  <c r="M767" i="99" s="1"/>
  <c r="KM687" i="99"/>
  <c r="K770" i="99" s="1"/>
  <c r="MI687" i="99"/>
  <c r="JB687" i="99"/>
  <c r="N778" i="99" s="1"/>
  <c r="KH687" i="99"/>
  <c r="K769" i="99" s="1"/>
  <c r="KX687" i="99"/>
  <c r="L771" i="99" s="1"/>
  <c r="ML687" i="99"/>
  <c r="IE687" i="99"/>
  <c r="K774"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X687" i="99"/>
  <c r="K768" i="99" s="1"/>
  <c r="KF687" i="99"/>
  <c r="N767" i="99" s="1"/>
  <c r="KN687" i="99"/>
  <c r="L770" i="99" s="1"/>
  <c r="KV687" i="99"/>
  <c r="O772" i="99" s="1"/>
  <c r="KZ687" i="99"/>
  <c r="N771" i="99" s="1"/>
  <c r="LD687" i="99"/>
  <c r="M773" i="99" s="1"/>
  <c r="MJ687" i="99"/>
  <c r="MR687" i="99"/>
  <c r="IG687" i="99"/>
  <c r="M774"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S687" i="99"/>
  <c r="L772" i="99" s="1"/>
  <c r="LA687" i="99"/>
  <c r="O771" i="99" s="1"/>
  <c r="LE687" i="99"/>
  <c r="N773" i="99" s="1"/>
  <c r="MO687" i="99"/>
  <c r="MS687" i="99"/>
  <c r="J613" i="99"/>
  <c r="M613" i="99"/>
  <c r="U453" i="99"/>
  <c r="G424" i="99"/>
  <c r="A423" i="99"/>
  <c r="J418" i="99"/>
  <c r="G396" i="99"/>
  <c r="S396" i="99"/>
  <c r="M383" i="99"/>
  <c r="J383" i="99"/>
  <c r="G383" i="99"/>
  <c r="S383" i="99"/>
  <c r="P383" i="99"/>
  <c r="P456" i="99" s="1"/>
  <c r="P472" i="99" s="1"/>
  <c r="P474" i="99" s="1"/>
  <c r="P476" i="99" s="1"/>
  <c r="E350" i="99"/>
  <c r="E349" i="99"/>
  <c r="A453" i="99"/>
  <c r="A422" i="99"/>
  <c r="U327" i="99"/>
  <c r="AD437" i="99"/>
  <c r="E348" i="99"/>
  <c r="AF418" i="99"/>
  <c r="I302" i="99"/>
  <c r="KY687" i="99" l="1"/>
  <c r="M771" i="99" s="1"/>
  <c r="IU687" i="99"/>
  <c r="L781" i="99" s="1"/>
  <c r="JN687" i="99"/>
  <c r="K777" i="99" s="1"/>
  <c r="KI687" i="99"/>
  <c r="L769" i="99" s="1"/>
  <c r="L765" i="99" s="1"/>
  <c r="JY687" i="99"/>
  <c r="L768" i="99" s="1"/>
  <c r="GC687" i="99"/>
  <c r="L805" i="99" s="1"/>
  <c r="LM687" i="99"/>
  <c r="FB687" i="99"/>
  <c r="O798" i="99" s="1"/>
  <c r="BF687" i="99"/>
  <c r="O700" i="99" s="1"/>
  <c r="AI687" i="99"/>
  <c r="L696" i="99" s="1"/>
  <c r="BA687" i="99"/>
  <c r="O699" i="99" s="1"/>
  <c r="CG687" i="99"/>
  <c r="L733" i="99" s="1"/>
  <c r="A687" i="99"/>
  <c r="A644" i="99" s="1"/>
  <c r="HR687" i="99"/>
  <c r="M758" i="99" s="1"/>
  <c r="MA687" i="99"/>
  <c r="HV687" i="99"/>
  <c r="G353" i="99"/>
  <c r="C359" i="99"/>
  <c r="B368" i="99" s="1"/>
  <c r="J456" i="99"/>
  <c r="J472" i="99" s="1"/>
  <c r="J474" i="99" s="1"/>
  <c r="J476" i="99" s="1"/>
  <c r="M456" i="99"/>
  <c r="M472" i="99" s="1"/>
  <c r="M474" i="99" s="1"/>
  <c r="M476" i="99" s="1"/>
  <c r="G456" i="99"/>
  <c r="J486" i="99" s="1"/>
  <c r="F1521" i="99"/>
  <c r="Q1509" i="99"/>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M790" i="99"/>
  <c r="M763" i="99"/>
  <c r="P772" i="99"/>
  <c r="P879" i="99"/>
  <c r="Q879" i="99"/>
  <c r="N789" i="99"/>
  <c r="N765" i="99"/>
  <c r="Q878" i="99"/>
  <c r="P878" i="99"/>
  <c r="L791" i="99"/>
  <c r="K787" i="99"/>
  <c r="P787" i="99" s="1"/>
  <c r="P776" i="99"/>
  <c r="Q877" i="99"/>
  <c r="P877" i="99"/>
  <c r="K791" i="99"/>
  <c r="P768" i="99"/>
  <c r="P779" i="99"/>
  <c r="P775" i="99"/>
  <c r="K786" i="99"/>
  <c r="K785" i="99"/>
  <c r="P774" i="99"/>
  <c r="N791" i="99"/>
  <c r="O791" i="99"/>
  <c r="O792" i="99"/>
  <c r="P777" i="99"/>
  <c r="K788" i="99"/>
  <c r="P788" i="99" s="1"/>
  <c r="P781" i="99"/>
  <c r="O786" i="99"/>
  <c r="O789" i="99"/>
  <c r="O765" i="99"/>
  <c r="M789" i="99"/>
  <c r="M765" i="99"/>
  <c r="L789" i="99"/>
  <c r="P769" i="99"/>
  <c r="K792" i="99"/>
  <c r="K789" i="99"/>
  <c r="P766" i="99"/>
  <c r="K765" i="99"/>
  <c r="O785" i="99"/>
  <c r="P773" i="99"/>
  <c r="L790" i="99"/>
  <c r="L763" i="99"/>
  <c r="P767" i="99"/>
  <c r="K763" i="99"/>
  <c r="K790" i="99"/>
  <c r="N790" i="99"/>
  <c r="N763" i="99"/>
  <c r="P771" i="99"/>
  <c r="O763" i="99"/>
  <c r="O790" i="99"/>
  <c r="M792" i="99"/>
  <c r="P778" i="99"/>
  <c r="P770" i="99"/>
  <c r="M791" i="99"/>
  <c r="N785" i="99"/>
  <c r="E351" i="99"/>
  <c r="G347" i="99" s="1"/>
  <c r="K32" i="66"/>
  <c r="H1094" i="99" s="1"/>
  <c r="F365" i="99" l="1"/>
  <c r="L792" i="99"/>
  <c r="M738" i="99"/>
  <c r="K753" i="99"/>
  <c r="O756" i="99"/>
  <c r="O759" i="99"/>
  <c r="O738" i="99"/>
  <c r="N753" i="99"/>
  <c r="K759" i="99"/>
  <c r="L701" i="99"/>
  <c r="L703" i="99" s="1"/>
  <c r="L705" i="99" s="1"/>
  <c r="L717" i="99" s="1"/>
  <c r="P735" i="99"/>
  <c r="P736" i="99"/>
  <c r="P805" i="99"/>
  <c r="P795" i="99"/>
  <c r="N756" i="99"/>
  <c r="P696" i="99"/>
  <c r="P798" i="99"/>
  <c r="M753" i="99"/>
  <c r="L753" i="99"/>
  <c r="P744" i="99"/>
  <c r="N759" i="99"/>
  <c r="P751" i="99"/>
  <c r="P731" i="99"/>
  <c r="P803" i="99"/>
  <c r="P797" i="99"/>
  <c r="P699" i="99"/>
  <c r="Q800" i="99" s="1"/>
  <c r="P702" i="99"/>
  <c r="O802" i="99"/>
  <c r="O804" i="99" s="1"/>
  <c r="O806" i="99" s="1"/>
  <c r="P758" i="99"/>
  <c r="P698" i="99"/>
  <c r="M759" i="99"/>
  <c r="O749" i="99"/>
  <c r="P752" i="99"/>
  <c r="P745" i="99"/>
  <c r="P700" i="99"/>
  <c r="Q801" i="99" s="1"/>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P791" i="99"/>
  <c r="P763" i="99"/>
  <c r="P792" i="99"/>
  <c r="Q799" i="99"/>
  <c r="P786" i="99"/>
  <c r="P765" i="99"/>
  <c r="P785" i="99"/>
  <c r="P790" i="99"/>
  <c r="P789" i="99"/>
  <c r="E241" i="72"/>
  <c r="P152" i="72"/>
  <c r="L723" i="99" l="1"/>
  <c r="L711" i="99"/>
  <c r="L714" i="99"/>
  <c r="L726" i="99"/>
  <c r="L720" i="99"/>
  <c r="L708" i="99"/>
  <c r="L809" i="99"/>
  <c r="Q797" i="99"/>
  <c r="Q798" i="99"/>
  <c r="P753" i="99"/>
  <c r="O714" i="99"/>
  <c r="N717" i="99"/>
  <c r="P759" i="99"/>
  <c r="N714" i="99"/>
  <c r="N711" i="99"/>
  <c r="N723" i="99"/>
  <c r="Q803" i="99"/>
  <c r="O717" i="99"/>
  <c r="P749" i="99"/>
  <c r="O809" i="99"/>
  <c r="M809" i="99"/>
  <c r="M717" i="99"/>
  <c r="M711" i="99"/>
  <c r="O723" i="99"/>
  <c r="M708" i="99"/>
  <c r="O711" i="99"/>
  <c r="M726" i="99"/>
  <c r="P756" i="99"/>
  <c r="P738" i="99"/>
  <c r="M723" i="99"/>
  <c r="O720" i="99"/>
  <c r="M720" i="99"/>
  <c r="P701" i="99"/>
  <c r="O726"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D1539" i="99"/>
  <c r="AG1539" i="99"/>
  <c r="AG1553" i="99" s="1"/>
  <c r="AI1539" i="99"/>
  <c r="AH1539" i="99"/>
  <c r="AE1539" i="99"/>
  <c r="K1619" i="99"/>
  <c r="AA1539" i="99"/>
  <c r="AB1539" i="99"/>
  <c r="Z1539" i="99"/>
  <c r="AC1539" i="99"/>
  <c r="Y1539" i="99"/>
  <c r="X1539" i="99"/>
  <c r="I1619" i="99"/>
  <c r="O112" i="72"/>
  <c r="O1603" i="99" s="1"/>
  <c r="E941" i="99"/>
  <c r="P112" i="72"/>
  <c r="P1603" i="99" s="1"/>
  <c r="Q435" i="72"/>
  <c r="Q434" i="72"/>
  <c r="P433" i="72"/>
  <c r="E31" i="72"/>
  <c r="L427" i="72"/>
  <c r="L423" i="72"/>
  <c r="Q409" i="72"/>
  <c r="Q408" i="72"/>
  <c r="Q407" i="72"/>
  <c r="Q406" i="72"/>
  <c r="P404" i="72"/>
  <c r="E28" i="72"/>
  <c r="Y1529" i="99" l="1"/>
  <c r="X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508" i="99"/>
  <c r="A3" i="99"/>
  <c r="A244" i="99"/>
  <c r="I594" i="99"/>
  <c r="P50" i="98"/>
  <c r="G74" i="98" s="1"/>
  <c r="L74" i="98" s="1"/>
  <c r="A2" i="75"/>
  <c r="A2" i="68"/>
  <c r="A2" i="78"/>
  <c r="W2" i="78" s="1"/>
  <c r="A1" i="77"/>
  <c r="A1" i="72"/>
  <c r="A1" i="76"/>
  <c r="A1" i="73"/>
  <c r="A2" i="74"/>
  <c r="G64" i="98"/>
  <c r="L64" i="98" s="1"/>
  <c r="G60" i="98"/>
  <c r="L60" i="98" s="1"/>
  <c r="G67" i="98"/>
  <c r="L67" i="98" s="1"/>
  <c r="G49" i="98"/>
  <c r="L49"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C954" i="99" s="1"/>
  <c r="C962" i="99" s="1"/>
  <c r="G28" i="74"/>
  <c r="D60" i="74"/>
  <c r="B41" i="74"/>
  <c r="B936" i="99" s="1"/>
  <c r="C121" i="74"/>
  <c r="C1016" i="99" s="1"/>
  <c r="C1023" i="99" s="1"/>
  <c r="H26" i="74"/>
  <c r="H921" i="99" s="1"/>
  <c r="K91" i="74"/>
  <c r="K986" i="99" s="1"/>
  <c r="K993" i="99" s="1"/>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B921" i="99" s="1"/>
  <c r="H27" i="74"/>
  <c r="H922" i="99" s="1"/>
  <c r="H930" i="99" s="1"/>
  <c r="H29" i="74"/>
  <c r="I61" i="74"/>
  <c r="T2" i="75"/>
  <c r="A2" i="67"/>
  <c r="B43" i="74"/>
  <c r="B42" i="74"/>
  <c r="C41" i="74"/>
  <c r="C936" i="99" s="1"/>
  <c r="M16" i="75"/>
  <c r="M14" i="75"/>
  <c r="C43" i="74"/>
  <c r="C42" i="74"/>
  <c r="D41" i="74"/>
  <c r="D936" i="99" s="1"/>
  <c r="D43" i="74"/>
  <c r="D42" i="74"/>
  <c r="E41" i="74"/>
  <c r="E936" i="99" s="1"/>
  <c r="E43" i="74"/>
  <c r="E42" i="74"/>
  <c r="F41" i="74"/>
  <c r="F936" i="99" s="1"/>
  <c r="F43" i="74"/>
  <c r="F42" i="74"/>
  <c r="G41" i="74"/>
  <c r="G936" i="99" s="1"/>
  <c r="G43" i="74"/>
  <c r="G42" i="74"/>
  <c r="H41" i="74"/>
  <c r="H936" i="99" s="1"/>
  <c r="H43" i="74"/>
  <c r="H42" i="74"/>
  <c r="I41" i="74"/>
  <c r="I936" i="99" s="1"/>
  <c r="I43" i="74"/>
  <c r="I42" i="74"/>
  <c r="J41" i="74"/>
  <c r="J936" i="99" s="1"/>
  <c r="J43" i="74"/>
  <c r="J42" i="74"/>
  <c r="K41" i="74"/>
  <c r="K936" i="99" s="1"/>
  <c r="K43" i="74"/>
  <c r="B75" i="74"/>
  <c r="K42" i="74"/>
  <c r="B73" i="74"/>
  <c r="B968" i="99" s="1"/>
  <c r="C75" i="74"/>
  <c r="B74" i="74"/>
  <c r="C73" i="74"/>
  <c r="C968" i="99" s="1"/>
  <c r="D75" i="74"/>
  <c r="C74" i="74"/>
  <c r="D73" i="74"/>
  <c r="D968" i="99" s="1"/>
  <c r="E75" i="74"/>
  <c r="D74" i="74"/>
  <c r="E73" i="74"/>
  <c r="E968" i="99" s="1"/>
  <c r="F75" i="74"/>
  <c r="E74" i="74"/>
  <c r="F73" i="74"/>
  <c r="F968" i="99" s="1"/>
  <c r="G75" i="74"/>
  <c r="F74" i="74"/>
  <c r="G73" i="74"/>
  <c r="G968" i="99" s="1"/>
  <c r="H75" i="74"/>
  <c r="G74" i="74"/>
  <c r="H73" i="74"/>
  <c r="H968" i="99" s="1"/>
  <c r="I75" i="74"/>
  <c r="H74" i="74"/>
  <c r="I73" i="74"/>
  <c r="I968" i="99" s="1"/>
  <c r="B59" i="82"/>
  <c r="J75" i="74"/>
  <c r="I74" i="74"/>
  <c r="J73" i="74"/>
  <c r="J968" i="99" s="1"/>
  <c r="K75" i="74"/>
  <c r="J74" i="74"/>
  <c r="K73" i="74"/>
  <c r="K968" i="99" s="1"/>
  <c r="B106" i="74"/>
  <c r="K74" i="74"/>
  <c r="B104" i="74"/>
  <c r="B999" i="99" s="1"/>
  <c r="C106" i="74"/>
  <c r="B105" i="74"/>
  <c r="C104" i="74"/>
  <c r="C999" i="99" s="1"/>
  <c r="D106" i="74"/>
  <c r="C105" i="74"/>
  <c r="D104" i="74"/>
  <c r="D999" i="99" s="1"/>
  <c r="E106" i="74"/>
  <c r="D105" i="74"/>
  <c r="E104" i="74"/>
  <c r="E999" i="99" s="1"/>
  <c r="F106" i="74"/>
  <c r="E105" i="74"/>
  <c r="F104" i="74"/>
  <c r="F999" i="99" s="1"/>
  <c r="G106" i="74"/>
  <c r="F105" i="74"/>
  <c r="G104" i="74"/>
  <c r="G999" i="99" s="1"/>
  <c r="H106" i="74"/>
  <c r="G105" i="74"/>
  <c r="H104" i="74"/>
  <c r="H999" i="99" s="1"/>
  <c r="I106" i="74"/>
  <c r="H105" i="74"/>
  <c r="I104" i="74"/>
  <c r="I999" i="99" s="1"/>
  <c r="J106" i="74"/>
  <c r="I105" i="74"/>
  <c r="J104" i="74"/>
  <c r="J999" i="99" s="1"/>
  <c r="K106" i="74"/>
  <c r="J105" i="74"/>
  <c r="K104" i="74"/>
  <c r="K999" i="99" s="1"/>
  <c r="B136" i="74"/>
  <c r="K105" i="74"/>
  <c r="B134" i="74"/>
  <c r="B1029" i="99" s="1"/>
  <c r="C136" i="74"/>
  <c r="B135" i="74"/>
  <c r="C134" i="74"/>
  <c r="C1029" i="99" s="1"/>
  <c r="D136" i="74"/>
  <c r="C135" i="74"/>
  <c r="D134" i="74"/>
  <c r="D1029" i="99" s="1"/>
  <c r="E136" i="74"/>
  <c r="D135" i="74"/>
  <c r="E134" i="74"/>
  <c r="E1029" i="99" s="1"/>
  <c r="F136" i="74"/>
  <c r="E135" i="74"/>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O39" i="99" l="1"/>
  <c r="P642" i="99"/>
  <c r="G73" i="98"/>
  <c r="L73" i="98" s="1"/>
  <c r="G52" i="98"/>
  <c r="L52" i="98" s="1"/>
  <c r="G57" i="98"/>
  <c r="L57" i="98" s="1"/>
  <c r="G72" i="98"/>
  <c r="L72" i="98" s="1"/>
  <c r="G63" i="98"/>
  <c r="L63" i="98" s="1"/>
  <c r="G56" i="98"/>
  <c r="L56" i="98" s="1"/>
  <c r="G65" i="98"/>
  <c r="L65" i="98" s="1"/>
  <c r="G58" i="98"/>
  <c r="L58" i="98" s="1"/>
  <c r="G51" i="98"/>
  <c r="L51" i="98" s="1"/>
  <c r="G66" i="98"/>
  <c r="L66" i="98" s="1"/>
  <c r="Q868" i="99"/>
  <c r="N39" i="99"/>
  <c r="G50" i="98"/>
  <c r="L50" i="98" s="1"/>
  <c r="G59" i="98"/>
  <c r="L59" i="98" s="1"/>
  <c r="G70" i="98"/>
  <c r="L70" i="98" s="1"/>
  <c r="G71" i="98"/>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K954" i="99" s="1"/>
  <c r="K962" i="99" s="1"/>
  <c r="I69" i="74"/>
  <c r="J99" i="74"/>
  <c r="B16" i="87"/>
  <c r="F99" i="74"/>
  <c r="B14" i="87"/>
  <c r="B34" i="87"/>
  <c r="B11" i="87"/>
  <c r="C128" i="74"/>
  <c r="E41" i="87"/>
  <c r="E21" i="87"/>
  <c r="F84" i="92"/>
  <c r="G36" i="74"/>
  <c r="B30" i="87"/>
  <c r="H68" i="74"/>
  <c r="I36" i="74"/>
  <c r="D36" i="74"/>
  <c r="C68" i="74"/>
  <c r="B43" i="87"/>
  <c r="E130" i="74"/>
  <c r="B10" i="87"/>
  <c r="B17" i="87"/>
  <c r="D99" i="74"/>
  <c r="B68" i="74"/>
  <c r="H36" i="74"/>
  <c r="G68" i="74"/>
  <c r="B42" i="87"/>
  <c r="B13" i="87"/>
  <c r="H99" i="74"/>
  <c r="E39" i="87"/>
  <c r="B40" i="87"/>
  <c r="B28" i="87"/>
  <c r="B129" i="74"/>
  <c r="J68" i="74"/>
  <c r="E99" i="74"/>
  <c r="F69" i="74"/>
  <c r="D68" i="74"/>
  <c r="E16" i="87"/>
  <c r="B2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C930" i="99" s="1"/>
  <c r="J27" i="74"/>
  <c r="J922" i="99" s="1"/>
  <c r="J930" i="99" s="1"/>
  <c r="E27" i="74"/>
  <c r="E922" i="99" s="1"/>
  <c r="E930" i="99" s="1"/>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926" i="99"/>
  <c r="H16" i="86"/>
  <c r="I16"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39" i="87" l="1"/>
  <c r="B33" i="87"/>
  <c r="B37" i="87"/>
  <c r="B35" i="87"/>
  <c r="L71" i="98"/>
  <c r="I71" i="98"/>
  <c r="I75" i="98" s="1"/>
  <c r="M687" i="99"/>
  <c r="M688" i="99" s="1"/>
  <c r="L34" i="68"/>
  <c r="L276" i="99" s="1"/>
  <c r="L277" i="99" s="1"/>
  <c r="I303" i="99"/>
  <c r="K927" i="99"/>
  <c r="J927" i="99"/>
  <c r="F959" i="99"/>
  <c r="D959" i="99"/>
  <c r="C959" i="99"/>
  <c r="E959" i="99"/>
  <c r="B959" i="99"/>
  <c r="B29" i="87"/>
  <c r="K65" i="82"/>
  <c r="B27" i="87"/>
  <c r="C40" i="74"/>
  <c r="C935" i="99" s="1"/>
  <c r="B12" i="87"/>
  <c r="B36" i="87"/>
  <c r="B23" i="87"/>
  <c r="B31" i="87"/>
  <c r="B32" i="87"/>
  <c r="B25" i="87"/>
  <c r="B41" i="87"/>
  <c r="B22" i="87"/>
  <c r="B20" i="87"/>
  <c r="J985" i="99"/>
  <c r="K921" i="99"/>
  <c r="B44" i="87"/>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34" i="86"/>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L35" i="68" l="1"/>
  <c r="D10" i="86"/>
  <c r="AC47" i="72"/>
  <c r="Y1538" i="99"/>
  <c r="Z1538" i="99"/>
  <c r="AB1538" i="99"/>
  <c r="AA1538" i="99"/>
  <c r="AA1553" i="99" s="1"/>
  <c r="X1538" i="99"/>
  <c r="AC1538" i="99"/>
  <c r="AD424" i="99"/>
  <c r="AF424" i="99" s="1"/>
  <c r="AD109" i="78"/>
  <c r="AF109" i="78" s="1"/>
  <c r="AD419" i="99"/>
  <c r="AD420" i="99"/>
  <c r="AF420" i="99" s="1"/>
  <c r="P294" i="99"/>
  <c r="P293" i="99"/>
  <c r="I304"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P295" i="99" l="1"/>
  <c r="G1381" i="99"/>
  <c r="G1386" i="99"/>
  <c r="L348" i="73"/>
  <c r="L1381" i="99"/>
  <c r="L1386" i="99"/>
  <c r="AF419" i="99"/>
  <c r="AF421" i="99" s="1"/>
  <c r="AD421"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K1588" i="99"/>
  <c r="O1588" i="99" s="1"/>
  <c r="L1588" i="99"/>
  <c r="P1588" i="99" s="1"/>
  <c r="F358" i="99"/>
  <c r="F367" i="99"/>
  <c r="F359" i="99"/>
  <c r="F368" i="99"/>
  <c r="J477" i="99"/>
  <c r="J478" i="99" s="1"/>
  <c r="J480" i="99" s="1"/>
  <c r="H1881" i="99"/>
  <c r="P242" i="75"/>
  <c r="Q242" i="75"/>
  <c r="K175" i="75"/>
  <c r="J359" i="99"/>
  <c r="J368" i="99"/>
  <c r="M477" i="99"/>
  <c r="M478" i="99" s="1"/>
  <c r="M480" i="99" s="1"/>
  <c r="AD113" i="78"/>
  <c r="AF113" i="78" s="1"/>
  <c r="AF115" i="78" s="1"/>
  <c r="E109" i="78" s="1"/>
  <c r="I109" i="78" s="1"/>
  <c r="AD423" i="99"/>
  <c r="P477" i="99"/>
  <c r="P478" i="99" s="1"/>
  <c r="P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F910" i="99" l="1"/>
  <c r="G910" i="99"/>
  <c r="E910" i="99"/>
  <c r="C910" i="99"/>
  <c r="D910" i="99"/>
  <c r="J481" i="99"/>
  <c r="N873" i="99"/>
  <c r="AD115" i="78"/>
  <c r="AF423" i="99"/>
  <c r="AF425" i="99" s="1"/>
  <c r="E419" i="99" s="1"/>
  <c r="I419" i="99" s="1"/>
  <c r="AD425" i="99"/>
  <c r="AD106" i="78"/>
  <c r="M1331" i="99"/>
  <c r="L1331" i="99" s="1"/>
  <c r="O1875" i="99"/>
  <c r="O1876" i="99" s="1"/>
  <c r="AD416" i="99"/>
  <c r="J1855" i="99"/>
  <c r="O1235" i="99"/>
  <c r="F443" i="99"/>
  <c r="E1381" i="99"/>
  <c r="N1381" i="99" s="1"/>
  <c r="D458" i="99"/>
  <c r="AE432" i="99"/>
  <c r="J1881" i="99"/>
  <c r="L1881" i="99" s="1"/>
  <c r="E1386" i="99"/>
  <c r="N1386" i="99" s="1"/>
  <c r="E365" i="99"/>
  <c r="G364" i="99" s="1"/>
  <c r="H1716" i="99"/>
  <c r="E1383" i="99"/>
  <c r="N1383" i="99" s="1"/>
  <c r="M1328" i="99"/>
  <c r="L1328" i="99" s="1"/>
  <c r="AE435" i="99"/>
  <c r="AE433" i="99"/>
  <c r="AE436" i="99"/>
  <c r="AE434" i="99"/>
  <c r="E397" i="99"/>
  <c r="J367" i="99"/>
  <c r="AE437" i="99"/>
  <c r="J358" i="99"/>
  <c r="M290" i="73"/>
  <c r="L290" i="73" s="1"/>
  <c r="M293" i="73"/>
  <c r="L293" i="73" s="1"/>
  <c r="Q230" i="75"/>
  <c r="G458" i="99"/>
  <c r="P358" i="99"/>
  <c r="P367"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B22" i="74"/>
  <c r="H53" i="82"/>
  <c r="H926" i="99"/>
  <c r="F23" i="74"/>
  <c r="F918" i="99" s="1"/>
  <c r="B918" i="99"/>
  <c r="AF435" i="99"/>
  <c r="AH435" i="99" s="1"/>
  <c r="M1856" i="99"/>
  <c r="J1856" i="99"/>
  <c r="J1857" i="99" s="1"/>
  <c r="AF432" i="99"/>
  <c r="AH432" i="99" s="1"/>
  <c r="G17" i="74"/>
  <c r="G912" i="99" s="1"/>
  <c r="G915" i="99" s="1"/>
  <c r="P74" i="75"/>
  <c r="P75" i="75" s="1"/>
  <c r="K74" i="75"/>
  <c r="K75" i="75" s="1"/>
  <c r="N74" i="75"/>
  <c r="N75" i="75" s="1"/>
  <c r="L74" i="75"/>
  <c r="M74" i="75"/>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O87" i="75"/>
  <c r="M75" i="75"/>
  <c r="L75" i="75"/>
  <c r="N84" i="75"/>
  <c r="AF125" i="78"/>
  <c r="AH125" i="78" s="1"/>
  <c r="H19" i="84"/>
  <c r="AF122" i="78"/>
  <c r="D17" i="83"/>
  <c r="C19" i="84"/>
  <c r="F16" i="85"/>
  <c r="H17" i="74"/>
  <c r="H912" i="99" s="1"/>
  <c r="H915" i="99" s="1"/>
  <c r="I24" i="74"/>
  <c r="J14" i="74"/>
  <c r="I16" i="74"/>
  <c r="I911" i="99" s="1"/>
  <c r="I15" i="74"/>
  <c r="G13" i="86"/>
  <c r="F22" i="74" l="1"/>
  <c r="F917" i="99" s="1"/>
  <c r="D22" i="74"/>
  <c r="D917" i="99" s="1"/>
  <c r="H22" i="74"/>
  <c r="C912" i="99"/>
  <c r="C915" i="99" s="1"/>
  <c r="C22" i="74"/>
  <c r="B917" i="99"/>
  <c r="Q220" i="75"/>
  <c r="G22" i="74"/>
  <c r="K8" i="74"/>
  <c r="E22" i="74"/>
  <c r="I910" i="99"/>
  <c r="J31" i="74"/>
  <c r="J926" i="99" s="1"/>
  <c r="I53" i="82"/>
  <c r="AH122" i="78"/>
  <c r="E127" i="78" s="1"/>
  <c r="A127" i="78" s="1"/>
  <c r="G20" i="74"/>
  <c r="P88" i="72"/>
  <c r="P1579" i="99" s="1"/>
  <c r="O88" i="72"/>
  <c r="O1579" i="99" s="1"/>
  <c r="D13" i="86"/>
  <c r="F13" i="86"/>
  <c r="E13" i="86"/>
  <c r="C30" i="86"/>
  <c r="I13" i="86"/>
  <c r="C20" i="74"/>
  <c r="H13" i="86"/>
  <c r="C33" i="86"/>
  <c r="C20" i="84"/>
  <c r="H20" i="84"/>
  <c r="J40" i="74"/>
  <c r="J935" i="99" s="1"/>
  <c r="E20" i="74"/>
  <c r="D20" i="74"/>
  <c r="G56" i="84"/>
  <c r="G64" i="84" s="1"/>
  <c r="F20" i="74"/>
  <c r="K31" i="74"/>
  <c r="K926" i="99" s="1"/>
  <c r="J53" i="82"/>
  <c r="K14" i="74"/>
  <c r="J24" i="74"/>
  <c r="J15" i="74"/>
  <c r="J16" i="74"/>
  <c r="J911" i="99" s="1"/>
  <c r="J23" i="74"/>
  <c r="J918" i="99" s="1"/>
  <c r="I17" i="74"/>
  <c r="I912" i="99" s="1"/>
  <c r="I915" i="99" s="1"/>
  <c r="H20" i="74"/>
  <c r="I22" i="74" l="1"/>
  <c r="I917" i="99" s="1"/>
  <c r="H917" i="99"/>
  <c r="G917" i="99"/>
  <c r="Q858" i="99"/>
  <c r="Q228" i="75"/>
  <c r="C68" i="84"/>
  <c r="O221" i="75"/>
  <c r="O222" i="75"/>
  <c r="C917" i="99"/>
  <c r="E917" i="99"/>
  <c r="J910" i="99"/>
  <c r="Z1527" i="99"/>
  <c r="Z1553" i="99" s="1"/>
  <c r="AB1527" i="99"/>
  <c r="AB1553" i="99" s="1"/>
  <c r="P1581" i="99"/>
  <c r="X1527" i="99"/>
  <c r="X1553" i="99" s="1"/>
  <c r="Y1527" i="99"/>
  <c r="Y1553" i="99" s="1"/>
  <c r="AC1527" i="99"/>
  <c r="AC1553" i="99" s="1"/>
  <c r="O1932" i="99"/>
  <c r="O1497" i="99" s="1"/>
  <c r="AF1527" i="99"/>
  <c r="AF1553" i="99" s="1"/>
  <c r="P1932" i="99"/>
  <c r="P1497" i="99" s="1"/>
  <c r="AE1527" i="99"/>
  <c r="AE1553" i="99" s="1"/>
  <c r="AI1527" i="99"/>
  <c r="AI1553" i="99" s="1"/>
  <c r="AD1527" i="99"/>
  <c r="AD1553" i="99" s="1"/>
  <c r="AH1527" i="99"/>
  <c r="AH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s="1"/>
  <c r="J915" i="99" s="1"/>
  <c r="O860" i="99" l="1"/>
  <c r="O859" i="99"/>
  <c r="Q866" i="99"/>
  <c r="K910" i="99"/>
  <c r="J22" i="74"/>
  <c r="F131" i="78"/>
  <c r="B21" i="74"/>
  <c r="B53" i="74" s="1"/>
  <c r="F130" i="78"/>
  <c r="F441" i="99"/>
  <c r="F440" i="99"/>
  <c r="P229" i="75"/>
  <c r="Q247" i="75"/>
  <c r="N228" i="75"/>
  <c r="K68" i="84"/>
  <c r="K70" i="84" s="1"/>
  <c r="E68" i="84"/>
  <c r="E70" i="84" s="1"/>
  <c r="I68" i="84"/>
  <c r="I70" i="84" s="1"/>
  <c r="G68" i="84"/>
  <c r="G70" i="84" s="1"/>
  <c r="C70" i="84"/>
  <c r="E30" i="86"/>
  <c r="B15" i="82"/>
  <c r="J183" i="78"/>
  <c r="M189" i="78" s="1"/>
  <c r="B72" i="74"/>
  <c r="B967" i="99" s="1"/>
  <c r="J20" i="74"/>
  <c r="K17" i="74"/>
  <c r="K912" i="99" s="1"/>
  <c r="K915" i="99" s="1"/>
  <c r="C46" i="74"/>
  <c r="B56" i="74"/>
  <c r="B48" i="74"/>
  <c r="B943" i="99" s="1"/>
  <c r="B47" i="74"/>
  <c r="B55" i="74"/>
  <c r="B950" i="99" s="1"/>
  <c r="C63" i="74"/>
  <c r="C958" i="99" s="1"/>
  <c r="B73" i="82"/>
  <c r="E33" i="86"/>
  <c r="K22" i="74" l="1"/>
  <c r="K917" i="99" s="1"/>
  <c r="J917" i="99"/>
  <c r="K72" i="84"/>
  <c r="K76" i="84"/>
  <c r="K73" i="84" s="1"/>
  <c r="C72" i="84"/>
  <c r="C76" i="84"/>
  <c r="C73" i="84" s="1"/>
  <c r="G76" i="84"/>
  <c r="G73" i="84" s="1"/>
  <c r="G72" i="84"/>
  <c r="N866" i="99"/>
  <c r="P867" i="99"/>
  <c r="Q885" i="99"/>
  <c r="B942" i="99"/>
  <c r="I76" i="84"/>
  <c r="I73" i="84" s="1"/>
  <c r="I72" i="84"/>
  <c r="E76" i="84"/>
  <c r="E73" i="84" s="1"/>
  <c r="E72" i="84"/>
  <c r="E21" i="74"/>
  <c r="B916" i="99"/>
  <c r="B920" i="99" s="1"/>
  <c r="F21" i="74"/>
  <c r="C21" i="74"/>
  <c r="D21" i="74"/>
  <c r="G21" i="74"/>
  <c r="H21" i="74"/>
  <c r="I21" i="74"/>
  <c r="B25" i="74"/>
  <c r="B32" i="74" s="1"/>
  <c r="B39" i="74"/>
  <c r="B934" i="99" s="1"/>
  <c r="J21" i="74"/>
  <c r="J916" i="99" s="1"/>
  <c r="J920" i="99" s="1"/>
  <c r="K21" i="74"/>
  <c r="B948" i="99"/>
  <c r="F30" i="86"/>
  <c r="C72" i="74"/>
  <c r="C967" i="99" s="1"/>
  <c r="C73" i="82"/>
  <c r="D63" i="74"/>
  <c r="D958" i="99" s="1"/>
  <c r="C48" i="74"/>
  <c r="C943" i="99" s="1"/>
  <c r="C56" i="74"/>
  <c r="D46" i="74"/>
  <c r="C47" i="74"/>
  <c r="C53" i="74"/>
  <c r="C55" i="74"/>
  <c r="C950" i="99" s="1"/>
  <c r="B49" i="74"/>
  <c r="B944" i="99" s="1"/>
  <c r="B947" i="99" s="1"/>
  <c r="F33" i="86"/>
  <c r="K20" i="74"/>
  <c r="B44" i="74" l="1"/>
  <c r="B939" i="99" s="1"/>
  <c r="R21" i="74"/>
  <c r="C14" i="86"/>
  <c r="B927" i="99"/>
  <c r="J25" i="74"/>
  <c r="J33" i="74" s="1"/>
  <c r="D916" i="99"/>
  <c r="D920" i="99" s="1"/>
  <c r="D39" i="74"/>
  <c r="D934" i="99" s="1"/>
  <c r="D25" i="74"/>
  <c r="D32" i="74" s="1"/>
  <c r="K39" i="74"/>
  <c r="K934" i="99" s="1"/>
  <c r="K916" i="99"/>
  <c r="K920" i="99" s="1"/>
  <c r="C916" i="99"/>
  <c r="C920" i="99" s="1"/>
  <c r="C25" i="74"/>
  <c r="C32" i="74" s="1"/>
  <c r="R22" i="74" s="1"/>
  <c r="C39" i="74"/>
  <c r="C934" i="99" s="1"/>
  <c r="B54" i="74"/>
  <c r="G916" i="99"/>
  <c r="G920" i="99" s="1"/>
  <c r="G25" i="74"/>
  <c r="G32" i="74" s="1"/>
  <c r="G39" i="74"/>
  <c r="G934" i="99" s="1"/>
  <c r="B929" i="99"/>
  <c r="B933" i="99"/>
  <c r="B928" i="99"/>
  <c r="J928" i="99"/>
  <c r="J929" i="99"/>
  <c r="J933" i="99"/>
  <c r="B33" i="74"/>
  <c r="B34" i="74"/>
  <c r="B38" i="74"/>
  <c r="B44" i="82"/>
  <c r="E916" i="99"/>
  <c r="E920" i="99" s="1"/>
  <c r="E25" i="74"/>
  <c r="E32" i="74" s="1"/>
  <c r="E39" i="74"/>
  <c r="E934" i="99" s="1"/>
  <c r="F916" i="99"/>
  <c r="F920" i="99" s="1"/>
  <c r="F39" i="74"/>
  <c r="F934" i="99" s="1"/>
  <c r="F25" i="74"/>
  <c r="F32" i="74" s="1"/>
  <c r="I916" i="99"/>
  <c r="I920" i="99" s="1"/>
  <c r="I39" i="74"/>
  <c r="I934" i="99" s="1"/>
  <c r="I25" i="74"/>
  <c r="I32" i="74" s="1"/>
  <c r="J39" i="74"/>
  <c r="J934" i="99" s="1"/>
  <c r="C942" i="99"/>
  <c r="H916" i="99"/>
  <c r="H920" i="99" s="1"/>
  <c r="H25" i="74"/>
  <c r="H32" i="74" s="1"/>
  <c r="H39" i="74"/>
  <c r="H934" i="99" s="1"/>
  <c r="C948" i="99"/>
  <c r="G30" i="86"/>
  <c r="D72" i="74"/>
  <c r="D967" i="99" s="1"/>
  <c r="E46" i="74"/>
  <c r="D56" i="74"/>
  <c r="D48" i="74"/>
  <c r="D943" i="99" s="1"/>
  <c r="D47" i="74"/>
  <c r="D53" i="74"/>
  <c r="D55" i="74"/>
  <c r="D950" i="99" s="1"/>
  <c r="E63" i="74"/>
  <c r="E958" i="99" s="1"/>
  <c r="D73" i="82"/>
  <c r="G33" i="86"/>
  <c r="K25" i="74"/>
  <c r="B52" i="74"/>
  <c r="C49" i="74"/>
  <c r="C944" i="99" s="1"/>
  <c r="C947" i="99" s="1"/>
  <c r="R24" i="74" l="1"/>
  <c r="J38" i="74"/>
  <c r="I927" i="99"/>
  <c r="C34" i="86"/>
  <c r="D14" i="86"/>
  <c r="C927" i="99"/>
  <c r="C44" i="74"/>
  <c r="C939" i="99" s="1"/>
  <c r="R30" i="74"/>
  <c r="R23" i="74"/>
  <c r="R31" i="74"/>
  <c r="J44" i="82"/>
  <c r="J46" i="82" s="1"/>
  <c r="R27" i="74"/>
  <c r="R36" i="74"/>
  <c r="R39" i="74"/>
  <c r="J34" i="74"/>
  <c r="R29" i="74"/>
  <c r="R25" i="74"/>
  <c r="R37" i="74"/>
  <c r="I14" i="86"/>
  <c r="H927" i="99"/>
  <c r="G927" i="99"/>
  <c r="G928" i="99" s="1"/>
  <c r="H14" i="86"/>
  <c r="E14" i="86"/>
  <c r="D927" i="99"/>
  <c r="R26" i="74"/>
  <c r="R35" i="74"/>
  <c r="I47" i="68" s="1"/>
  <c r="I289" i="99" s="1"/>
  <c r="R32" i="74"/>
  <c r="F14" i="86"/>
  <c r="E927" i="99"/>
  <c r="R33" i="74"/>
  <c r="G14" i="86"/>
  <c r="F927" i="99"/>
  <c r="F928" i="99" s="1"/>
  <c r="R916" i="99"/>
  <c r="S916" i="99" s="1"/>
  <c r="R34" i="74"/>
  <c r="R28" i="74"/>
  <c r="R38" i="74"/>
  <c r="R40" i="74"/>
  <c r="B51" i="82"/>
  <c r="B46" i="82"/>
  <c r="C33" i="74"/>
  <c r="S22" i="74" s="1"/>
  <c r="C38" i="74"/>
  <c r="C44" i="82"/>
  <c r="C34" i="74"/>
  <c r="I933" i="99"/>
  <c r="I929" i="99"/>
  <c r="I928" i="99"/>
  <c r="C928" i="99"/>
  <c r="C929" i="99"/>
  <c r="C933" i="99"/>
  <c r="E929" i="99"/>
  <c r="E933" i="99"/>
  <c r="H34" i="74"/>
  <c r="H33" i="74"/>
  <c r="I9" i="86" s="1"/>
  <c r="I17" i="86" s="1"/>
  <c r="I18" i="86" s="1"/>
  <c r="I20" i="86" s="1"/>
  <c r="I24" i="86" s="1"/>
  <c r="K12" i="86" s="1"/>
  <c r="H38" i="74"/>
  <c r="H44" i="82"/>
  <c r="F44" i="82"/>
  <c r="F33" i="74"/>
  <c r="G9" i="86" s="1"/>
  <c r="F38" i="74"/>
  <c r="F34" i="74"/>
  <c r="K929" i="99"/>
  <c r="K928" i="99"/>
  <c r="K933" i="99"/>
  <c r="H928" i="99"/>
  <c r="H929" i="99"/>
  <c r="H933" i="99"/>
  <c r="S21" i="74"/>
  <c r="C9" i="86"/>
  <c r="C17" i="86" s="1"/>
  <c r="C18" i="86" s="1"/>
  <c r="C20" i="86" s="1"/>
  <c r="C24" i="86" s="1"/>
  <c r="K6" i="86" s="1"/>
  <c r="G66" i="86" s="1"/>
  <c r="N92" i="85" s="1"/>
  <c r="D942" i="99"/>
  <c r="C54" i="74"/>
  <c r="F929" i="99"/>
  <c r="F933" i="99"/>
  <c r="G33" i="74"/>
  <c r="H9" i="86" s="1"/>
  <c r="H17" i="86" s="1"/>
  <c r="H18" i="86" s="1"/>
  <c r="H20" i="86" s="1"/>
  <c r="H24" i="86" s="1"/>
  <c r="K11" i="86" s="1"/>
  <c r="G38" i="74"/>
  <c r="G34" i="74"/>
  <c r="G44" i="82"/>
  <c r="D44" i="82"/>
  <c r="D38" i="74"/>
  <c r="D34" i="74"/>
  <c r="D33" i="74"/>
  <c r="E9" i="86" s="1"/>
  <c r="G933" i="99"/>
  <c r="G929" i="99"/>
  <c r="I34" i="74"/>
  <c r="I33" i="74"/>
  <c r="C29" i="86" s="1"/>
  <c r="C37" i="86" s="1"/>
  <c r="C38" i="86" s="1"/>
  <c r="C40" i="86" s="1"/>
  <c r="C44" i="86" s="1"/>
  <c r="K13" i="86" s="1"/>
  <c r="I38" i="74"/>
  <c r="I44" i="82"/>
  <c r="E38" i="74"/>
  <c r="E44" i="82"/>
  <c r="E33" i="74"/>
  <c r="F9" i="86" s="1"/>
  <c r="F17" i="86" s="1"/>
  <c r="F18" i="86" s="1"/>
  <c r="F20" i="86" s="1"/>
  <c r="F24" i="86" s="1"/>
  <c r="K9" i="86" s="1"/>
  <c r="E34" i="74"/>
  <c r="B949" i="99"/>
  <c r="B952" i="99" s="1"/>
  <c r="B71" i="74"/>
  <c r="B966" i="99" s="1"/>
  <c r="D933" i="99"/>
  <c r="D929" i="99"/>
  <c r="D948" i="99"/>
  <c r="K34" i="74"/>
  <c r="K38" i="74"/>
  <c r="H30" i="86"/>
  <c r="E72" i="74"/>
  <c r="E967" i="99" s="1"/>
  <c r="J51" i="82"/>
  <c r="D29" i="86"/>
  <c r="D37" i="86" s="1"/>
  <c r="D38" i="86" s="1"/>
  <c r="D40" i="86" s="1"/>
  <c r="D44" i="86" s="1"/>
  <c r="K14" i="86" s="1"/>
  <c r="C52" i="74"/>
  <c r="E73" i="82"/>
  <c r="F63" i="74"/>
  <c r="F958" i="99" s="1"/>
  <c r="D49" i="74"/>
  <c r="D944" i="99" s="1"/>
  <c r="B57" i="74"/>
  <c r="K44" i="82"/>
  <c r="K33" i="74"/>
  <c r="E47" i="74"/>
  <c r="E56" i="74"/>
  <c r="F46" i="74"/>
  <c r="E48" i="74"/>
  <c r="E943" i="99" s="1"/>
  <c r="E53" i="74"/>
  <c r="E55" i="74"/>
  <c r="E950" i="99" s="1"/>
  <c r="H33" i="86"/>
  <c r="R930" i="99" l="1"/>
  <c r="D928" i="99"/>
  <c r="D947" i="99"/>
  <c r="R923" i="99"/>
  <c r="R926" i="99"/>
  <c r="G17" i="86"/>
  <c r="G18" i="86" s="1"/>
  <c r="G20" i="86" s="1"/>
  <c r="G24" i="86" s="1"/>
  <c r="K10" i="86" s="1"/>
  <c r="R925" i="99"/>
  <c r="E17" i="86"/>
  <c r="E18" i="86" s="1"/>
  <c r="E20" i="86" s="1"/>
  <c r="E24" i="86" s="1"/>
  <c r="K8" i="86" s="1"/>
  <c r="R935" i="99"/>
  <c r="R934" i="99"/>
  <c r="R919" i="99"/>
  <c r="R918" i="99"/>
  <c r="S918" i="99" s="1"/>
  <c r="R927" i="99"/>
  <c r="R924" i="99"/>
  <c r="E928" i="99"/>
  <c r="S923" i="99" s="1"/>
  <c r="R917" i="99"/>
  <c r="S917" i="99" s="1"/>
  <c r="R932" i="99"/>
  <c r="R921" i="99"/>
  <c r="R922" i="99"/>
  <c r="R931" i="99"/>
  <c r="D44" i="74"/>
  <c r="R933" i="99"/>
  <c r="R928" i="99"/>
  <c r="R929" i="99"/>
  <c r="R920" i="99"/>
  <c r="S24" i="74"/>
  <c r="S23" i="74"/>
  <c r="S29" i="74"/>
  <c r="S27" i="74"/>
  <c r="B960" i="99"/>
  <c r="S926" i="99" s="1"/>
  <c r="B965" i="99"/>
  <c r="B961" i="99"/>
  <c r="D46" i="82"/>
  <c r="D51" i="82"/>
  <c r="G51" i="82"/>
  <c r="G46" i="82"/>
  <c r="D54" i="74"/>
  <c r="C949" i="99"/>
  <c r="C952" i="99" s="1"/>
  <c r="C71" i="74"/>
  <c r="C966" i="99" s="1"/>
  <c r="C46" i="82"/>
  <c r="C51" i="82"/>
  <c r="E46" i="82"/>
  <c r="E51" i="82"/>
  <c r="S26" i="74"/>
  <c r="F46" i="82"/>
  <c r="F51" i="82"/>
  <c r="E942" i="99"/>
  <c r="I51" i="82"/>
  <c r="I46" i="82"/>
  <c r="S25" i="74"/>
  <c r="H51" i="82"/>
  <c r="H46" i="82"/>
  <c r="D9" i="86"/>
  <c r="D17" i="86" s="1"/>
  <c r="D18" i="86" s="1"/>
  <c r="D20" i="86" s="1"/>
  <c r="D24" i="86" s="1"/>
  <c r="K7" i="86" s="1"/>
  <c r="S28" i="74"/>
  <c r="E948" i="99"/>
  <c r="B70" i="74"/>
  <c r="B66" i="74"/>
  <c r="I30" i="86"/>
  <c r="F72" i="74"/>
  <c r="F967" i="99" s="1"/>
  <c r="C57" i="74"/>
  <c r="D52" i="74"/>
  <c r="F56" i="74"/>
  <c r="F48" i="74"/>
  <c r="F943" i="99" s="1"/>
  <c r="F47" i="74"/>
  <c r="G46" i="74"/>
  <c r="F53" i="74"/>
  <c r="F55" i="74"/>
  <c r="F950" i="99" s="1"/>
  <c r="E49" i="74"/>
  <c r="E944" i="99" s="1"/>
  <c r="E29" i="86"/>
  <c r="S30" i="74"/>
  <c r="F73" i="82"/>
  <c r="G63" i="74"/>
  <c r="G958" i="99" s="1"/>
  <c r="K51" i="82"/>
  <c r="K46" i="82"/>
  <c r="I33" i="86"/>
  <c r="B64" i="82"/>
  <c r="B65" i="74"/>
  <c r="S924" i="99" l="1"/>
  <c r="D939" i="99"/>
  <c r="E44" i="74"/>
  <c r="S920" i="99"/>
  <c r="S919" i="99"/>
  <c r="S925" i="99"/>
  <c r="S922" i="99"/>
  <c r="S921" i="99"/>
  <c r="E947" i="99"/>
  <c r="B25" i="82"/>
  <c r="I72" i="82" s="1"/>
  <c r="E54" i="74"/>
  <c r="D949" i="99"/>
  <c r="D952" i="99" s="1"/>
  <c r="D71" i="74"/>
  <c r="D966" i="99" s="1"/>
  <c r="F942" i="99"/>
  <c r="F54" i="74"/>
  <c r="F949" i="99" s="1"/>
  <c r="C965" i="99"/>
  <c r="C961" i="99"/>
  <c r="C960" i="99"/>
  <c r="S927" i="99" s="1"/>
  <c r="F948" i="99"/>
  <c r="C70" i="74"/>
  <c r="C66" i="74"/>
  <c r="C50" i="86"/>
  <c r="G72" i="74"/>
  <c r="G967" i="99" s="1"/>
  <c r="C64" i="82"/>
  <c r="C66" i="82" s="1"/>
  <c r="C65" i="74"/>
  <c r="E52" i="74"/>
  <c r="E37" i="86"/>
  <c r="E38" i="86" s="1"/>
  <c r="E40" i="86" s="1"/>
  <c r="E44" i="86" s="1"/>
  <c r="K15" i="86" s="1"/>
  <c r="F49" i="74"/>
  <c r="F944" i="99" s="1"/>
  <c r="S31" i="74"/>
  <c r="F29" i="86"/>
  <c r="H63" i="74"/>
  <c r="H958" i="99" s="1"/>
  <c r="G73" i="82"/>
  <c r="B66" i="82"/>
  <c r="B71" i="82"/>
  <c r="C53" i="86"/>
  <c r="D57" i="74"/>
  <c r="G56" i="74"/>
  <c r="G48" i="74"/>
  <c r="G943" i="99" s="1"/>
  <c r="H46" i="74"/>
  <c r="G47" i="74"/>
  <c r="G53" i="74"/>
  <c r="G55" i="74"/>
  <c r="G950" i="99" s="1"/>
  <c r="E939" i="99" l="1"/>
  <c r="F44" i="74"/>
  <c r="C72" i="82"/>
  <c r="F72" i="82"/>
  <c r="E72" i="82"/>
  <c r="F52" i="82"/>
  <c r="F54" i="82" s="1"/>
  <c r="F55" i="82" s="1"/>
  <c r="F56" i="82" s="1"/>
  <c r="D72" i="82"/>
  <c r="H72" i="82"/>
  <c r="J52" i="82"/>
  <c r="J54" i="82" s="1"/>
  <c r="J55" i="82" s="1"/>
  <c r="J56" i="82" s="1"/>
  <c r="G52" i="82"/>
  <c r="G54" i="82" s="1"/>
  <c r="G55" i="82" s="1"/>
  <c r="G56" i="82" s="1"/>
  <c r="I52" i="82"/>
  <c r="I54" i="82" s="1"/>
  <c r="E52" i="82"/>
  <c r="E54" i="82" s="1"/>
  <c r="G72" i="82"/>
  <c r="C52" i="82"/>
  <c r="C54" i="82" s="1"/>
  <c r="C55" i="82" s="1"/>
  <c r="C56" i="82" s="1"/>
  <c r="K52" i="82"/>
  <c r="K54" i="82" s="1"/>
  <c r="K55" i="82" s="1"/>
  <c r="K56" i="82" s="1"/>
  <c r="H52" i="82"/>
  <c r="H54" i="82" s="1"/>
  <c r="H55" i="82" s="1"/>
  <c r="H56" i="82" s="1"/>
  <c r="D52" i="82"/>
  <c r="D54" i="82" s="1"/>
  <c r="D55" i="82" s="1"/>
  <c r="D56" i="82" s="1"/>
  <c r="B72" i="82"/>
  <c r="B74" i="82" s="1"/>
  <c r="B75" i="82" s="1"/>
  <c r="J72" i="82"/>
  <c r="B52" i="82"/>
  <c r="B54" i="82" s="1"/>
  <c r="B55" i="82" s="1"/>
  <c r="B56" i="82" s="1"/>
  <c r="F947" i="99"/>
  <c r="K72" i="82"/>
  <c r="B26" i="82"/>
  <c r="B5" i="82" s="1"/>
  <c r="B6" i="82" s="1"/>
  <c r="B7" i="82" s="1"/>
  <c r="F952" i="99"/>
  <c r="F960" i="99" s="1"/>
  <c r="F71" i="74"/>
  <c r="F966" i="99" s="1"/>
  <c r="D965" i="99"/>
  <c r="D961" i="99"/>
  <c r="D960" i="99"/>
  <c r="S928" i="99" s="1"/>
  <c r="E949" i="99"/>
  <c r="E952" i="99" s="1"/>
  <c r="E71" i="74"/>
  <c r="E966" i="99" s="1"/>
  <c r="G942" i="99"/>
  <c r="G948" i="99"/>
  <c r="D66" i="74"/>
  <c r="D70" i="74"/>
  <c r="D50" i="86"/>
  <c r="H72" i="74"/>
  <c r="H967" i="99" s="1"/>
  <c r="G29" i="86"/>
  <c r="G37" i="86" s="1"/>
  <c r="G38" i="86" s="1"/>
  <c r="G40" i="86" s="1"/>
  <c r="G44" i="86" s="1"/>
  <c r="K17" i="86" s="1"/>
  <c r="C71" i="82"/>
  <c r="C74" i="82" s="1"/>
  <c r="C75" i="82" s="1"/>
  <c r="C76" i="82" s="1"/>
  <c r="S32" i="74"/>
  <c r="E57" i="74"/>
  <c r="H73" i="82"/>
  <c r="I63" i="74"/>
  <c r="I958" i="99" s="1"/>
  <c r="I55" i="82"/>
  <c r="I56" i="82" s="1"/>
  <c r="H56" i="74"/>
  <c r="H47" i="74"/>
  <c r="H48" i="74"/>
  <c r="H943" i="99" s="1"/>
  <c r="I46" i="74"/>
  <c r="H53" i="74"/>
  <c r="H55" i="74"/>
  <c r="H950" i="99" s="1"/>
  <c r="D53" i="86"/>
  <c r="F52" i="74"/>
  <c r="F37" i="86"/>
  <c r="F38" i="86" s="1"/>
  <c r="F40" i="86" s="1"/>
  <c r="F44" i="86" s="1"/>
  <c r="K16" i="86" s="1"/>
  <c r="E55" i="82"/>
  <c r="E56" i="82" s="1"/>
  <c r="G49" i="74"/>
  <c r="G944" i="99" s="1"/>
  <c r="D65" i="74"/>
  <c r="D64" i="82"/>
  <c r="F961" i="99" l="1"/>
  <c r="F939" i="99"/>
  <c r="G44" i="74"/>
  <c r="F965" i="99"/>
  <c r="B9" i="82"/>
  <c r="B10" i="82" s="1"/>
  <c r="B11" i="82" s="1"/>
  <c r="B28" i="82"/>
  <c r="G2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965" i="99"/>
  <c r="E960" i="99"/>
  <c r="S929" i="99" s="1"/>
  <c r="E961" i="99"/>
  <c r="G947" i="99"/>
  <c r="H942" i="99"/>
  <c r="G54" i="74"/>
  <c r="H948" i="99"/>
  <c r="E66" i="74"/>
  <c r="E70" i="74"/>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G52" i="74"/>
  <c r="H49" i="74"/>
  <c r="H944" i="99" s="1"/>
  <c r="J63" i="74"/>
  <c r="J958" i="99" s="1"/>
  <c r="I73" i="82"/>
  <c r="F57" i="74"/>
  <c r="S930" i="99" l="1"/>
  <c r="G939" i="99"/>
  <c r="H44" i="74"/>
  <c r="B29" i="82"/>
  <c r="H54" i="74"/>
  <c r="H949" i="99" s="1"/>
  <c r="G949" i="99"/>
  <c r="G71" i="74"/>
  <c r="G966" i="99" s="1"/>
  <c r="G952" i="99"/>
  <c r="H947" i="99"/>
  <c r="I942" i="99"/>
  <c r="I948" i="99"/>
  <c r="F70" i="74"/>
  <c r="F66" i="74"/>
  <c r="E57" i="86"/>
  <c r="E58" i="86" s="1"/>
  <c r="E60" i="86" s="1"/>
  <c r="E64" i="86" s="1"/>
  <c r="K22"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H71" i="74" l="1"/>
  <c r="H966" i="99" s="1"/>
  <c r="I54" i="74"/>
  <c r="I949" i="99" s="1"/>
  <c r="H952" i="99"/>
  <c r="H965" i="99" s="1"/>
  <c r="H939" i="99"/>
  <c r="I44" i="74"/>
  <c r="G960" i="99"/>
  <c r="S931" i="99" s="1"/>
  <c r="G965" i="99"/>
  <c r="G961" i="99"/>
  <c r="J942" i="99"/>
  <c r="J54" i="74"/>
  <c r="J949" i="99" s="1"/>
  <c r="H961" i="99"/>
  <c r="H960" i="99"/>
  <c r="I952" i="99"/>
  <c r="I960" i="99" s="1"/>
  <c r="J948" i="99"/>
  <c r="I965" i="99"/>
  <c r="G66" i="74"/>
  <c r="G70" i="74"/>
  <c r="F57" i="86"/>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47" i="74"/>
  <c r="K48" i="74"/>
  <c r="K943" i="99" s="1"/>
  <c r="K53" i="74"/>
  <c r="K55" i="74"/>
  <c r="K950" i="99" s="1"/>
  <c r="H57" i="74"/>
  <c r="I71" i="74" l="1"/>
  <c r="I966" i="99" s="1"/>
  <c r="I961" i="99"/>
  <c r="J44" i="74"/>
  <c r="I939" i="99"/>
  <c r="S932" i="99"/>
  <c r="J71" i="74"/>
  <c r="J966" i="99" s="1"/>
  <c r="J947" i="99"/>
  <c r="J952" i="99" s="1"/>
  <c r="J960" i="99" s="1"/>
  <c r="S934" i="99" s="1"/>
  <c r="S933" i="99"/>
  <c r="K942" i="99"/>
  <c r="K948" i="99"/>
  <c r="H66" i="74"/>
  <c r="H70"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C95" i="74"/>
  <c r="C990" i="99" s="1"/>
  <c r="K54" i="74" l="1"/>
  <c r="K949" i="99" s="1"/>
  <c r="K44" i="74"/>
  <c r="J939" i="99"/>
  <c r="K947" i="99"/>
  <c r="K952" i="99" s="1"/>
  <c r="K965" i="99" s="1"/>
  <c r="B974" i="99"/>
  <c r="J961" i="99"/>
  <c r="J965" i="99"/>
  <c r="B980" i="99"/>
  <c r="I66" i="74"/>
  <c r="I70" i="74"/>
  <c r="H57" i="86"/>
  <c r="H58" i="86" s="1"/>
  <c r="H60" i="86" s="1"/>
  <c r="H64" i="86" s="1"/>
  <c r="K25" i="86" s="1"/>
  <c r="C86" i="90"/>
  <c r="F60" i="89"/>
  <c r="C103" i="74"/>
  <c r="C998" i="99" s="1"/>
  <c r="I65" i="74"/>
  <c r="L47" i="68"/>
  <c r="L289" i="99" s="1"/>
  <c r="J57" i="74"/>
  <c r="I64" i="82"/>
  <c r="I66" i="82" s="1"/>
  <c r="K52" i="74"/>
  <c r="B81" i="74"/>
  <c r="B976" i="99" s="1"/>
  <c r="B979" i="99" s="1"/>
  <c r="S37" i="74"/>
  <c r="D95" i="74"/>
  <c r="D990" i="99" s="1"/>
  <c r="H66" i="82"/>
  <c r="H71" i="82"/>
  <c r="H74" i="82" s="1"/>
  <c r="C79" i="74"/>
  <c r="D78" i="74"/>
  <c r="C88" i="74"/>
  <c r="C80" i="74"/>
  <c r="C975" i="99" s="1"/>
  <c r="C85" i="74"/>
  <c r="C87" i="74"/>
  <c r="C982" i="99" s="1"/>
  <c r="G75" i="82"/>
  <c r="G76" i="82" s="1"/>
  <c r="K71" i="74" l="1"/>
  <c r="K966" i="99" s="1"/>
  <c r="K960" i="99"/>
  <c r="S935" i="99" s="1"/>
  <c r="B76" i="74"/>
  <c r="K939" i="99"/>
  <c r="C974" i="99"/>
  <c r="K961" i="99"/>
  <c r="B86" i="74"/>
  <c r="C980" i="99"/>
  <c r="J66" i="74"/>
  <c r="J70" i="74"/>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C979" i="99" s="1"/>
  <c r="E95" i="74"/>
  <c r="E990" i="99" s="1"/>
  <c r="B84" i="74"/>
  <c r="H75" i="82"/>
  <c r="H76" i="82" s="1"/>
  <c r="K57" i="74"/>
  <c r="C76" i="74" l="1"/>
  <c r="B971" i="99"/>
  <c r="C86" i="74"/>
  <c r="B981" i="99"/>
  <c r="B102" i="74"/>
  <c r="D974" i="99"/>
  <c r="D86" i="74"/>
  <c r="D981" i="99" s="1"/>
  <c r="D980" i="99"/>
  <c r="K66" i="74"/>
  <c r="K70" i="74"/>
  <c r="E103" i="74"/>
  <c r="E998" i="99" s="1"/>
  <c r="S39" i="74"/>
  <c r="J71" i="82"/>
  <c r="J74" i="82" s="1"/>
  <c r="J75" i="82" s="1"/>
  <c r="J76" i="82" s="1"/>
  <c r="C84" i="74"/>
  <c r="F95" i="74"/>
  <c r="F990" i="99" s="1"/>
  <c r="K65" i="74"/>
  <c r="K64" i="82"/>
  <c r="D81" i="74"/>
  <c r="D976" i="99" s="1"/>
  <c r="F78" i="74"/>
  <c r="E88" i="74"/>
  <c r="E79" i="74"/>
  <c r="E80" i="74"/>
  <c r="E975" i="99" s="1"/>
  <c r="E85" i="74"/>
  <c r="E87" i="74"/>
  <c r="E982" i="99" s="1"/>
  <c r="B89" i="74"/>
  <c r="D979" i="99" l="1"/>
  <c r="D984" i="99" s="1"/>
  <c r="D991" i="99" s="1"/>
  <c r="C971" i="99"/>
  <c r="D76" i="74"/>
  <c r="C981" i="99"/>
  <c r="C102" i="74"/>
  <c r="D102" i="74"/>
  <c r="D997" i="99"/>
  <c r="E974" i="99"/>
  <c r="B984" i="99"/>
  <c r="B997" i="99"/>
  <c r="E980" i="99"/>
  <c r="B97" i="74"/>
  <c r="B101" i="74"/>
  <c r="F103" i="74"/>
  <c r="F998" i="99" s="1"/>
  <c r="B96" i="74"/>
  <c r="C89" i="74"/>
  <c r="D84" i="74"/>
  <c r="E81" i="74"/>
  <c r="E976" i="99" s="1"/>
  <c r="K71" i="82"/>
  <c r="K74" i="82" s="1"/>
  <c r="K66" i="82"/>
  <c r="F88" i="74"/>
  <c r="G78" i="74"/>
  <c r="F80" i="74"/>
  <c r="F975" i="99" s="1"/>
  <c r="F79" i="74"/>
  <c r="F85" i="74"/>
  <c r="F87" i="74"/>
  <c r="F982" i="99" s="1"/>
  <c r="S40" i="74"/>
  <c r="G95" i="74"/>
  <c r="G990" i="99" s="1"/>
  <c r="E86" i="74" l="1"/>
  <c r="E981" i="99" s="1"/>
  <c r="D971" i="99"/>
  <c r="E76" i="74"/>
  <c r="E979" i="99"/>
  <c r="C997" i="99"/>
  <c r="C984" i="99"/>
  <c r="D996" i="99"/>
  <c r="B991" i="99"/>
  <c r="B992" i="99"/>
  <c r="B996" i="99"/>
  <c r="D992" i="99"/>
  <c r="F974" i="99"/>
  <c r="E102" i="74"/>
  <c r="E997" i="99"/>
  <c r="E984" i="99"/>
  <c r="E996" i="99" s="1"/>
  <c r="F980" i="99"/>
  <c r="C97" i="74"/>
  <c r="C101" i="74"/>
  <c r="G103" i="74"/>
  <c r="G998" i="99" s="1"/>
  <c r="C96" i="74"/>
  <c r="E84" i="74"/>
  <c r="G79" i="74"/>
  <c r="G88" i="74"/>
  <c r="G80" i="74"/>
  <c r="G975" i="99" s="1"/>
  <c r="H78" i="74"/>
  <c r="G85" i="74"/>
  <c r="G87" i="74"/>
  <c r="G982" i="99" s="1"/>
  <c r="K75" i="82"/>
  <c r="K76" i="82" s="1"/>
  <c r="H95" i="74"/>
  <c r="H990" i="99" s="1"/>
  <c r="F81" i="74"/>
  <c r="F976" i="99" s="1"/>
  <c r="D89" i="74"/>
  <c r="E971" i="99" l="1"/>
  <c r="F76" i="74"/>
  <c r="C992" i="99"/>
  <c r="C996" i="99"/>
  <c r="C991" i="99"/>
  <c r="F86" i="74"/>
  <c r="F981" i="99" s="1"/>
  <c r="F997" i="99" s="1"/>
  <c r="F979" i="99"/>
  <c r="G974" i="99"/>
  <c r="E991" i="99"/>
  <c r="E992" i="99"/>
  <c r="G980" i="99"/>
  <c r="D101" i="74"/>
  <c r="D97" i="74"/>
  <c r="H103" i="74"/>
  <c r="H998" i="99" s="1"/>
  <c r="D96" i="74"/>
  <c r="E89" i="74"/>
  <c r="F84" i="74"/>
  <c r="H88" i="74"/>
  <c r="H80" i="74"/>
  <c r="H975" i="99" s="1"/>
  <c r="H79" i="74"/>
  <c r="I78" i="74"/>
  <c r="H85" i="74"/>
  <c r="H87" i="74"/>
  <c r="H982" i="99" s="1"/>
  <c r="G81" i="74"/>
  <c r="G976" i="99" s="1"/>
  <c r="I95" i="74"/>
  <c r="I990" i="99" s="1"/>
  <c r="F102" i="74" l="1"/>
  <c r="F984" i="99"/>
  <c r="F996" i="99" s="1"/>
  <c r="G76" i="74"/>
  <c r="G971" i="99" s="1"/>
  <c r="F971" i="99"/>
  <c r="F992" i="99"/>
  <c r="F991" i="99"/>
  <c r="G86" i="74"/>
  <c r="G981" i="99" s="1"/>
  <c r="G997" i="99" s="1"/>
  <c r="H974" i="99"/>
  <c r="G979" i="99"/>
  <c r="H980" i="99"/>
  <c r="E97" i="74"/>
  <c r="E101" i="74"/>
  <c r="I103" i="74"/>
  <c r="I998" i="99" s="1"/>
  <c r="E96" i="74"/>
  <c r="F89" i="74"/>
  <c r="G84" i="74"/>
  <c r="I88" i="74"/>
  <c r="I79" i="74"/>
  <c r="J78" i="74"/>
  <c r="I80" i="74"/>
  <c r="I975" i="99" s="1"/>
  <c r="I85" i="74"/>
  <c r="I87" i="74"/>
  <c r="I982" i="99" s="1"/>
  <c r="H81" i="74"/>
  <c r="H976" i="99" s="1"/>
  <c r="H979" i="99" s="1"/>
  <c r="J95" i="74"/>
  <c r="J990" i="99" s="1"/>
  <c r="G102" i="74" l="1"/>
  <c r="G984" i="99"/>
  <c r="G991" i="99" s="1"/>
  <c r="G992" i="99"/>
  <c r="G996" i="99"/>
  <c r="I974" i="99"/>
  <c r="H86" i="74"/>
  <c r="I980" i="99"/>
  <c r="F101" i="74"/>
  <c r="F97" i="74"/>
  <c r="J103" i="74"/>
  <c r="J998" i="99" s="1"/>
  <c r="F96" i="74"/>
  <c r="J80" i="74"/>
  <c r="J975" i="99" s="1"/>
  <c r="K78" i="74"/>
  <c r="J79" i="74"/>
  <c r="J88" i="74"/>
  <c r="J85" i="74"/>
  <c r="J87" i="74"/>
  <c r="J982" i="99" s="1"/>
  <c r="I81" i="74"/>
  <c r="I976" i="99" s="1"/>
  <c r="K95" i="74"/>
  <c r="K990" i="99" s="1"/>
  <c r="G89" i="74"/>
  <c r="H84" i="74"/>
  <c r="I979" i="99" l="1"/>
  <c r="I86" i="74"/>
  <c r="H981" i="99"/>
  <c r="H102" i="74"/>
  <c r="J974" i="99"/>
  <c r="J86" i="74"/>
  <c r="J981" i="99" s="1"/>
  <c r="J980" i="99"/>
  <c r="G101" i="74"/>
  <c r="G97" i="74"/>
  <c r="K103" i="74"/>
  <c r="K998" i="99" s="1"/>
  <c r="G96" i="74"/>
  <c r="H89" i="74"/>
  <c r="J81" i="74"/>
  <c r="J976" i="99" s="1"/>
  <c r="B125" i="74"/>
  <c r="B1020" i="99" s="1"/>
  <c r="K80" i="74"/>
  <c r="K975" i="99" s="1"/>
  <c r="B108" i="74"/>
  <c r="K88" i="74"/>
  <c r="K79" i="74"/>
  <c r="K85" i="74"/>
  <c r="K87" i="74"/>
  <c r="K982" i="99" s="1"/>
  <c r="I84" i="74"/>
  <c r="K974" i="99" l="1"/>
  <c r="H997" i="99"/>
  <c r="H984" i="99"/>
  <c r="I981" i="99"/>
  <c r="I102" i="74"/>
  <c r="J997" i="99"/>
  <c r="J979" i="99"/>
  <c r="J984" i="99" s="1"/>
  <c r="J102" i="74"/>
  <c r="K980" i="99"/>
  <c r="H101" i="74"/>
  <c r="H97" i="74"/>
  <c r="B133" i="74"/>
  <c r="B1028" i="99" s="1"/>
  <c r="H96" i="74"/>
  <c r="J84" i="74"/>
  <c r="K81" i="74"/>
  <c r="K976" i="99" s="1"/>
  <c r="C125" i="74"/>
  <c r="C1020" i="99" s="1"/>
  <c r="I89" i="74"/>
  <c r="B109" i="74"/>
  <c r="C108" i="74"/>
  <c r="B110" i="74"/>
  <c r="B1005" i="99" s="1"/>
  <c r="B118" i="74"/>
  <c r="B115" i="74"/>
  <c r="B117" i="74"/>
  <c r="B1012" i="99" s="1"/>
  <c r="K979" i="99" l="1"/>
  <c r="J991" i="99"/>
  <c r="J992" i="99"/>
  <c r="J996" i="99"/>
  <c r="B1004" i="99"/>
  <c r="I997" i="99"/>
  <c r="I984" i="99"/>
  <c r="H992" i="99"/>
  <c r="H996" i="99"/>
  <c r="H991" i="99"/>
  <c r="K86" i="74"/>
  <c r="B1010" i="99"/>
  <c r="I97" i="74"/>
  <c r="I101" i="74"/>
  <c r="C133" i="74"/>
  <c r="C1028" i="99" s="1"/>
  <c r="I96" i="74"/>
  <c r="J89" i="74"/>
  <c r="K84" i="74"/>
  <c r="D108" i="74"/>
  <c r="C109" i="74"/>
  <c r="C118" i="74"/>
  <c r="C110" i="74"/>
  <c r="C1005" i="99" s="1"/>
  <c r="C115" i="74"/>
  <c r="C117" i="74"/>
  <c r="C1012" i="99" s="1"/>
  <c r="D125" i="74"/>
  <c r="D1020" i="99" s="1"/>
  <c r="B111" i="74"/>
  <c r="B1006" i="99" s="1"/>
  <c r="B1009" i="99" l="1"/>
  <c r="I991" i="99"/>
  <c r="I996" i="99"/>
  <c r="I992" i="99"/>
  <c r="B116" i="74"/>
  <c r="K981" i="99"/>
  <c r="K102" i="74"/>
  <c r="C1004" i="99"/>
  <c r="C1010" i="99"/>
  <c r="J97" i="74"/>
  <c r="J101" i="74"/>
  <c r="D133" i="74"/>
  <c r="D1028" i="99" s="1"/>
  <c r="K89" i="74"/>
  <c r="J96" i="74"/>
  <c r="B114" i="74"/>
  <c r="C111" i="74"/>
  <c r="C1006" i="99" s="1"/>
  <c r="C1009" i="99" s="1"/>
  <c r="E125" i="74"/>
  <c r="E1020" i="99" s="1"/>
  <c r="D118" i="74"/>
  <c r="D109" i="74"/>
  <c r="E108" i="74"/>
  <c r="D110" i="74"/>
  <c r="D1005" i="99" s="1"/>
  <c r="D115" i="74"/>
  <c r="D117" i="74"/>
  <c r="D1012" i="99" s="1"/>
  <c r="B1011" i="99" l="1"/>
  <c r="B132" i="74"/>
  <c r="K984" i="99"/>
  <c r="K997" i="99"/>
  <c r="D1004" i="99"/>
  <c r="D116" i="74"/>
  <c r="D1011" i="99" s="1"/>
  <c r="C116" i="74"/>
  <c r="D1010" i="99"/>
  <c r="K97" i="74"/>
  <c r="K101" i="74"/>
  <c r="E133" i="74"/>
  <c r="E1028" i="99" s="1"/>
  <c r="K96" i="74"/>
  <c r="B119" i="74"/>
  <c r="C114" i="74"/>
  <c r="F125" i="74"/>
  <c r="F1020" i="99" s="1"/>
  <c r="F108" i="74"/>
  <c r="E109" i="74"/>
  <c r="E118" i="74"/>
  <c r="E110" i="74"/>
  <c r="E1005" i="99" s="1"/>
  <c r="E115" i="74"/>
  <c r="E117" i="74"/>
  <c r="E1012" i="99" s="1"/>
  <c r="D111" i="74"/>
  <c r="D1006" i="99" s="1"/>
  <c r="K996" i="99" l="1"/>
  <c r="K991" i="99"/>
  <c r="K992" i="99"/>
  <c r="D1009" i="99"/>
  <c r="D1014" i="99" s="1"/>
  <c r="D1021" i="99" s="1"/>
  <c r="D132" i="74"/>
  <c r="E1004" i="99"/>
  <c r="E116" i="74"/>
  <c r="E1011" i="99" s="1"/>
  <c r="D1027" i="99"/>
  <c r="C1011" i="99"/>
  <c r="C132" i="74"/>
  <c r="B1014" i="99"/>
  <c r="B1027" i="99"/>
  <c r="E1010" i="99"/>
  <c r="B127" i="74"/>
  <c r="B131" i="74"/>
  <c r="D1026" i="99"/>
  <c r="F133" i="74"/>
  <c r="F1028" i="99" s="1"/>
  <c r="B126" i="74"/>
  <c r="C119" i="74"/>
  <c r="E111" i="74"/>
  <c r="E1006" i="99" s="1"/>
  <c r="F118" i="74"/>
  <c r="F110" i="74"/>
  <c r="F1005" i="99" s="1"/>
  <c r="F109" i="74"/>
  <c r="F115" i="74"/>
  <c r="F117" i="74"/>
  <c r="F1012" i="99" s="1"/>
  <c r="D114" i="74"/>
  <c r="E1009" i="99" l="1"/>
  <c r="E1014" i="99"/>
  <c r="E1022" i="99" s="1"/>
  <c r="B1026" i="99"/>
  <c r="B1022" i="99"/>
  <c r="B1021" i="99"/>
  <c r="E132" i="74"/>
  <c r="E1027" i="99"/>
  <c r="D1022" i="99"/>
  <c r="F1004" i="99"/>
  <c r="C1014" i="99"/>
  <c r="C1027" i="99"/>
  <c r="F1010" i="99"/>
  <c r="C131" i="74"/>
  <c r="C127" i="74"/>
  <c r="C126" i="74"/>
  <c r="E114" i="74"/>
  <c r="F111" i="74"/>
  <c r="F1006" i="99" s="1"/>
  <c r="D119" i="74"/>
  <c r="E1021" i="99" l="1"/>
  <c r="E1026" i="99"/>
  <c r="F1009" i="99"/>
  <c r="C1021" i="99"/>
  <c r="C1026" i="99"/>
  <c r="C1022" i="99"/>
  <c r="F116" i="74"/>
  <c r="D127" i="74"/>
  <c r="D131" i="74"/>
  <c r="D126" i="74"/>
  <c r="E119" i="74"/>
  <c r="F114" i="74"/>
  <c r="F1011" i="99" l="1"/>
  <c r="F132" i="74"/>
  <c r="E127" i="74"/>
  <c r="E131" i="74"/>
  <c r="E126" i="74"/>
  <c r="F119" i="74"/>
  <c r="F1027" i="99" l="1"/>
  <c r="F1014" i="99"/>
  <c r="F131" i="74"/>
  <c r="F127" i="74"/>
  <c r="F126" i="74"/>
  <c r="F1026" i="99" l="1"/>
  <c r="F1022" i="99"/>
  <c r="F1021" i="99"/>
  <c r="E15" i="72"/>
  <c r="E20" i="72" l="1"/>
  <c r="E21" i="72" l="1"/>
  <c r="E16" i="72" l="1"/>
  <c r="P232" i="72"/>
  <c r="P441" i="72" s="1"/>
  <c r="O6" i="72" l="1"/>
  <c r="L232" i="72"/>
  <c r="L190" i="72"/>
  <c r="AE44" i="72"/>
  <c r="AE62" i="72" s="1"/>
  <c r="AD44" i="72"/>
  <c r="AD62" i="72" s="1"/>
  <c r="Y44" i="72"/>
  <c r="Y62" i="72" s="1"/>
  <c r="X44" i="72"/>
  <c r="X62"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<sst xmlns="http://schemas.openxmlformats.org/spreadsheetml/2006/main" count="19425" uniqueCount="7016">
  <si>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</si>
  <si>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</si>
  <si>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</si>
  <si>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</si>
  <si>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</si>
  <si>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</si>
  <si>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</si>
  <si>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</si>
  <si>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</si>
  <si>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</si>
  <si>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</si>
  <si>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</si>
  <si>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</si>
  <si>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</si>
  <si>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</si>
  <si>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</si>
  <si>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</si>
  <si>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</si>
  <si>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</si>
  <si>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</si>
  <si>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</si>
  <si>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</si>
  <si>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</si>
  <si>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</si>
  <si>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</si>
  <si>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</si>
  <si>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</si>
  <si>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</si>
  <si>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</si>
  <si>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</si>
  <si>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</si>
  <si>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</si>
  <si>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</si>
  <si>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</si>
  <si>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</si>
  <si>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</si>
  <si>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</si>
  <si>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</si>
  <si>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</si>
  <si>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</si>
  <si>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</si>
  <si>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</si>
  <si>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</si>
  <si>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</si>
  <si>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</si>
  <si>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</si>
  <si>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</si>
  <si>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</si>
  <si>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</si>
  <si>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</si>
  <si>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</si>
  <si>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</si>
  <si>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</si>
  <si>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</si>
  <si>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</si>
  <si>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</si>
  <si>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</si>
  <si>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</si>
  <si>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</si>
  <si>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</si>
  <si>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</si>
  <si>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</si>
  <si>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</si>
  <si>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</si>
  <si>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</si>
  <si>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</si>
  <si>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</si>
  <si>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</si>
  <si>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</si>
  <si>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</si>
  <si>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</si>
  <si>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</si>
  <si>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</si>
  <si>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</si>
  <si>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</si>
  <si>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</si>
  <si>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</si>
  <si>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</si>
  <si>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</si>
  <si>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</si>
  <si>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</si>
  <si>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</si>
  <si>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</si>
  <si>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</si>
  <si>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</si>
  <si>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</si>
  <si>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</si>
  <si>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</si>
  <si>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</si>
  <si>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</si>
  <si>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</si>
  <si>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</si>
  <si>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</si>
  <si>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</si>
  <si>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</si>
  <si>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</si>
  <si>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</si>
  <si>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</si>
  <si>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</si>
  <si>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</si>
  <si>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</si>
  <si>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</si>
  <si>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</si>
  <si>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</si>
  <si>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</si>
  <si>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</si>
  <si>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</si>
  <si>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</si>
  <si>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</si>
  <si>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</si>
  <si>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</si>
  <si>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</si>
  <si>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</si>
  <si>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</si>
  <si>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</si>
  <si>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</si>
  <si>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</si>
  <si>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</si>
  <si>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</si>
  <si>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</si>
  <si>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</si>
  <si>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</si>
  <si>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</si>
  <si>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</si>
  <si>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</si>
  <si>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</si>
  <si>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</si>
  <si>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</si>
  <si>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</si>
  <si>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</si>
  <si>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</si>
  <si>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</si>
  <si>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</si>
  <si>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</si>
  <si>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</si>
  <si>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</si>
  <si>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</si>
  <si>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</si>
  <si>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</si>
  <si>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</si>
  <si>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</si>
  <si>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</si>
  <si>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</si>
  <si>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</si>
  <si>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</si>
  <si>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</si>
  <si>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</si>
  <si>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</si>
  <si>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</si>
  <si>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</si>
  <si>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</si>
  <si>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</si>
  <si>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</si>
  <si>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</si>
  <si>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</si>
  <si>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</si>
  <si>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</si>
  <si>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</si>
  <si>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</si>
  <si>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</si>
  <si>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</si>
  <si>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</si>
  <si>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</si>
  <si>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</si>
  <si>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</si>
  <si>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</si>
  <si>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</si>
  <si>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</si>
  <si>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</si>
  <si>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</si>
  <si>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</si>
  <si>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</si>
  <si>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</si>
  <si>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</si>
  <si>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</si>
  <si>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</si>
  <si>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</si>
  <si>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</si>
  <si>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</si>
  <si>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</si>
  <si>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</si>
  <si>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</si>
  <si>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</si>
  <si>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</si>
  <si>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</si>
  <si>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</si>
  <si>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</si>
  <si>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</si>
  <si>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</si>
  <si>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</si>
  <si>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</si>
  <si>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</si>
  <si>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</si>
  <si>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</si>
  <si>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</si>
  <si>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</si>
  <si>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</si>
  <si>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</si>
  <si>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</si>
  <si>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</si>
  <si>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</si>
  <si>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</si>
  <si>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</si>
  <si>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</si>
  <si>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</si>
  <si>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</si>
  <si>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</si>
  <si>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</si>
  <si>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</si>
  <si>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</si>
  <si>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</si>
  <si>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</si>
  <si>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</si>
  <si>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</si>
  <si>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</si>
  <si>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</si>
  <si>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</si>
  <si>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</si>
  <si>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</si>
  <si>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</si>
  <si>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</si>
  <si>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</si>
  <si>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</si>
  <si>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</si>
  <si>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</si>
  <si>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</si>
  <si>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</si>
  <si>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</si>
  <si>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</si>
  <si>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</si>
  <si>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</si>
  <si>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</si>
  <si>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</si>
  <si>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</si>
  <si>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</si>
  <si>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</si>
  <si>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</si>
  <si>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</si>
  <si>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</si>
  <si>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</si>
  <si>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</si>
  <si>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</si>
  <si>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</si>
  <si>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</si>
  <si>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</si>
  <si>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</si>
  <si>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</si>
  <si>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</si>
  <si>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</si>
  <si>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</si>
  <si>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</si>
  <si>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</si>
  <si>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</si>
  <si>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</si>
  <si>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</si>
  <si>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</si>
  <si>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</si>
  <si>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</si>
  <si>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</si>
  <si>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</si>
  <si>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</si>
  <si>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</si>
  <si>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</si>
  <si>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</si>
  <si>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</si>
  <si>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</si>
  <si>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</si>
  <si>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</si>
  <si>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</si>
  <si>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</si>
  <si>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</si>
  <si>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</si>
  <si>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</si>
  <si>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</si>
  <si>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</si>
  <si>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</si>
  <si>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</si>
  <si>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</si>
  <si>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</si>
  <si>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</si>
  <si>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</si>
  <si>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</si>
  <si>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</si>
  <si>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</si>
  <si>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</si>
  <si>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</si>
  <si>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</si>
  <si>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</si>
  <si>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</si>
  <si>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</si>
  <si>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</si>
  <si>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</si>
  <si>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</si>
  <si>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</si>
  <si>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</si>
  <si>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</si>
  <si>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</si>
  <si>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</si>
  <si>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</si>
  <si>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</si>
  <si>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</si>
  <si>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</si>
  <si>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</si>
  <si>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</si>
  <si>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</si>
  <si>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</si>
  <si>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</si>
  <si>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</si>
  <si>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</si>
  <si>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</si>
  <si>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</si>
  <si>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</si>
  <si>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</si>
  <si>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</si>
  <si>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</si>
  <si>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</si>
  <si>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</si>
  <si>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</si>
  <si>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</si>
  <si>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</si>
  <si>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</si>
  <si>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</si>
  <si>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</si>
  <si>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</si>
  <si>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</si>
  <si>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</si>
  <si>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</si>
  <si>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</si>
  <si>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</si>
  <si>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</si>
  <si>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</si>
  <si>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</si>
  <si>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</si>
  <si>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</si>
  <si>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</si>
  <si>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</si>
  <si>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</si>
  <si>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</si>
  <si>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</si>
  <si>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</si>
  <si>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</si>
  <si>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</si>
  <si>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</si>
  <si>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</si>
  <si>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</si>
  <si>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</si>
  <si>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</si>
  <si>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</si>
  <si>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</si>
  <si>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</si>
  <si>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</si>
  <si>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</si>
  <si>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</si>
  <si>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</si>
  <si>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</si>
  <si>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</si>
  <si>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</si>
  <si>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</si>
  <si>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</si>
  <si>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</si>
  <si>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</si>
  <si>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</si>
  <si>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</si>
  <si>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</si>
  <si>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</si>
  <si>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</si>
  <si>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</si>
  <si>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</si>
  <si>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</si>
  <si>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</si>
  <si>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</si>
  <si>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</si>
  <si>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</si>
  <si>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</si>
  <si>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</si>
  <si>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</si>
  <si>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</si>
  <si>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</si>
  <si>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</si>
  <si>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</si>
  <si>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</si>
  <si>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</si>
  <si>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</si>
  <si>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</si>
  <si>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</si>
  <si>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</si>
  <si>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</si>
  <si>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</si>
  <si>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</si>
  <si>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</si>
  <si>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</si>
  <si>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</si>
  <si>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</si>
  <si>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</si>
  <si>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</si>
  <si>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</si>
  <si>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</si>
  <si>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</si>
  <si>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</si>
  <si>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</si>
  <si>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</si>
  <si>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</si>
  <si>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</si>
  <si>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</si>
  <si>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</si>
  <si>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</si>
  <si>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</si>
  <si>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</si>
  <si>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</si>
  <si>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</si>
  <si>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</si>
  <si>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</si>
  <si>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</si>
  <si>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</si>
  <si>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</si>
  <si>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</si>
  <si>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</si>
  <si>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</si>
  <si>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</si>
  <si>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</si>
  <si>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</si>
  <si>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</si>
  <si>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</si>
  <si>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</si>
  <si>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</si>
  <si>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</si>
  <si>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</si>
  <si>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</si>
  <si>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</si>
  <si>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</si>
  <si>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</si>
  <si>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</si>
  <si>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</si>
  <si>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</si>
  <si>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</si>
  <si>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</si>
  <si>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</si>
  <si>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</si>
  <si>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</si>
  <si>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</si>
  <si>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</si>
  <si>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</si>
  <si>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</si>
  <si>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</si>
  <si>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</si>
  <si>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</si>
  <si>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</si>
  <si>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</si>
  <si>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</si>
  <si>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</si>
  <si>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</si>
  <si>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</si>
  <si>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</si>
  <si>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</si>
  <si>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</si>
  <si>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</si>
  <si>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</si>
  <si>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</si>
  <si>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</si>
  <si>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</si>
  <si>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</si>
  <si>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</si>
  <si>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</si>
  <si>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</si>
  <si>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</si>
  <si>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</si>
  <si>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</si>
  <si>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</si>
  <si>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</si>
  <si>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</si>
  <si>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</si>
  <si>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</si>
  <si>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</si>
  <si>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</si>
  <si>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</si>
  <si>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</si>
  <si>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</si>
  <si>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</si>
  <si>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</si>
  <si>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</si>
  <si>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</si>
  <si>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</si>
  <si>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</si>
  <si>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</si>
  <si>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</si>
  <si>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</si>
  <si>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</si>
  <si>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</si>
  <si>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</si>
  <si>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</si>
  <si>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</si>
  <si>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</si>
  <si>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</si>
  <si>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</si>
  <si>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</si>
  <si>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</si>
  <si>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</si>
  <si>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</si>
  <si>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</si>
  <si>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</si>
  <si>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</si>
  <si>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</si>
  <si>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</si>
  <si>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</si>
  <si>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</si>
  <si>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</si>
  <si>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</si>
  <si>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</si>
  <si>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</si>
  <si>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</si>
  <si>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</si>
  <si>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</si>
  <si>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</si>
  <si>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</si>
  <si>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</si>
  <si>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</si>
  <si>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</si>
  <si>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</si>
  <si>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</si>
  <si>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</si>
  <si>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</si>
  <si>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</si>
  <si>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</si>
  <si>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</si>
  <si>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</si>
  <si>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</si>
  <si>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</si>
  <si>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</si>
  <si>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</si>
  <si>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</si>
  <si>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</si>
  <si>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</si>
  <si>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</si>
  <si>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</si>
  <si>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</si>
  <si>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</si>
  <si>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</si>
  <si>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</si>
  <si>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</si>
  <si>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</si>
  <si>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</si>
  <si>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</si>
  <si>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</si>
  <si>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</si>
  <si>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</si>
  <si>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</si>
  <si>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</si>
  <si>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</si>
  <si>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</si>
  <si>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</si>
  <si>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</si>
  <si>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</si>
  <si>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</si>
  <si>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</si>
  <si>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</si>
  <si>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</si>
  <si>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</si>
  <si>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</si>
  <si>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</si>
  <si>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</si>
  <si>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</si>
  <si>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</si>
  <si>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</si>
  <si>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</si>
  <si>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</si>
  <si>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</si>
  <si>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</si>
  <si>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</si>
  <si>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</si>
  <si>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</si>
  <si>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</si>
  <si>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</si>
  <si>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</si>
  <si>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</si>
  <si>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</si>
  <si>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</si>
  <si>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</si>
  <si>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</si>
  <si>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</si>
  <si>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</si>
  <si>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</si>
  <si>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</si>
  <si>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</si>
  <si>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</si>
  <si>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</si>
  <si>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</si>
  <si>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</si>
  <si>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</si>
  <si>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</si>
  <si>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</si>
  <si>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</si>
  <si>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</si>
  <si>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</si>
  <si>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</si>
  <si>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</si>
  <si>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</si>
  <si>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</si>
  <si>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</si>
  <si>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</si>
  <si>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</si>
  <si>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</si>
  <si>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</si>
  <si>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</si>
  <si>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</si>
  <si>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</si>
  <si>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</si>
  <si>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</si>
  <si>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</si>
  <si>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</si>
  <si>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</si>
  <si>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</si>
  <si>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</si>
  <si>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</si>
  <si>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</si>
  <si>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</si>
  <si>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</si>
  <si>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</si>
  <si>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</si>
  <si>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</si>
  <si>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</si>
  <si>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</si>
  <si>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</si>
  <si>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</si>
  <si>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</si>
  <si>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</si>
  <si>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</si>
  <si>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</si>
  <si>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</si>
  <si>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</si>
  <si>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</si>
  <si>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</si>
  <si>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</si>
  <si>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</si>
  <si>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</si>
  <si>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</si>
  <si>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</si>
  <si>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</si>
  <si>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</si>
  <si>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</si>
  <si>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</si>
  <si>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</si>
  <si>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</si>
  <si>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</si>
  <si>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</si>
  <si>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</si>
  <si>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</si>
  <si>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</si>
  <si>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</si>
  <si>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</si>
  <si>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</si>
  <si>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</si>
  <si>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</si>
  <si>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</si>
  <si>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</si>
  <si>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</si>
  <si>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</si>
  <si>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</si>
  <si>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</si>
  <si>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</si>
  <si>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</si>
  <si>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</si>
  <si>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</si>
  <si>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</si>
  <si>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</si>
  <si>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</si>
  <si>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</si>
  <si>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</si>
  <si>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</si>
  <si>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</si>
  <si>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</si>
  <si>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</si>
  <si>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</si>
  <si>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</si>
  <si>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</si>
  <si>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</si>
  <si>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</si>
  <si>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</si>
  <si>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</si>
  <si>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</si>
  <si>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</si>
  <si>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</si>
  <si>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</si>
  <si>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</si>
  <si>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</si>
  <si>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</si>
  <si>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</si>
  <si>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</si>
  <si>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</si>
  <si>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</si>
  <si>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</si>
  <si>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</si>
  <si>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</si>
  <si>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</si>
  <si>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</si>
  <si>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</si>
  <si>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</si>
  <si>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</si>
  <si>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</si>
  <si>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</si>
  <si>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</si>
  <si>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</si>
  <si>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</si>
  <si>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</si>
  <si>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</si>
  <si>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</si>
  <si>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</si>
  <si>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</si>
  <si>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</si>
  <si>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</si>
  <si>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</si>
  <si>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</si>
  <si>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</si>
  <si>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</si>
  <si>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</si>
  <si>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</si>
  <si>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</si>
  <si>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</si>
  <si>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</si>
  <si>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</si>
  <si>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</si>
  <si>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</si>
  <si>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</si>
  <si>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</si>
  <si>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</si>
  <si>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</si>
  <si>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</si>
  <si>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</si>
  <si>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</si>
  <si>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</si>
  <si>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</si>
  <si>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</si>
  <si>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</si>
  <si>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</si>
  <si>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</si>
  <si>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</si>
  <si>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</si>
  <si>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</si>
  <si>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</si>
  <si>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</si>
  <si>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</si>
  <si>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</si>
  <si>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</si>
  <si>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</si>
  <si>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</si>
  <si>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</si>
  <si>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</si>
  <si>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</si>
  <si>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</si>
  <si>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</si>
  <si>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</si>
  <si>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</si>
  <si>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</si>
  <si>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</si>
  <si>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</si>
  <si>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</si>
  <si>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</si>
  <si>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</si>
  <si>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</si>
  <si>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</si>
  <si>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</si>
  <si>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</si>
  <si>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</si>
  <si>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</si>
  <si>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</si>
  <si>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</si>
  <si>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</si>
  <si>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</si>
  <si>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</si>
  <si>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</si>
  <si>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</si>
  <si>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</si>
  <si>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</si>
  <si>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</si>
  <si>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</si>
  <si>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</si>
  <si>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</si>
  <si>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</si>
  <si>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</si>
  <si>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</si>
  <si>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</si>
  <si>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</si>
  <si>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</si>
  <si>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</si>
  <si>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</si>
  <si>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</si>
  <si>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</si>
  <si>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</si>
  <si>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</si>
  <si>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</si>
  <si>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</si>
  <si>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</si>
  <si>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</si>
  <si>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</si>
  <si>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</si>
  <si>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</si>
  <si>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</si>
  <si>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</si>
  <si>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</si>
  <si>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</si>
  <si>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</si>
  <si>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</si>
  <si>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</si>
  <si>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</si>
  <si>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</si>
  <si>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</si>
  <si>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</si>
  <si>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</si>
  <si>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</si>
  <si>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</si>
  <si>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</si>
  <si>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</si>
  <si>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</si>
  <si>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</si>
  <si>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</si>
  <si>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</si>
  <si>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</si>
  <si>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</si>
  <si>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</si>
  <si>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</si>
  <si>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</si>
  <si>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</si>
  <si>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</si>
  <si>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</si>
  <si>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</si>
  <si>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</si>
  <si>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</si>
  <si>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</si>
  <si>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</si>
  <si>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</si>
  <si>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</si>
  <si>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</si>
  <si>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</si>
  <si>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</si>
  <si>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</si>
  <si>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</si>
  <si>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</si>
  <si>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</si>
  <si>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</si>
  <si>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</si>
  <si>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</si>
  <si>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</si>
  <si>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</si>
  <si>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</si>
  <si>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</si>
  <si>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</si>
  <si>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</si>
  <si>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</si>
  <si>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</si>
  <si>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</si>
  <si>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</si>
  <si>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</si>
  <si>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</si>
  <si>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</si>
  <si>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</si>
  <si>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</si>
  <si>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</si>
  <si>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</si>
  <si>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</si>
  <si>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</si>
  <si>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</si>
  <si>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</si>
  <si>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</si>
  <si>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</si>
  <si>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</si>
  <si>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</si>
  <si>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</si>
  <si>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</si>
  <si>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</si>
  <si>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</si>
  <si>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</si>
  <si>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</si>
  <si>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</si>
  <si>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</si>
  <si>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</si>
  <si>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</si>
  <si>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</si>
  <si>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</si>
  <si>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</si>
  <si>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</si>
  <si>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</si>
  <si>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</si>
  <si>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</si>
  <si>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</si>
  <si>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</si>
  <si>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</si>
  <si>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</si>
  <si>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</si>
  <si>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</si>
  <si>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</si>
  <si>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</si>
  <si>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</si>
  <si>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</si>
  <si>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</si>
  <si>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</si>
  <si>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</si>
  <si>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</si>
  <si>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</si>
  <si>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</si>
  <si>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</si>
  <si>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</si>
  <si>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</si>
  <si>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</si>
  <si>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</si>
  <si>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</si>
  <si>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</si>
  <si>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</si>
  <si>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</si>
  <si>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</si>
  <si>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</si>
  <si>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</si>
  <si>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</si>
  <si>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</si>
  <si>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</si>
  <si>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</si>
  <si>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</si>
  <si>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</si>
  <si>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</si>
  <si>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</si>
  <si>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</si>
  <si>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</si>
  <si>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</si>
  <si>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</si>
  <si>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</si>
  <si>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</si>
  <si>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</si>
  <si>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</si>
  <si>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</si>
  <si>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</si>
  <si>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</si>
  <si>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</si>
  <si>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</si>
  <si>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</si>
  <si>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</si>
  <si>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</si>
  <si>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</si>
  <si>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</si>
  <si>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</si>
  <si>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</si>
  <si>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</si>
  <si>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</si>
  <si>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</si>
  <si>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</si>
  <si>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</si>
  <si>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</si>
  <si>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</si>
  <si>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</si>
  <si>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</si>
  <si>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</si>
  <si>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</si>
  <si>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</si>
  <si>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</si>
  <si>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</si>
  <si>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</si>
  <si>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</si>
  <si>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</si>
  <si>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</si>
  <si>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</si>
  <si>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</si>
  <si>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</si>
  <si>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</si>
  <si>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</si>
  <si>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</si>
  <si>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</si>
  <si>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</si>
  <si>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</si>
  <si>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</si>
  <si>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</si>
  <si>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</si>
  <si>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</si>
  <si>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</si>
  <si>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</si>
  <si>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</si>
  <si>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</si>
  <si>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</si>
  <si>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</si>
  <si>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</si>
  <si>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</si>
  <si>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</si>
  <si>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</si>
  <si>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</si>
  <si>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</si>
  <si>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</si>
  <si>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</si>
  <si>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</si>
  <si>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</si>
  <si>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</si>
  <si>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</si>
  <si>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</si>
  <si>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</si>
  <si>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</si>
  <si>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</si>
  <si>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</si>
  <si>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</si>
  <si>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</si>
  <si>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</si>
  <si>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</si>
  <si>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</si>
  <si>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</si>
  <si>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</si>
  <si>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</si>
  <si>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</si>
  <si>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</si>
  <si>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</si>
  <si>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</si>
  <si>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</si>
  <si>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</si>
  <si>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</si>
  <si>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</si>
  <si>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</si>
  <si>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</si>
  <si>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</si>
  <si>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</si>
  <si>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</si>
  <si>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</si>
  <si>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</si>
  <si>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</si>
  <si>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</si>
  <si>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</si>
  <si>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</si>
  <si>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</si>
  <si>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</si>
  <si>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</si>
  <si>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</si>
  <si>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</si>
  <si>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</si>
  <si>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</si>
  <si>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</si>
  <si>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</si>
  <si>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</si>
  <si>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</si>
  <si>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</si>
  <si>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</si>
  <si>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</si>
  <si>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</si>
  <si>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</si>
  <si>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</si>
  <si>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</si>
  <si>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</si>
  <si>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</si>
  <si>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</si>
  <si>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</si>
  <si>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</si>
  <si>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</si>
  <si>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</si>
  <si>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</si>
  <si>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</si>
  <si>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</si>
  <si>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</si>
  <si>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</si>
  <si>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</si>
  <si>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</si>
  <si>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</si>
  <si>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</si>
  <si>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</si>
  <si>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</si>
  <si>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</si>
  <si>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</si>
  <si>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</si>
  <si>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</si>
  <si>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</si>
  <si>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</si>
  <si>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</si>
  <si>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</si>
  <si>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</si>
  <si>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</si>
  <si>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</si>
  <si>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</si>
  <si>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</si>
  <si>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</si>
  <si>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</si>
  <si>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</si>
  <si>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</si>
  <si>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</si>
  <si>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</si>
  <si>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</si>
  <si>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</si>
  <si>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</si>
  <si>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</si>
  <si>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</si>
  <si>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</si>
  <si>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</si>
  <si>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</si>
  <si>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</si>
  <si>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</si>
  <si>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</si>
  <si>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</si>
  <si>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</si>
  <si>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</si>
  <si>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</si>
  <si>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</si>
  <si>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</si>
  <si>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</si>
  <si>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</si>
  <si>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</si>
  <si>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</si>
  <si>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</si>
  <si>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</si>
  <si>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</si>
  <si>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</si>
  <si>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</si>
  <si>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</si>
  <si>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</si>
  <si>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</si>
  <si>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</si>
  <si>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</si>
  <si>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</si>
  <si>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</si>
  <si>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</si>
  <si>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</si>
  <si>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</si>
  <si>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</si>
  <si>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</si>
  <si>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</si>
  <si>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</si>
  <si>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</si>
  <si>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</si>
  <si>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</si>
  <si>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</si>
  <si>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</si>
  <si>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</si>
  <si>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</si>
  <si>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</si>
  <si>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</si>
  <si>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</si>
  <si>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</si>
  <si>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</si>
  <si>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</si>
  <si>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</si>
  <si>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</si>
  <si>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</si>
  <si>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</si>
  <si>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</si>
  <si>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</si>
  <si>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</si>
  <si>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</si>
  <si>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</si>
  <si>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</si>
  <si>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</si>
  <si>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</si>
  <si>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</si>
  <si>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</si>
  <si>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</si>
  <si>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</si>
  <si>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</si>
  <si>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</si>
  <si>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</si>
  <si>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</si>
  <si>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</si>
  <si>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</si>
  <si>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</si>
  <si>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</si>
  <si>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</si>
  <si>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</si>
  <si>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</si>
  <si>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</si>
  <si>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</si>
  <si>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</si>
  <si>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</si>
  <si>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</si>
  <si>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</si>
  <si>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</si>
  <si>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</si>
  <si>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</si>
  <si>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</si>
  <si>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</si>
  <si>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</si>
  <si>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</si>
  <si>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</si>
  <si>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</si>
  <si>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</si>
  <si>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</si>
  <si>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</si>
  <si>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</si>
  <si>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</si>
  <si>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</si>
  <si>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</si>
  <si>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</si>
  <si>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</si>
  <si>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</si>
  <si>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</si>
  <si>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</si>
  <si>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</si>
  <si>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</si>
  <si>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</si>
  <si>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</si>
  <si>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</si>
  <si>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</si>
  <si>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</si>
  <si>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</si>
  <si>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</si>
  <si>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</si>
  <si>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</si>
  <si>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</si>
  <si>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</si>
  <si>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</si>
  <si>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</si>
  <si>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</si>
  <si>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</si>
  <si>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</si>
  <si>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</si>
  <si>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</si>
  <si>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</si>
  <si>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</si>
  <si>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</si>
  <si>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</si>
  <si>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</si>
  <si>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</si>
  <si>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</si>
  <si>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</si>
  <si>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</si>
  <si>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</si>
  <si>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</si>
  <si>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</si>
  <si>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</si>
  <si>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</si>
  <si>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</si>
  <si>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</si>
  <si>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</si>
  <si>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</si>
  <si>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</si>
  <si>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</si>
  <si>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</si>
  <si>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</si>
  <si>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</si>
  <si>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</si>
  <si>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</si>
  <si>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</si>
  <si>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</si>
  <si>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</si>
  <si>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</si>
  <si>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</si>
  <si>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</si>
  <si>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</si>
  <si>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</si>
  <si>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</si>
  <si>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</si>
  <si>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</si>
  <si>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</si>
  <si>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</si>
  <si>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</si>
  <si>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</si>
  <si>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</si>
  <si>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</si>
  <si>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</si>
  <si>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</si>
  <si>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</si>
  <si>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</si>
  <si>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</si>
  <si>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</si>
  <si>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</si>
  <si>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</si>
  <si>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</si>
  <si>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</si>
  <si>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</si>
  <si>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</si>
  <si>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</si>
  <si>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</si>
  <si>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</si>
  <si>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</si>
  <si>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</si>
  <si>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</si>
  <si>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</si>
  <si>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</si>
  <si>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</si>
  <si>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</si>
  <si>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</si>
  <si>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</si>
  <si>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</si>
  <si>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</si>
  <si>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</si>
  <si>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</si>
  <si>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</si>
  <si>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</si>
  <si>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</si>
  <si>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</si>
  <si>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</si>
  <si>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</si>
  <si>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</si>
  <si>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</si>
  <si>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</si>
  <si>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</si>
  <si>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</si>
  <si>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</si>
  <si>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</si>
  <si>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</si>
  <si>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</si>
  <si>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</si>
  <si>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</si>
  <si>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</si>
  <si>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</si>
  <si>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</si>
  <si>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</si>
  <si>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</si>
  <si>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</si>
  <si>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</si>
  <si>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</si>
  <si>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</si>
  <si>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</si>
  <si>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</si>
  <si>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</si>
  <si>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</si>
  <si>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</si>
  <si>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</si>
  <si>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</si>
  <si>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</si>
  <si>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</si>
  <si>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</si>
  <si>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</si>
  <si>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</si>
  <si>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</si>
  <si>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</si>
  <si>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</si>
  <si>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</si>
  <si>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</si>
  <si>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</si>
  <si>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</si>
  <si>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</si>
  <si>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</si>
  <si>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</si>
  <si>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</si>
  <si>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</si>
  <si>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</si>
  <si>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</si>
  <si>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</si>
  <si>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</si>
  <si>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</si>
  <si>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</si>
  <si>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</si>
  <si>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</si>
  <si>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</si>
  <si>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</si>
  <si>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</si>
  <si>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</si>
  <si>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</si>
  <si>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</si>
  <si>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</si>
  <si>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</si>
  <si>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</si>
  <si>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</si>
  <si>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</si>
  <si>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</si>
  <si>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</si>
  <si>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</si>
  <si>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</si>
  <si>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</si>
  <si>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</si>
  <si>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</si>
  <si>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</si>
  <si>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</si>
  <si>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</si>
  <si>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</si>
  <si>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</si>
  <si>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</si>
  <si>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</si>
  <si>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</si>
  <si>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</si>
  <si>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</si>
  <si>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</si>
  <si>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</si>
  <si>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</si>
  <si>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</si>
  <si>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</si>
  <si>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</si>
  <si>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</si>
  <si>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</si>
  <si>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</si>
  <si>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</si>
  <si>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</si>
  <si>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</si>
  <si>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</si>
  <si>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</si>
  <si>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</si>
  <si>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</si>
  <si>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</si>
  <si>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</si>
  <si>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</si>
  <si>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</si>
  <si>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</si>
  <si>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</si>
  <si>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</si>
  <si>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</si>
  <si>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</si>
  <si>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</si>
  <si>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</si>
  <si>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</si>
  <si>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</si>
  <si>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</si>
  <si>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</si>
  <si>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</si>
  <si>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</si>
  <si>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</si>
  <si>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</si>
  <si>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</si>
  <si>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</si>
  <si>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</si>
  <si>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</si>
  <si>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</si>
  <si>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</si>
  <si>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</si>
  <si>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</si>
  <si>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</si>
  <si>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</si>
  <si>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</si>
  <si>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</si>
  <si>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</si>
  <si>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</si>
  <si>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</si>
  <si>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</si>
  <si>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</si>
  <si>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</si>
  <si>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</si>
  <si>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</si>
  <si>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</si>
  <si>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</si>
  <si>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</si>
  <si>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</si>
  <si>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</si>
  <si>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</si>
  <si>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</si>
  <si>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</si>
  <si>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</si>
  <si>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</si>
  <si>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</si>
  <si>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</si>
  <si>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</si>
  <si>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</si>
  <si>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</si>
  <si>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</si>
  <si>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</si>
  <si>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</si>
  <si>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</si>
  <si>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</si>
  <si>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</si>
  <si>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</si>
  <si>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</si>
  <si>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</si>
  <si>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</si>
  <si>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</si>
  <si>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</si>
  <si>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</si>
  <si>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</si>
  <si>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</si>
  <si>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</si>
  <si>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</si>
  <si>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</si>
  <si>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</si>
  <si>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</si>
  <si>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</si>
  <si>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</si>
  <si>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</si>
  <si>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</si>
  <si>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</si>
  <si>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</si>
  <si>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</si>
  <si>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</si>
  <si>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</si>
  <si>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</si>
  <si>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</si>
  <si>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</si>
  <si>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</si>
  <si>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</si>
  <si>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</si>
  <si>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</si>
  <si>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</si>
  <si>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</si>
  <si>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</si>
  <si>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</si>
  <si>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</si>
  <si>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</si>
  <si>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</si>
  <si>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</si>
  <si>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</si>
  <si>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</si>
  <si>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</si>
  <si>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</si>
  <si>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</si>
  <si>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</si>
  <si>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</si>
  <si>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</si>
  <si>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</si>
  <si>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</si>
  <si>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</si>
  <si>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</si>
  <si>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</si>
  <si>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</si>
  <si>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</si>
  <si>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</si>
  <si>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</si>
  <si>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</si>
  <si>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</si>
  <si>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</si>
  <si>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</si>
  <si>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</si>
  <si>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</si>
  <si>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</si>
  <si>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</si>
  <si>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</si>
  <si>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</si>
  <si>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</si>
  <si>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</si>
  <si>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</si>
  <si>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</si>
  <si>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</si>
  <si>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</si>
  <si>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</si>
  <si>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</si>
  <si>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</si>
  <si>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</si>
  <si>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</si>
  <si>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</si>
  <si>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</si>
  <si>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</si>
  <si>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</si>
  <si>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</si>
  <si>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</si>
  <si>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</si>
  <si>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</si>
  <si>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</si>
  <si>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</si>
  <si>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</si>
  <si>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</si>
  <si>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</si>
  <si>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</si>
  <si>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</si>
  <si>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</si>
  <si>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</si>
  <si>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</si>
  <si>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</si>
  <si>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</si>
  <si>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</si>
  <si>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</si>
  <si>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</si>
  <si>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</si>
  <si>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</si>
  <si>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</si>
  <si>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</si>
  <si>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</si>
  <si>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</si>
  <si>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</si>
  <si>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</si>
  <si>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</si>
  <si>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</si>
  <si>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</si>
  <si>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</si>
  <si>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</si>
  <si>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</si>
  <si>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</si>
  <si>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</si>
  <si>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</si>
  <si>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</si>
  <si>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</si>
  <si>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</si>
  <si>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</si>
  <si>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</si>
  <si>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</si>
  <si>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</si>
  <si>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</si>
  <si>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</si>
  <si>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</si>
  <si>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</si>
  <si>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</si>
  <si>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</si>
  <si>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</si>
  <si>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</si>
  <si>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</si>
  <si>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</si>
  <si>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</si>
  <si>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</si>
  <si>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</si>
  <si>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</si>
  <si>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</si>
  <si>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</si>
  <si>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</si>
  <si>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</si>
  <si>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</si>
  <si>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</si>
  <si>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</si>
  <si>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</si>
  <si>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</si>
  <si>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</si>
  <si>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</si>
  <si>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</si>
  <si>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</si>
  <si>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</si>
  <si>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</si>
  <si>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</si>
  <si>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</si>
  <si>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</si>
  <si>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</si>
  <si>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</si>
  <si>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</si>
  <si>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</si>
  <si>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</si>
  <si>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</si>
  <si>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</si>
  <si>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</si>
  <si>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</si>
  <si>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</si>
  <si>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</si>
  <si>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</si>
  <si>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</si>
  <si>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</si>
  <si>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</si>
  <si>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</si>
  <si>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</si>
  <si>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</si>
  <si>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</si>
  <si>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</si>
  <si>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</si>
  <si>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</si>
  <si>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</si>
  <si>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</si>
  <si>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</si>
  <si>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</si>
  <si>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</si>
  <si>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</si>
  <si>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</si>
  <si>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</si>
  <si>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</si>
  <si>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</si>
  <si>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</si>
  <si>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</si>
  <si>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</si>
  <si>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</si>
  <si>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</si>
  <si>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</si>
  <si>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</si>
  <si>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</si>
  <si>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</si>
  <si>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</si>
  <si>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</si>
  <si>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</si>
  <si>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</si>
  <si>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</si>
  <si>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</si>
  <si>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</si>
  <si>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</si>
  <si>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</si>
  <si>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</si>
  <si>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</si>
  <si>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</si>
  <si>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</si>
  <si>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</si>
  <si>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</si>
  <si>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</si>
  <si>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</si>
  <si>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</si>
  <si>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</si>
  <si>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</si>
  <si>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</si>
  <si>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</si>
  <si>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</si>
  <si>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</si>
  <si>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</si>
  <si>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</si>
  <si>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</si>
  <si>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</si>
  <si>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</si>
  <si>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</si>
  <si>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</si>
  <si>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</si>
  <si>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</si>
  <si>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</si>
  <si>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</si>
  <si>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</si>
  <si>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</si>
  <si>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</si>
  <si>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</si>
  <si>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</si>
  <si>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</si>
  <si>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</si>
  <si>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</si>
  <si>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</si>
  <si>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</si>
  <si>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</si>
  <si>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</si>
  <si>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</si>
  <si>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</si>
  <si>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</si>
  <si>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</si>
  <si>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</si>
  <si>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</si>
  <si>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</si>
  <si>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</si>
  <si>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</si>
  <si>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</si>
  <si>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</si>
  <si>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</si>
  <si>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</si>
  <si>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</si>
  <si>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</si>
  <si>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</si>
  <si>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</si>
  <si>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</si>
  <si>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</si>
  <si>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</si>
  <si>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</si>
  <si>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</si>
  <si>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</si>
  <si>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</si>
  <si>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</si>
  <si>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</si>
  <si>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</si>
  <si>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</si>
  <si>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</si>
  <si>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</si>
  <si>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</si>
  <si>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</si>
  <si>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</si>
  <si>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</si>
  <si>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</si>
  <si>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</si>
  <si>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</si>
  <si>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</si>
  <si>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</si>
  <si>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</si>
  <si>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</si>
  <si>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</si>
  <si>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</si>
  <si>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</si>
  <si>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</si>
  <si>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</si>
  <si>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</si>
  <si>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</si>
  <si>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</si>
  <si>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</si>
  <si>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</si>
  <si>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</si>
  <si>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</si>
  <si>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</si>
  <si>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</si>
  <si>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</si>
  <si>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</si>
  <si>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</si>
  <si>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</si>
  <si>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</si>
  <si>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</si>
  <si>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</si>
  <si>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</si>
  <si>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</si>
  <si>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</si>
  <si>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</si>
  <si>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</si>
  <si>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</si>
  <si>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</si>
  <si>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</si>
  <si>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</si>
  <si>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</si>
  <si>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</si>
  <si>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</si>
  <si>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</si>
  <si>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</si>
  <si>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</si>
  <si>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</si>
  <si>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</si>
  <si>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</si>
  <si>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</si>
  <si>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</si>
  <si>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</si>
  <si>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</si>
  <si>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</si>
  <si>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</si>
  <si>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</si>
  <si>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</si>
  <si>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</si>
  <si>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</si>
  <si>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</si>
  <si>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</si>
  <si>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</si>
  <si>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</si>
  <si>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</si>
  <si>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</si>
  <si>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</si>
  <si>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</si>
  <si>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</si>
  <si>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</si>
  <si>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</si>
  <si>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</si>
  <si>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</si>
  <si>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</si>
  <si>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</si>
  <si>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</si>
  <si>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</si>
  <si>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</si>
  <si>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</si>
  <si>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</si>
  <si>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</si>
  <si>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</si>
  <si>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</si>
  <si>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</si>
  <si>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</si>
  <si>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</si>
  <si>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</si>
  <si>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</si>
  <si>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</si>
  <si>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</si>
  <si>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</si>
  <si>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</si>
  <si>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</si>
  <si>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</si>
  <si>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</si>
  <si>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</si>
  <si>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</si>
  <si>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</si>
  <si>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</si>
  <si>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</si>
  <si>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</si>
  <si>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</si>
  <si>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</si>
  <si>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</si>
  <si>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</si>
  <si>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</si>
  <si>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</si>
  <si>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</si>
  <si>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</si>
  <si>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</si>
  <si>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</si>
  <si>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</si>
  <si>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</si>
  <si>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</si>
  <si>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</si>
  <si>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</si>
  <si>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</si>
  <si>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</si>
  <si>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</si>
  <si>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</si>
  <si>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</si>
  <si>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</si>
  <si>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</si>
  <si>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</si>
  <si>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</si>
  <si>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</si>
  <si>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</si>
  <si>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</si>
  <si>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</si>
  <si>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</si>
  <si>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</si>
  <si>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</si>
  <si>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</si>
  <si>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</si>
  <si>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</si>
  <si>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</si>
  <si>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</si>
  <si>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</si>
  <si>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</si>
  <si>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</si>
  <si>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</si>
  <si>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</si>
  <si>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</si>
  <si>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</si>
  <si>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</si>
  <si>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</si>
  <si>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</si>
  <si>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</si>
  <si>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</si>
  <si>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</si>
  <si>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</si>
  <si>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</si>
  <si>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</si>
  <si>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</si>
  <si>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</si>
  <si>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</si>
  <si>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</si>
  <si>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</si>
  <si>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</si>
  <si>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</si>
  <si>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</si>
  <si>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</si>
  <si>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</si>
  <si>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</si>
  <si>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</si>
  <si>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</si>
  <si>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</si>
  <si>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</si>
  <si>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</si>
  <si>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</si>
  <si>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</si>
  <si>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</si>
  <si>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</si>
  <si>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</si>
  <si>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</si>
  <si>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</si>
  <si>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</si>
  <si>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</si>
  <si>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</si>
  <si>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</si>
  <si>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</si>
  <si>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</si>
  <si>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</si>
  <si>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</si>
  <si>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</si>
  <si>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</si>
  <si>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</si>
  <si>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</si>
  <si>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</si>
  <si>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</si>
  <si>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</si>
  <si>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</si>
  <si>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</si>
  <si>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</si>
  <si>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</si>
  <si>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</si>
  <si>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</si>
  <si>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</si>
  <si>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</si>
  <si>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</si>
  <si>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</si>
  <si>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</si>
  <si>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</si>
  <si>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</si>
  <si>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</si>
  <si>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</si>
  <si>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</si>
  <si>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</si>
  <si>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</si>
  <si>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</si>
  <si>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</si>
  <si>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</si>
  <si>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</si>
  <si>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</si>
  <si>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</si>
  <si>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</si>
  <si>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</si>
  <si>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</si>
  <si>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</si>
  <si>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</si>
  <si>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</si>
  <si>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</si>
  <si>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</si>
  <si>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</si>
  <si>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</si>
  <si>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</si>
  <si>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</si>
  <si>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</si>
  <si>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</si>
  <si>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</si>
  <si>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</si>
  <si>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</si>
  <si>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</si>
  <si>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</si>
  <si>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</si>
  <si>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</si>
  <si>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</si>
  <si>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</si>
  <si>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</si>
  <si>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</si>
  <si>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</si>
  <si>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</si>
  <si>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</si>
  <si>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</si>
  <si>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</si>
  <si>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</si>
  <si>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</si>
  <si>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</si>
  <si>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</si>
  <si>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</si>
  <si>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</si>
  <si>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</si>
  <si>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</si>
  <si>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</si>
  <si>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</si>
  <si>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</si>
  <si>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</si>
  <si>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</si>
  <si>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</si>
  <si>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</si>
  <si>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</si>
  <si>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</si>
  <si>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</si>
  <si>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</si>
  <si>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</si>
  <si>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</si>
  <si>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</si>
  <si>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</si>
  <si>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</si>
  <si>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</si>
  <si>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</si>
  <si>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</si>
  <si>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</si>
  <si>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</si>
  <si>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</si>
  <si>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</si>
  <si>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</si>
  <si>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</si>
  <si>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</si>
  <si>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</si>
  <si>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</si>
  <si>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</si>
  <si>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</si>
  <si>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</si>
  <si>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</si>
  <si>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</si>
  <si>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</si>
  <si>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</si>
  <si>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</si>
  <si>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</si>
  <si>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</si>
  <si>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</si>
  <si>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</si>
  <si>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</si>
  <si>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</si>
  <si>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</si>
  <si>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</si>
  <si>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</si>
  <si>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</si>
  <si>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</si>
  <si>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</si>
  <si>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</si>
  <si>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</si>
  <si>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</si>
  <si>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</si>
  <si>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</si>
  <si>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</si>
  <si>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</si>
  <si>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</si>
  <si>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</si>
  <si>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</si>
  <si>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</si>
  <si>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</si>
  <si>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</si>
  <si>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</si>
  <si>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</si>
  <si>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</si>
  <si>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</si>
  <si>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</si>
  <si>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</si>
  <si>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</si>
  <si>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</si>
  <si>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</si>
  <si>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</si>
  <si>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</si>
  <si>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</si>
  <si>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</si>
  <si>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</si>
  <si>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</si>
  <si>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</si>
  <si>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</si>
  <si>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</si>
  <si>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</si>
  <si>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</si>
  <si>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</si>
  <si>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</si>
  <si>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</si>
  <si>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</si>
  <si>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</si>
  <si>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</si>
  <si>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</si>
  <si>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</si>
  <si>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</si>
  <si>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</si>
  <si>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</si>
  <si>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</si>
  <si>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</si>
  <si>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</si>
  <si>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</si>
  <si>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</si>
  <si>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</si>
  <si>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</si>
  <si>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</si>
  <si>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</si>
  <si>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</si>
  <si>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</si>
  <si>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</si>
  <si>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</si>
  <si>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</si>
  <si>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</si>
  <si>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</si>
  <si>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</si>
  <si>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</si>
  <si>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</si>
  <si>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</si>
  <si>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</si>
  <si>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</si>
  <si>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</si>
  <si>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</si>
  <si>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</si>
  <si>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</si>
  <si>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</si>
  <si>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</si>
  <si>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</si>
  <si>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</si>
  <si>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</si>
  <si>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</si>
  <si>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</si>
  <si>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</si>
  <si>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</si>
  <si>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</si>
  <si>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</si>
  <si>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</si>
  <si>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</si>
  <si>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</si>
  <si>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</si>
  <si>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</si>
  <si>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</si>
  <si>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</si>
  <si>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</si>
  <si>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</si>
  <si>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</si>
  <si>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</si>
  <si>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</si>
  <si>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</si>
  <si>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</si>
  <si>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</si>
  <si>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</si>
  <si>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</si>
  <si>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</si>
  <si>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</si>
  <si>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</si>
  <si>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</si>
  <si>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</si>
  <si>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</si>
  <si>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</si>
  <si>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</si>
  <si>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</si>
  <si>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</si>
  <si>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</si>
  <si>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</si>
  <si>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</si>
  <si>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</si>
  <si>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</si>
  <si>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</si>
  <si>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</si>
  <si>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</si>
  <si>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</si>
  <si>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</si>
  <si>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</si>
  <si>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</si>
  <si>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</si>
  <si>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</si>
  <si>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</si>
  <si>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</si>
  <si>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</si>
  <si>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</si>
  <si>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</si>
  <si>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</si>
  <si>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</si>
  <si>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</si>
  <si>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</si>
  <si>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</si>
  <si>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</si>
  <si>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</si>
  <si>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</si>
  <si>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</si>
  <si>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</si>
  <si>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</si>
  <si>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</si>
  <si>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</si>
  <si>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</si>
  <si>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</si>
  <si>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</si>
  <si>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</si>
  <si>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</si>
  <si>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</si>
  <si>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</si>
  <si>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</si>
  <si>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</si>
  <si>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</si>
  <si>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</si>
  <si>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</si>
  <si>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</si>
  <si>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</si>
  <si>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</si>
  <si>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</si>
  <si>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</si>
  <si>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</si>
  <si>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</si>
  <si>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</si>
  <si>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</si>
  <si>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</si>
  <si>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</si>
  <si>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</si>
  <si>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</si>
  <si>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</si>
  <si>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</si>
  <si>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</si>
  <si>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</si>
  <si>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</si>
  <si>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</si>
  <si>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</si>
  <si>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</si>
  <si>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</si>
  <si>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</si>
  <si>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</si>
  <si>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</si>
  <si>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</si>
  <si>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</si>
  <si>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</si>
  <si>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</si>
  <si>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</si>
  <si>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</si>
  <si>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</si>
  <si>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</si>
  <si>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</si>
  <si>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</si>
  <si>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</si>
  <si>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</si>
  <si>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</si>
  <si>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</si>
  <si>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</si>
  <si>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</si>
  <si>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</si>
  <si>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</si>
  <si>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</si>
  <si>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</si>
  <si>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</si>
  <si>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</si>
  <si>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</si>
  <si>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</si>
  <si>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</si>
  <si>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</si>
  <si>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</si>
  <si>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</si>
  <si>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</si>
  <si>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</si>
  <si>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</si>
  <si>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</si>
  <si>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</si>
  <si>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</si>
  <si>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</si>
  <si>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</si>
  <si>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</si>
  <si>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</si>
  <si>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</si>
  <si>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</si>
  <si>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</si>
  <si>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</si>
  <si>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</si>
  <si>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</si>
  <si>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</si>
  <si>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</si>
  <si>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</si>
  <si>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</si>
  <si>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</si>
  <si>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</si>
  <si>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</si>
  <si>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</si>
  <si>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</si>
  <si>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</si>
  <si>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</si>
  <si>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</si>
  <si>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</si>
  <si>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</si>
  <si>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</si>
  <si>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</si>
  <si>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</si>
  <si>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</si>
  <si>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</si>
  <si>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</si>
  <si>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</si>
  <si>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</si>
  <si>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</si>
  <si>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</si>
  <si>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</si>
  <si>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</si>
  <si>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</si>
  <si>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</si>
  <si>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</si>
  <si>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</si>
  <si>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</si>
  <si>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</si>
  <si>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</si>
  <si>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</si>
  <si>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</si>
  <si>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</si>
  <si>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</si>
  <si>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</si>
  <si>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</si>
  <si>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</si>
  <si>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</si>
  <si>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</si>
  <si>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</si>
  <si>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</si>
  <si>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</si>
  <si>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</si>
  <si>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</si>
  <si>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</si>
  <si>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</si>
  <si>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</si>
  <si>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</si>
  <si>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</si>
  <si>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</si>
  <si>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</si>
  <si>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</si>
  <si>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</si>
  <si>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</si>
  <si>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</si>
  <si>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</si>
  <si>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</si>
  <si>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</si>
  <si>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</si>
  <si>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</si>
  <si>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</si>
  <si>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</si>
  <si>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</si>
  <si>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</si>
  <si>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</si>
  <si>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</si>
  <si>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</si>
  <si>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</si>
  <si>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</si>
  <si>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</si>
  <si>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</si>
  <si>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</si>
  <si>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</si>
  <si>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</si>
  <si>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</si>
  <si>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</si>
  <si>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</si>
  <si>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</si>
  <si>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</si>
  <si>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</si>
  <si>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</si>
  <si>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</si>
  <si>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</si>
  <si>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</si>
  <si>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</si>
  <si>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</si>
  <si>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</si>
  <si>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</si>
  <si>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</si>
  <si>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</si>
  <si>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</si>
  <si>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</si>
  <si>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</si>
  <si>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</si>
  <si>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</si>
  <si>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</si>
  <si>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</si>
  <si>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</si>
  <si>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</si>
  <si>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</si>
  <si>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</si>
  <si>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</si>
  <si>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</si>
  <si>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</si>
  <si>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</si>
  <si>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</si>
  <si>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</si>
  <si>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</si>
  <si>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</si>
  <si>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</si>
  <si>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</si>
  <si>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</si>
  <si>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</si>
  <si>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</si>
  <si>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</si>
  <si>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</si>
  <si>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</si>
  <si>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</si>
  <si>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</si>
  <si>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</si>
  <si>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</si>
  <si>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</si>
  <si>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</si>
  <si>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</si>
  <si>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</si>
  <si>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</si>
  <si>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</si>
  <si>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</si>
  <si>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</si>
  <si>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</si>
  <si>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</si>
  <si>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</si>
  <si>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</si>
  <si>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</si>
  <si>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</si>
  <si>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</si>
  <si>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</si>
  <si>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</si>
  <si>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</si>
  <si>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</si>
  <si>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</si>
  <si>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</si>
  <si>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</si>
  <si>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</si>
  <si>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</si>
  <si>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</si>
  <si>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</si>
  <si>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</si>
  <si>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</si>
  <si>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</si>
  <si>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</si>
  <si>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</si>
  <si>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</si>
  <si>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</si>
  <si>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</si>
  <si>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</si>
  <si>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</si>
  <si>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</si>
  <si>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</si>
  <si>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</si>
  <si>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</si>
  <si>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</si>
  <si>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</si>
  <si>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</si>
  <si>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</si>
  <si>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</si>
  <si>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</si>
  <si>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</si>
  <si>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</si>
  <si>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</si>
  <si>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</si>
  <si>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</si>
  <si>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</si>
  <si>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</si>
  <si>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</si>
  <si>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</si>
  <si>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</si>
  <si>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</si>
  <si>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</si>
  <si>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</si>
  <si>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</si>
  <si>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</si>
  <si>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</si>
  <si>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</si>
  <si>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</si>
  <si>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</si>
  <si>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</si>
  <si>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</si>
  <si>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</si>
  <si>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</si>
  <si>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</si>
  <si>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</si>
  <si>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</si>
  <si>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</si>
  <si>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</si>
  <si>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</si>
  <si>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</si>
  <si>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</si>
  <si>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</si>
  <si>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</si>
  <si>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</si>
  <si>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</si>
  <si>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</si>
  <si>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</si>
  <si>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</si>
  <si>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</si>
  <si>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</si>
  <si>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</si>
  <si>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</si>
  <si>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</si>
  <si>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</si>
  <si>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</si>
  <si>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</si>
  <si>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</si>
  <si>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</si>
  <si>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</si>
  <si>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</si>
  <si>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</si>
  <si>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</si>
  <si>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</si>
  <si>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</si>
  <si>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</si>
  <si>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</si>
  <si>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</si>
  <si>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</si>
  <si>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</si>
  <si>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</si>
  <si>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</si>
  <si>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</si>
  <si>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</si>
  <si>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</si>
  <si>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</si>
  <si>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</si>
  <si>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</si>
  <si>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</si>
  <si>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</si>
  <si>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</si>
  <si>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</si>
  <si>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</si>
  <si>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</si>
  <si>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</si>
  <si>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</si>
  <si>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</si>
  <si>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</si>
  <si>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</si>
  <si>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</si>
  <si>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</si>
  <si>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</si>
  <si>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</si>
  <si>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</si>
  <si>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</si>
  <si>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</si>
  <si>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</si>
  <si>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</si>
  <si>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</si>
  <si>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</si>
  <si>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</si>
  <si>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</si>
  <si>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</si>
  <si>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</si>
  <si>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</si>
  <si>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</si>
  <si>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</si>
  <si>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</si>
  <si>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</si>
  <si>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</si>
  <si>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</si>
  <si>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</si>
  <si>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</si>
  <si>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</si>
  <si>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</si>
  <si>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</si>
  <si>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</si>
  <si>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</si>
  <si>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</si>
  <si>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</si>
  <si>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</si>
  <si>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</si>
  <si>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</si>
  <si>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</si>
  <si>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</si>
  <si>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</si>
  <si>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</si>
  <si>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</si>
  <si>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</si>
  <si>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</si>
  <si>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</si>
  <si>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</si>
  <si>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</si>
  <si>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</si>
  <si>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</si>
  <si>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</si>
  <si>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</si>
  <si>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</si>
  <si>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</si>
  <si>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</si>
  <si>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</si>
  <si>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</si>
  <si>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</si>
  <si>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</si>
  <si>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</si>
  <si>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</si>
  <si>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</si>
  <si>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</si>
  <si>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</si>
  <si>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</si>
  <si>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</si>
  <si>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</si>
  <si>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</si>
  <si>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</si>
  <si>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</si>
  <si>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</si>
  <si>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</si>
  <si>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</si>
  <si>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</si>
  <si>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</si>
  <si>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</si>
  <si>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</si>
  <si>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</si>
  <si>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</si>
  <si>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</si>
  <si>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</si>
  <si>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</si>
  <si>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</si>
  <si>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</si>
  <si>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</si>
  <si>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</si>
  <si>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</si>
  <si>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</si>
  <si>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</si>
  <si>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</si>
  <si>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</si>
  <si>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</si>
  <si>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</si>
  <si>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</si>
  <si>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</si>
  <si>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</si>
  <si>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</si>
  <si>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</si>
  <si>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</si>
  <si>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</si>
  <si>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</si>
  <si>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</si>
  <si>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</si>
  <si>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</si>
  <si>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</si>
  <si>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</si>
  <si>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</si>
  <si>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</si>
  <si>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</si>
  <si>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</si>
  <si>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</si>
  <si>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</si>
  <si>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</si>
  <si>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</si>
  <si>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</si>
  <si>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</si>
  <si>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</si>
  <si>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</si>
  <si>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</si>
  <si>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</si>
  <si>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</si>
  <si>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</si>
  <si>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</si>
  <si>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</si>
  <si>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</si>
  <si>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</si>
  <si>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</si>
  <si>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</si>
  <si>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</si>
  <si>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</si>
  <si>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</si>
  <si>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</si>
  <si>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</si>
  <si>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</si>
  <si>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</si>
  <si>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</si>
  <si>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</si>
  <si>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</si>
  <si>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</si>
  <si>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</si>
  <si>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</si>
  <si>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</si>
  <si>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</si>
  <si>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</si>
  <si>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</si>
  <si>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</si>
  <si>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</si>
  <si>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</si>
  <si>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</si>
  <si>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</si>
  <si>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</si>
  <si>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</si>
  <si>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</si>
  <si>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</si>
  <si>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</si>
  <si>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</si>
  <si>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</si>
  <si>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</si>
  <si>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</si>
  <si>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</si>
  <si>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</si>
  <si>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</si>
  <si>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</si>
  <si>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</si>
  <si>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</si>
  <si>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</si>
  <si>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</si>
  <si>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</si>
  <si>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</si>
  <si>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</si>
  <si>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</si>
  <si>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</si>
  <si>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</si>
  <si>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</si>
  <si>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</si>
  <si>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</si>
  <si>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</si>
  <si>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</si>
  <si>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</si>
  <si>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</si>
  <si>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</si>
  <si>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</si>
  <si>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</si>
  <si>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</si>
  <si>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</si>
  <si>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</si>
  <si>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</si>
  <si>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</si>
  <si>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</si>
  <si>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</si>
  <si>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</si>
  <si>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</si>
  <si>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</si>
  <si>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</si>
  <si>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</si>
  <si>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</si>
  <si>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</si>
  <si>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</si>
  <si>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</si>
  <si>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</si>
  <si>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</si>
  <si>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</si>
  <si>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</si>
  <si>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</si>
  <si>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</si>
  <si>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</si>
  <si>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</si>
  <si>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</si>
  <si>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</si>
  <si>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</si>
  <si>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</si>
  <si>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</si>
  <si>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</si>
  <si>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</si>
  <si>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</si>
  <si>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</si>
  <si>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</si>
  <si>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</si>
  <si>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</si>
  <si>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</si>
  <si>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</si>
  <si>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</si>
  <si>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</si>
  <si>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</si>
  <si>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</si>
  <si>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</si>
  <si>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</si>
  <si>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</si>
  <si>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</si>
  <si>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</si>
  <si>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</si>
  <si>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</si>
  <si>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</si>
  <si>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</si>
  <si>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</si>
  <si>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</si>
  <si>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</si>
  <si>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</si>
  <si>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</si>
  <si>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</si>
  <si>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</si>
  <si>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</si>
  <si>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</si>
  <si>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</si>
  <si>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</si>
  <si>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</si>
  <si>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</si>
  <si>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</si>
  <si>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</si>
  <si>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</si>
  <si>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</si>
  <si>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</si>
  <si>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</si>
  <si>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</si>
  <si>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</si>
  <si>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</si>
  <si>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</si>
  <si>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</si>
  <si>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</si>
  <si>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</si>
  <si>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</si>
  <si>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</si>
  <si>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</si>
  <si>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</si>
  <si>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</si>
  <si>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</si>
  <si>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</si>
  <si>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</si>
  <si>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</si>
  <si>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</si>
  <si>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</si>
  <si>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</si>
  <si>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</si>
  <si>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</si>
  <si>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</si>
  <si>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</si>
  <si>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</si>
  <si>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</si>
  <si>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</si>
  <si>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</si>
  <si>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</si>
  <si>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</si>
  <si>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</si>
  <si>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</si>
  <si>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</si>
  <si>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</si>
  <si>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</si>
  <si>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</si>
  <si>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</si>
  <si>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</si>
  <si>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</si>
  <si>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</si>
  <si>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</si>
  <si>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</si>
  <si>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</si>
  <si>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</si>
  <si>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</si>
  <si>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</si>
  <si>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</si>
  <si>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</si>
  <si>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</si>
  <si>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</si>
  <si>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</si>
  <si>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</si>
  <si>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</si>
  <si>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</si>
  <si>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</si>
  <si>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</si>
  <si>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</si>
  <si>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</si>
  <si>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</si>
  <si>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</si>
  <si>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</si>
  <si>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</si>
  <si>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</si>
  <si>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</si>
  <si>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</si>
  <si>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</si>
  <si>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</si>
  <si>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</si>
  <si>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</si>
  <si>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</si>
  <si>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</si>
  <si>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</si>
  <si>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</si>
  <si>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</si>
  <si>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</si>
  <si>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</si>
  <si>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</si>
  <si>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</si>
  <si>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</si>
  <si>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</si>
  <si>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</si>
  <si>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</si>
  <si>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</si>
  <si>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</si>
  <si>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</si>
  <si>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</si>
  <si>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</si>
  <si>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</si>
  <si>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</si>
  <si>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</si>
  <si>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</si>
  <si>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</si>
  <si>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</si>
  <si>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</si>
  <si>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</si>
  <si>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</si>
  <si>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</si>
  <si>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</si>
  <si>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</si>
  <si>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</si>
  <si>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</si>
  <si>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</si>
  <si>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</si>
  <si>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</si>
  <si>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</si>
  <si>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</si>
  <si>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</si>
  <si>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</si>
  <si>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</si>
  <si>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</si>
  <si>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</si>
  <si>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</si>
  <si>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</si>
  <si>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</si>
  <si>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</si>
  <si>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</si>
  <si>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</si>
  <si>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</si>
  <si>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</si>
  <si>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</si>
  <si>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</si>
  <si>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</si>
  <si>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</si>
  <si>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</si>
  <si>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</si>
  <si>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</si>
  <si>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</si>
  <si>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</si>
  <si>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</si>
  <si>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</si>
  <si>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</si>
  <si>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</si>
  <si>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</si>
  <si>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</si>
  <si>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</si>
  <si>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</si>
  <si>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</si>
  <si>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</si>
  <si>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</si>
  <si>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</si>
  <si>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</si>
  <si>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</si>
  <si>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</si>
  <si>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</si>
  <si>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</si>
  <si>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</si>
  <si>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</si>
  <si>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</si>
  <si>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</si>
  <si>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</si>
  <si>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</si>
  <si>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</si>
  <si>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</si>
  <si>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</si>
  <si>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</si>
  <si>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</si>
  <si>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</si>
  <si>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</si>
  <si>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</si>
  <si>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</si>
  <si>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</si>
  <si>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</si>
  <si>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</si>
  <si>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</si>
  <si>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</si>
  <si>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</si>
  <si>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</si>
  <si>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</si>
  <si>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</si>
  <si>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</si>
  <si>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</si>
  <si>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</si>
  <si>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</si>
  <si>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</si>
  <si>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</si>
  <si>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</si>
  <si>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</si>
  <si>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</si>
  <si>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</si>
  <si>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</si>
  <si>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</si>
  <si>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</si>
  <si>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</si>
  <si>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</si>
  <si>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</si>
  <si>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</si>
  <si>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</si>
  <si>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</si>
  <si>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</si>
  <si>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</si>
  <si>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</si>
  <si>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</si>
  <si>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</si>
  <si>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</si>
  <si>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</si>
  <si>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</si>
  <si>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</si>
  <si>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</si>
  <si>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</si>
  <si>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</si>
  <si>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</si>
  <si>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</si>
  <si>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</si>
  <si>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</si>
  <si>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</si>
  <si>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</si>
  <si>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</si>
  <si>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</si>
  <si>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</si>
  <si>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</si>
  <si>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</si>
  <si>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</si>
  <si>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</si>
  <si>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</si>
  <si>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</si>
  <si>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</si>
  <si>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</si>
  <si>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</si>
  <si>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</si>
  <si>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</si>
  <si>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</si>
  <si>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</si>
  <si>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</si>
  <si>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</si>
  <si>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</si>
  <si>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</si>
  <si>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</si>
  <si>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</si>
  <si>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</si>
  <si>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</si>
  <si>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</si>
  <si>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</si>
  <si>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</si>
  <si>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</si>
  <si>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</si>
  <si>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</si>
  <si>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</si>
  <si>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</si>
  <si>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</si>
  <si>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</si>
  <si>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</si>
  <si>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</si>
  <si>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</si>
  <si>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</si>
  <si>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</si>
  <si>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</si>
  <si>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</si>
  <si>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</si>
  <si>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</si>
  <si>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</si>
  <si>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</si>
  <si>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</si>
  <si>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</si>
  <si>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</si>
  <si>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</si>
  <si>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</si>
  <si>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</si>
  <si>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</si>
  <si>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</si>
  <si>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</si>
  <si>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</si>
  <si>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</si>
  <si>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</si>
  <si>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</si>
  <si>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</si>
  <si>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</si>
  <si>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</si>
  <si>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</si>
  <si>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</si>
  <si>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</si>
  <si>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</si>
  <si>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</si>
  <si>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</si>
  <si>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</si>
  <si>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</si>
  <si>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</si>
  <si>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</si>
  <si>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</si>
  <si>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</si>
  <si>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</si>
  <si>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</si>
  <si>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</si>
  <si>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</si>
  <si>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</si>
  <si>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</si>
  <si>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</si>
  <si>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</si>
  <si>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</si>
  <si>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</si>
  <si>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</si>
  <si>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</si>
  <si>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</si>
  <si>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</si>
  <si>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</si>
  <si>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</si>
  <si>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</si>
  <si>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</si>
  <si>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</si>
  <si>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</si>
  <si>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</si>
  <si>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</si>
  <si>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</si>
  <si>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</si>
  <si>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</si>
  <si>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</si>
  <si>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</si>
  <si>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</si>
  <si>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</si>
  <si>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</si>
  <si>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</si>
  <si>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</si>
  <si>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</si>
  <si>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</si>
  <si>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</si>
  <si>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</si>
  <si>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</si>
  <si>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</si>
  <si>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</si>
  <si>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</si>
  <si>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</si>
  <si>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</si>
  <si>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</si>
  <si>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</si>
  <si>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</si>
  <si>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</si>
  <si>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</si>
  <si>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</si>
  <si>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</si>
  <si>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</si>
  <si>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</si>
  <si>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</si>
  <si>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</si>
  <si>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</si>
  <si>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</si>
  <si>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</si>
  <si>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</si>
  <si>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</si>
  <si>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</si>
  <si>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</si>
  <si>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</si>
  <si>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</si>
  <si>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</si>
  <si>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</si>
  <si>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</si>
  <si>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</si>
  <si>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</si>
  <si>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</si>
  <si>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</si>
  <si>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</si>
  <si>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</si>
  <si>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</si>
  <si>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</si>
  <si>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</si>
  <si>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</si>
  <si>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</si>
  <si>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</si>
  <si>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</si>
  <si>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</si>
  <si>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</si>
  <si>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</si>
  <si>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</si>
  <si>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</si>
  <si>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</si>
  <si>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</si>
  <si>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</si>
  <si>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</si>
  <si>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</si>
  <si>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</si>
  <si>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</si>
  <si>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</si>
  <si>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</si>
  <si>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</si>
  <si>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</si>
  <si>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</si>
  <si>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</si>
  <si>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</si>
  <si>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</si>
  <si>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</si>
  <si>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</si>
  <si>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</si>
  <si>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</si>
  <si>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</si>
  <si>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</si>
  <si>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</si>
  <si>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</si>
  <si>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</si>
  <si>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</si>
  <si>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</si>
  <si>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</si>
  <si>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</si>
  <si>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</si>
  <si>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</si>
  <si>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</si>
  <si>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</si>
  <si>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</si>
  <si>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</si>
  <si>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</si>
  <si>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</si>
  <si>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</si>
  <si>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</si>
  <si>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</si>
  <si>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</si>
  <si>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</si>
  <si>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</si>
  <si>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</si>
  <si>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</si>
  <si>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</si>
  <si>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</si>
  <si>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</si>
  <si>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</si>
  <si>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</si>
  <si>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</si>
  <si>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</si>
  <si>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</si>
  <si>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</si>
  <si>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</si>
  <si>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</si>
  <si>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</si>
  <si>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</si>
  <si>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</si>
  <si>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</si>
  <si>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</si>
  <si>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</si>
  <si>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</si>
  <si>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</si>
  <si>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</si>
  <si>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</si>
  <si>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</si>
  <si>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</si>
  <si>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</si>
  <si>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</si>
  <si>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</si>
  <si>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</si>
  <si>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</si>
  <si>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</si>
  <si>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</si>
  <si>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</si>
  <si>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</si>
  <si>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</si>
  <si>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</si>
  <si>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</si>
  <si>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</si>
  <si>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</si>
  <si>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</si>
  <si>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</si>
  <si>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</si>
  <si>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</si>
  <si>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</si>
  <si>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</si>
  <si>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</si>
  <si>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</si>
  <si>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</si>
  <si>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</si>
  <si>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</si>
  <si>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</si>
  <si>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</si>
  <si>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</si>
  <si>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</si>
  <si>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</si>
  <si>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</si>
  <si>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</si>
  <si>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</si>
  <si>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</si>
  <si>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</si>
  <si>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</si>
  <si>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</si>
  <si>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</si>
  <si>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</si>
  <si>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</si>
  <si>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</si>
  <si>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</si>
  <si>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</si>
  <si>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</si>
  <si>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</si>
  <si>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</si>
  <si>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</si>
  <si>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</si>
  <si>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</si>
  <si>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</si>
  <si>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</si>
  <si>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</si>
  <si>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</si>
  <si>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</si>
  <si>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</si>
  <si>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</si>
  <si>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</si>
  <si>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</si>
  <si>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</si>
  <si>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</si>
  <si>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</si>
  <si>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</si>
  <si>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</si>
  <si>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</si>
  <si>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</si>
  <si>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</si>
  <si>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</si>
  <si>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</si>
  <si>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</si>
  <si>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</si>
  <si>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</si>
  <si>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</si>
  <si>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</si>
  <si>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</si>
  <si>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</si>
  <si>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</si>
  <si>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</si>
  <si>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</si>
  <si>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</si>
  <si>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</si>
  <si>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</si>
  <si>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</si>
  <si>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</si>
  <si>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</si>
  <si>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</si>
  <si>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</si>
  <si>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</si>
  <si>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</si>
  <si>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</si>
  <si>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</si>
  <si>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</si>
  <si>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</si>
  <si>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</si>
  <si>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</si>
  <si>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</si>
  <si>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</si>
  <si>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</si>
  <si>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</si>
  <si>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</si>
  <si>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</si>
  <si>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</si>
  <si>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</si>
  <si>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</si>
  <si>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</si>
  <si>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</si>
  <si>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</si>
  <si>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</si>
  <si>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</si>
  <si>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</si>
  <si>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</si>
  <si>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</si>
  <si>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</si>
  <si>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</si>
  <si>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</si>
  <si>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</si>
  <si>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</si>
  <si>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</si>
  <si>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</si>
  <si>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</si>
  <si>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</si>
  <si>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</si>
  <si>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</si>
  <si>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</si>
  <si>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</si>
  <si>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</si>
  <si>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</si>
  <si>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</si>
  <si>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</si>
  <si>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</si>
  <si>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</si>
  <si>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</si>
  <si>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</si>
  <si>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</si>
  <si>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</si>
  <si>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</si>
  <si>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</si>
  <si>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</si>
  <si>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</si>
  <si>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</si>
  <si>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</si>
  <si>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</si>
  <si>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</si>
  <si>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</si>
  <si>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</si>
  <si>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</si>
  <si>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</si>
  <si>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</si>
  <si>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</si>
  <si>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</si>
  <si>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</si>
  <si>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</si>
  <si>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</si>
  <si>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</si>
  <si>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</si>
  <si>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</si>
  <si>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</si>
  <si>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</si>
  <si>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</si>
  <si>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</si>
  <si>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</si>
  <si>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</si>
  <si>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</si>
  <si>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</si>
  <si>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</si>
  <si>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</si>
  <si>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</si>
  <si>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</si>
  <si>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</si>
  <si>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</si>
  <si>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</si>
  <si>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</si>
  <si>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</si>
  <si>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</si>
  <si>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</si>
  <si>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</si>
  <si>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</si>
  <si>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</si>
  <si>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</si>
  <si>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</si>
  <si>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</si>
  <si>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</si>
  <si>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</si>
  <si>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</si>
  <si>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</si>
  <si>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</si>
  <si>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</si>
  <si>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</si>
  <si>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</si>
  <si>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</si>
  <si>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</si>
  <si>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</si>
  <si>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</si>
  <si>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</si>
  <si>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</si>
  <si>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</si>
  <si>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</si>
  <si>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</si>
  <si>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</si>
  <si>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</si>
  <si>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</si>
  <si>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</si>
  <si>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</si>
  <si>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</si>
  <si>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</si>
  <si>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</si>
  <si>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</si>
  <si>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</si>
  <si>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</si>
  <si>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</si>
  <si>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</si>
  <si>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</si>
  <si>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</si>
  <si>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</si>
  <si>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</si>
  <si>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</si>
  <si>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</si>
  <si>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</si>
  <si>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</si>
  <si>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</si>
  <si>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</si>
  <si>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</si>
  <si>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</si>
  <si>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</si>
  <si>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</si>
  <si>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</si>
  <si>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</si>
  <si>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</si>
  <si>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</si>
  <si>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</si>
  <si>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</si>
  <si>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</si>
  <si>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</si>
  <si>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</si>
  <si>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</si>
  <si>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</si>
  <si>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</si>
  <si>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</si>
  <si>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</si>
  <si>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</si>
  <si>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</si>
  <si>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</si>
  <si>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</si>
  <si>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</si>
  <si>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</si>
  <si>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</si>
  <si>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</si>
  <si>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</si>
  <si>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</si>
  <si>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</si>
  <si>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</si>
  <si>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</si>
  <si>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</si>
  <si>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</si>
  <si>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</si>
  <si>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</si>
  <si>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</si>
  <si>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</si>
  <si>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</si>
  <si>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</si>
  <si>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</si>
  <si>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</si>
  <si>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</si>
  <si>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</si>
  <si>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</si>
  <si>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</si>
  <si>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</si>
  <si>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</si>
  <si>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</si>
  <si>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</si>
  <si>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</si>
  <si>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</si>
  <si>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</si>
  <si>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</si>
  <si>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</si>
  <si>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</si>
  <si>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</si>
  <si>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</si>
  <si>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</si>
  <si>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</si>
  <si>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</si>
  <si>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</si>
  <si>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</si>
  <si>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</si>
  <si>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</si>
  <si>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</si>
  <si>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</si>
  <si>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</si>
  <si>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</si>
  <si>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</si>
  <si>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</si>
  <si>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</si>
  <si>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</si>
  <si>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</si>
  <si>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</si>
  <si>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</si>
  <si>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</si>
  <si>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</si>
  <si>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</si>
  <si>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</si>
  <si>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</si>
  <si>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</si>
  <si>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</si>
  <si>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</si>
  <si>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</si>
  <si>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</si>
  <si>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</si>
  <si>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</si>
  <si>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</si>
  <si>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</si>
  <si>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</si>
  <si>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</si>
  <si>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</si>
  <si>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</si>
  <si>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</si>
  <si>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</si>
  <si>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</si>
  <si>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</si>
  <si>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</si>
  <si>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</si>
  <si>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</si>
  <si>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</si>
  <si>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</si>
  <si>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</si>
  <si>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</si>
  <si>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</si>
  <si>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</si>
  <si>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</si>
  <si>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</si>
  <si>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</si>
  <si>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</si>
  <si>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</si>
  <si>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</si>
  <si>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</si>
  <si>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</si>
  <si>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</si>
  <si>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</si>
  <si>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</si>
  <si>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</si>
  <si>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</si>
  <si>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</si>
  <si>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</si>
  <si>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</si>
  <si>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</si>
  <si>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</si>
  <si>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</si>
  <si>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</si>
  <si>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</si>
  <si>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</si>
  <si>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</si>
  <si>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</si>
  <si>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</si>
  <si>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</si>
  <si>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</si>
  <si>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</si>
  <si>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</si>
  <si>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</si>
  <si>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</si>
  <si>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</si>
  <si>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</si>
  <si>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</si>
  <si>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</si>
  <si>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</si>
  <si>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</si>
  <si>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</si>
  <si>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</si>
  <si>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</si>
  <si>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</si>
  <si>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</si>
  <si>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</si>
  <si>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</si>
  <si>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</si>
  <si>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</si>
  <si>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</si>
  <si>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</si>
  <si>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</si>
  <si>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</si>
  <si>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</si>
  <si>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</si>
  <si>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</si>
  <si>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</si>
  <si>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</si>
  <si>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</si>
  <si>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</si>
  <si>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</si>
  <si>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</si>
  <si>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</si>
  <si>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</si>
  <si>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</si>
  <si>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</si>
  <si>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</si>
  <si>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</si>
  <si>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</si>
  <si>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</si>
  <si>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</si>
  <si>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</si>
  <si>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</si>
  <si>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</si>
  <si>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</si>
  <si>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</si>
  <si>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</si>
  <si>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</si>
  <si>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</si>
  <si>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</si>
  <si>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</si>
  <si>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</si>
  <si>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</si>
  <si>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</si>
  <si>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</si>
  <si>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</si>
  <si>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</si>
  <si>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</si>
  <si>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</si>
  <si>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</si>
  <si>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</si>
  <si>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</si>
  <si>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</si>
  <si>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</si>
  <si>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</si>
  <si>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</si>
  <si>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</si>
  <si>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</si>
  <si>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</si>
  <si>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</si>
  <si>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</si>
  <si>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</si>
  <si>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</si>
  <si>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</si>
  <si>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</si>
  <si>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</si>
  <si>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</si>
  <si>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</si>
  <si>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</si>
  <si>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</si>
  <si>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</si>
  <si>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</si>
  <si>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</si>
  <si>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</si>
  <si>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</si>
  <si>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</si>
  <si>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</si>
  <si>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</si>
  <si>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</si>
  <si>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</si>
  <si>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</si>
  <si>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</si>
  <si>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</si>
  <si>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</si>
  <si>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</si>
  <si>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</si>
  <si>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</si>
  <si>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</si>
  <si>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</si>
  <si>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</si>
  <si>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</si>
  <si>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</si>
  <si>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</si>
  <si>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</si>
  <si>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</si>
  <si>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</si>
  <si>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</si>
  <si>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</si>
  <si>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</si>
  <si>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</si>
  <si>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</si>
  <si>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</si>
  <si>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</si>
  <si>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</si>
  <si>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</si>
  <si>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</si>
  <si>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</si>
  <si>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</si>
  <si>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</si>
  <si>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</si>
  <si>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</si>
  <si>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</si>
  <si>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</si>
  <si>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</si>
  <si>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</si>
  <si>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</si>
  <si>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</si>
  <si>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</si>
  <si>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</si>
  <si>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</si>
  <si>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</si>
  <si>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</si>
  <si>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</si>
  <si>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</si>
  <si>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</si>
  <si>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</si>
  <si>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</si>
  <si>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</si>
  <si>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</si>
  <si>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</si>
  <si>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</si>
  <si>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</si>
  <si>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</si>
  <si>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</si>
  <si>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</si>
  <si>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</si>
  <si>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</si>
  <si>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</si>
  <si>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</si>
  <si>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</si>
  <si>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</si>
  <si>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</si>
  <si>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</si>
  <si>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</si>
  <si>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</si>
  <si>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</si>
  <si>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</si>
  <si>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</si>
  <si>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</si>
  <si>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</si>
  <si>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</si>
  <si>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</si>
  <si>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</si>
  <si>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</si>
  <si>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</si>
  <si>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</si>
  <si>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</si>
  <si>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</si>
  <si>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</si>
  <si>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</si>
  <si>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</si>
  <si>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</si>
  <si>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</si>
  <si>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</si>
  <si>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</si>
  <si>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</si>
  <si>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</si>
  <si>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</si>
  <si>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</si>
  <si>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</si>
  <si>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</si>
  <si>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</si>
  <si>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</si>
  <si>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</si>
  <si>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</si>
  <si>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</si>
  <si>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</si>
  <si>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</si>
  <si>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</si>
  <si>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</si>
  <si>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</si>
  <si>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</si>
  <si>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</si>
  <si>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</si>
  <si>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</si>
  <si>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</si>
  <si>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</si>
  <si>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</si>
  <si>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</si>
  <si>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</si>
  <si>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</si>
  <si>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</si>
  <si>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</si>
  <si>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</si>
  <si>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</si>
  <si>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</si>
  <si>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</si>
  <si>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</si>
  <si>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</si>
  <si>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</si>
  <si>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</si>
  <si>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</si>
  <si>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</si>
  <si>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</si>
  <si>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</si>
  <si>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</si>
  <si>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</si>
  <si>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</si>
  <si>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</si>
  <si>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</si>
  <si>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</si>
  <si>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</si>
  <si>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</si>
  <si>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</si>
  <si>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</si>
  <si>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</si>
  <si>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</si>
  <si>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</si>
  <si>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</si>
  <si>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</si>
  <si>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</si>
  <si>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</si>
  <si>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</si>
  <si>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</si>
  <si>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</si>
  <si>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</si>
  <si>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</si>
  <si>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</si>
  <si>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</si>
  <si>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</si>
  <si>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</si>
  <si>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</si>
  <si>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</si>
  <si>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</si>
  <si>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</si>
  <si>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</si>
  <si>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</si>
  <si>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</si>
  <si>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</si>
  <si>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</si>
  <si>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</si>
  <si>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</si>
  <si>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</si>
  <si>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</si>
  <si>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</si>
  <si>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</si>
  <si>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</si>
  <si>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</si>
  <si>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</si>
  <si>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</si>
  <si>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</si>
  <si>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</si>
  <si>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</si>
  <si>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</si>
  <si>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</si>
  <si>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</si>
  <si>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</si>
  <si>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</si>
  <si>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</si>
  <si>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</si>
  <si>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</si>
  <si>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</si>
  <si>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</si>
  <si>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</si>
  <si>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</si>
  <si>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</si>
  <si>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</si>
  <si>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</si>
  <si>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</si>
  <si>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</si>
  <si>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</si>
  <si>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</si>
  <si>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</si>
  <si>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</si>
  <si>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</si>
  <si>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</si>
  <si>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</si>
  <si>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</si>
  <si>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</si>
  <si>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</si>
  <si>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</si>
  <si>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</si>
  <si>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</si>
  <si>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</si>
  <si>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</si>
  <si>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</si>
  <si>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</si>
  <si>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</si>
  <si>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</si>
  <si>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</si>
  <si>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</si>
  <si>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</si>
  <si>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</si>
  <si>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</si>
  <si>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</si>
  <si>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</si>
  <si>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</si>
  <si>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</si>
  <si>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</si>
  <si>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</si>
  <si>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</si>
  <si>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</si>
  <si>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</si>
  <si>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</si>
  <si>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</si>
  <si>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</si>
  <si>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</si>
  <si>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</si>
  <si>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</si>
  <si>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</si>
  <si>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</si>
  <si>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</si>
  <si>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</si>
  <si>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</si>
  <si>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</si>
  <si>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</si>
  <si>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</si>
  <si>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</si>
  <si>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</si>
  <si>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</si>
  <si>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</si>
  <si>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</si>
  <si>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</si>
  <si>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</si>
  <si>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</si>
  <si>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</si>
  <si>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</si>
  <si>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</si>
  <si>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</si>
  <si>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</si>
  <si>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</si>
  <si>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</si>
  <si>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</si>
  <si>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</si>
  <si>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</si>
  <si>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</si>
  <si>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</si>
  <si>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</si>
  <si>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</si>
  <si>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</si>
  <si>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</si>
  <si>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</si>
  <si>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</si>
  <si>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</si>
  <si>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</si>
  <si>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</si>
  <si>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</si>
  <si>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</si>
  <si>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</si>
  <si>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</si>
  <si>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</si>
  <si>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</si>
  <si>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</si>
  <si>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</si>
  <si>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</si>
  <si>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</si>
  <si>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</si>
  <si>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</si>
  <si>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</si>
  <si>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</si>
  <si>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</si>
  <si>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</si>
  <si>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</si>
  <si>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</si>
  <si>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</si>
  <si>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</si>
  <si>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</si>
  <si>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</si>
  <si>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</si>
  <si>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</si>
  <si>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</si>
  <si>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</si>
  <si>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</si>
  <si>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</si>
  <si>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</si>
  <si>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</si>
  <si>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</si>
  <si>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</si>
  <si>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</si>
  <si>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</si>
  <si>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</si>
  <si>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</si>
  <si>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</si>
  <si>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</si>
  <si>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</si>
  <si>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</si>
  <si>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</si>
  <si>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</si>
  <si>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</si>
  <si>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</si>
  <si>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</si>
  <si>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</si>
  <si>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</si>
  <si>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</si>
  <si>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</si>
  <si>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</si>
  <si>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</si>
  <si>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</si>
  <si>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</si>
  <si>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</si>
  <si>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</si>
  <si>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</si>
  <si>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</si>
  <si>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</si>
  <si>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</si>
  <si>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</si>
  <si>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</si>
  <si>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</si>
  <si>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</si>
  <si>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</si>
  <si>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</si>
  <si>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</si>
  <si>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</si>
  <si>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</si>
  <si>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</si>
  <si>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</si>
  <si>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</si>
  <si>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</si>
  <si>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</si>
  <si>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</si>
  <si>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</si>
  <si>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</si>
  <si>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</si>
  <si>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</si>
  <si>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</si>
  <si>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</si>
  <si>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</si>
  <si>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</si>
  <si>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</si>
  <si>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</si>
  <si>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</si>
  <si>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</si>
  <si>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</si>
  <si>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</si>
  <si>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</si>
  <si>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</si>
  <si>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</si>
  <si>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</si>
  <si>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</si>
  <si>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</si>
  <si>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</si>
  <si>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</si>
  <si>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</si>
  <si>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</si>
  <si>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</si>
  <si>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</si>
  <si>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</si>
  <si>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</si>
  <si>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</si>
  <si>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</si>
  <si>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</si>
  <si>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</si>
  <si>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</si>
  <si>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</si>
  <si>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</si>
  <si>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</si>
  <si>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</si>
  <si>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</si>
  <si>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</si>
  <si>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</si>
  <si>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</si>
  <si>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</si>
  <si>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</si>
  <si>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</si>
  <si>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</si>
  <si>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</si>
  <si>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</si>
  <si>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</si>
  <si>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</si>
  <si>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</si>
  <si>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</si>
  <si>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</si>
  <si>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</si>
  <si>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</si>
  <si>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</si>
  <si>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</si>
  <si>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</si>
  <si>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</si>
  <si>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</si>
  <si>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</si>
  <si>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</si>
  <si>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</si>
  <si>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</si>
  <si>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</si>
  <si>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</si>
  <si>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</si>
  <si>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</si>
  <si>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</si>
  <si>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</si>
  <si>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</si>
  <si>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</si>
  <si>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</si>
  <si>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</si>
  <si>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</si>
  <si>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</si>
  <si>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</si>
  <si>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</si>
  <si>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</si>
  <si>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</si>
  <si>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</si>
  <si>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</si>
  <si>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</si>
  <si>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</si>
  <si>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</si>
  <si>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</si>
  <si>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</si>
  <si>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</si>
  <si>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</si>
  <si>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</si>
  <si>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</si>
  <si>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</si>
  <si>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</si>
  <si>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</si>
  <si>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</si>
  <si>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</si>
  <si>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</si>
  <si>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</si>
  <si>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</si>
  <si>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</si>
  <si>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</si>
  <si>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</si>
  <si>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</si>
  <si>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</si>
  <si>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</si>
  <si>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</si>
  <si>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</si>
  <si>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</si>
  <si>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</si>
  <si>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</si>
  <si>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</si>
  <si>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</si>
  <si>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</si>
  <si>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</si>
  <si>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</si>
  <si>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</si>
  <si>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</si>
  <si>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</si>
  <si>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</si>
  <si>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</si>
  <si>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</si>
  <si>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</si>
  <si>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</si>
  <si>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</si>
  <si>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</si>
  <si>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</si>
  <si>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</si>
  <si>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</si>
  <si>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</si>
  <si>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</si>
  <si>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</si>
  <si>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</si>
  <si>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</si>
  <si>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</si>
  <si>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</si>
  <si>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</si>
  <si>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</si>
  <si>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</si>
  <si>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</si>
  <si>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</si>
  <si>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</si>
  <si>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</si>
  <si>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</si>
  <si>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</si>
  <si>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</si>
  <si>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</si>
  <si>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</si>
  <si>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</si>
  <si>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</si>
  <si>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</si>
  <si>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</si>
  <si>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</si>
  <si>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</si>
  <si>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</si>
  <si>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</si>
  <si>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</si>
  <si>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</si>
  <si>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</si>
  <si>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</si>
  <si>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</si>
  <si>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</si>
  <si>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</si>
  <si>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</si>
  <si>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</si>
  <si>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</si>
  <si>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</si>
  <si>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</si>
  <si>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</si>
  <si>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</si>
  <si>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</si>
  <si>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</si>
  <si>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</si>
  <si>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</si>
  <si>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</si>
  <si>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</si>
  <si>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</si>
  <si>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</si>
  <si>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</si>
  <si>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</si>
  <si>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</si>
  <si>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</si>
  <si>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</si>
  <si>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</si>
  <si>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</si>
  <si>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</si>
  <si>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</si>
  <si>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</si>
  <si>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</si>
  <si>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</si>
  <si>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</si>
  <si>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</si>
  <si>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</si>
  <si>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</si>
  <si>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</si>
  <si>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</si>
  <si>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</si>
  <si>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</si>
  <si>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</si>
  <si>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</si>
  <si>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</si>
  <si>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</si>
  <si>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</si>
  <si>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</si>
  <si>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</si>
  <si>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</si>
  <si>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</si>
  <si>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</si>
  <si>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</si>
  <si>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</si>
  <si>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</si>
  <si>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</si>
  <si>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</si>
  <si>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</si>
  <si>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</si>
  <si>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</si>
  <si>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</si>
  <si>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</si>
  <si>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</si>
  <si>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</si>
  <si>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</si>
  <si>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</si>
  <si>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</si>
  <si>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</si>
  <si>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</si>
  <si>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</si>
  <si>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</si>
  <si>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</si>
  <si>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</si>
  <si>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</si>
  <si>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</si>
  <si>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</si>
  <si>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</si>
  <si>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</si>
  <si>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</si>
  <si>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</si>
  <si>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</si>
  <si>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</si>
  <si>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</si>
  <si>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</si>
  <si>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</si>
  <si>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</si>
  <si>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</si>
  <si>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</si>
  <si>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</si>
  <si>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</si>
  <si>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</si>
  <si>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</si>
  <si>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</si>
  <si>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</si>
  <si>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</si>
  <si>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</si>
  <si>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</si>
  <si>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</si>
  <si>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</si>
  <si>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</si>
  <si>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</si>
  <si>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</si>
  <si>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</si>
  <si>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</si>
  <si>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</si>
  <si>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</si>
  <si>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</si>
  <si>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</si>
  <si>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</si>
  <si>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</si>
  <si>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</si>
  <si>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</si>
  <si>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</si>
  <si>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</si>
  <si>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</si>
  <si>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</si>
  <si>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</si>
  <si>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</si>
  <si>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</si>
  <si>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</si>
  <si>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</si>
  <si>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</si>
  <si>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</si>
  <si>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</si>
  <si>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</si>
  <si>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</si>
  <si>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</si>
  <si>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</si>
  <si>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</si>
  <si>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</si>
  <si>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</si>
  <si>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</si>
  <si>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</si>
  <si>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</si>
  <si>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</si>
  <si>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</si>
  <si>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</si>
  <si>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</si>
  <si>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</si>
  <si>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</si>
  <si>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</si>
  <si>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</si>
  <si>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</si>
  <si>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</si>
  <si>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</si>
  <si>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</si>
  <si>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</si>
  <si>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</si>
  <si>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</si>
  <si>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</si>
  <si>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</si>
  <si>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</si>
  <si>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</si>
  <si>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</si>
  <si>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</si>
  <si>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</si>
  <si>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</si>
  <si>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</si>
  <si>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</si>
  <si>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</si>
  <si>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</si>
  <si>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</si>
  <si>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</si>
  <si>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</si>
  <si>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</si>
  <si>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</si>
  <si>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</si>
  <si>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</si>
  <si>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</si>
  <si>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</si>
  <si>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</si>
  <si>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</si>
  <si>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</si>
  <si>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</si>
  <si>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</si>
  <si>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</si>
  <si>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</si>
  <si>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</si>
  <si>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</si>
  <si>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</si>
  <si>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</si>
  <si>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</si>
  <si>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</si>
  <si>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</si>
  <si>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</si>
  <si>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</si>
  <si>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</si>
  <si>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</si>
  <si>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</si>
  <si>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</si>
  <si>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</si>
  <si>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</si>
  <si>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</si>
  <si>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</si>
  <si>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</si>
  <si>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</si>
  <si>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</si>
  <si>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</si>
  <si>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</si>
  <si>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</si>
  <si>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</si>
  <si>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</si>
  <si>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</si>
  <si>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</si>
  <si>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</si>
  <si>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</si>
  <si>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</si>
  <si>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</si>
  <si>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</si>
  <si>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</si>
  <si>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</si>
  <si>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</si>
  <si>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</si>
  <si>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</si>
  <si>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</si>
  <si>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</si>
  <si>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</si>
  <si>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</si>
  <si>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</si>
  <si>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</si>
  <si>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</si>
  <si>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</si>
  <si>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</si>
  <si>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</si>
  <si>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</si>
  <si>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</si>
  <si>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</si>
  <si>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</si>
  <si>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</si>
  <si>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</si>
  <si>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</si>
  <si>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</si>
  <si>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</si>
  <si>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</si>
  <si>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</si>
  <si>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</si>
  <si>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</si>
  <si>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</si>
  <si>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</si>
  <si>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</si>
  <si>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</si>
  <si>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</si>
  <si>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</si>
  <si>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</si>
  <si>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</si>
  <si>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</si>
  <si>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</si>
  <si>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</si>
  <si>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</si>
  <si>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</si>
  <si>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</si>
  <si>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</si>
  <si>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</si>
  <si>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</si>
  <si>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</si>
  <si>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</si>
  <si>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</si>
  <si>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</si>
  <si>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</si>
  <si>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</si>
  <si>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</si>
  <si>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</si>
  <si>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</si>
  <si>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</si>
  <si>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</si>
  <si>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</si>
  <si>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</si>
  <si>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</si>
  <si>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</si>
  <si>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</si>
  <si>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</si>
  <si>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</si>
  <si>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</si>
  <si>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</si>
  <si>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</si>
  <si>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</si>
  <si>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</si>
  <si>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</si>
  <si>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</si>
  <si>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</si>
  <si>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</si>
  <si>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</si>
  <si>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</si>
  <si>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</si>
  <si>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</si>
  <si>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</si>
  <si>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</si>
  <si>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</si>
  <si>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</si>
  <si>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</si>
  <si>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</si>
  <si>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</si>
  <si>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</si>
  <si>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</si>
  <si>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</si>
  <si>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</si>
  <si>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</si>
  <si>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</si>
  <si>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</si>
  <si>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</si>
  <si>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</si>
  <si>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</si>
  <si>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</si>
  <si>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</si>
  <si>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</si>
  <si>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</si>
  <si>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</si>
  <si>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</si>
  <si>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</si>
  <si>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</si>
  <si>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</si>
  <si>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</si>
  <si>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</si>
  <si>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</si>
  <si>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</si>
  <si>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</si>
  <si>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</si>
  <si>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</si>
  <si>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</si>
  <si>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</si>
  <si>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</si>
  <si>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</si>
  <si>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</si>
  <si>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</si>
  <si>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</si>
  <si>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</si>
  <si>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</si>
  <si>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</si>
  <si>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</si>
  <si>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</si>
  <si>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</si>
  <si>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</si>
  <si>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</si>
  <si>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</si>
  <si>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</si>
  <si>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</si>
  <si>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</si>
  <si>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</si>
  <si>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</si>
  <si>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</si>
  <si>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</si>
  <si>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</si>
  <si>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</si>
  <si>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</si>
  <si>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</si>
  <si>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</si>
  <si>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</si>
  <si>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</si>
  <si>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</si>
  <si>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</si>
  <si>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</si>
  <si>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</si>
  <si>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</si>
  <si>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</si>
  <si>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</si>
  <si>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</si>
  <si>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</si>
  <si>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</si>
  <si>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</si>
  <si>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</si>
  <si>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</si>
  <si>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</si>
  <si>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</si>
  <si>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</si>
  <si>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</si>
  <si>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</si>
  <si>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</si>
  <si>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</si>
  <si>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</si>
  <si>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</si>
  <si>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</si>
  <si>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</si>
  <si>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</si>
  <si>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</si>
  <si>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</si>
  <si>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</si>
  <si>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</si>
  <si>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</si>
  <si>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</si>
  <si>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</si>
  <si>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</si>
  <si>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</si>
  <si>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</si>
  <si>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</si>
  <si>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</si>
  <si>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</si>
  <si>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</si>
  <si>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</si>
  <si>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</si>
  <si>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</si>
  <si>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</si>
  <si>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</si>
  <si>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</si>
  <si>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</si>
  <si>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</si>
  <si>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</si>
  <si>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</si>
  <si>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</si>
  <si>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</si>
  <si>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</si>
  <si>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</si>
  <si>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</si>
  <si>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</si>
  <si>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</si>
  <si>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</si>
  <si>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</si>
  <si>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</si>
  <si>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</si>
  <si>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</si>
  <si>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</si>
  <si>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</si>
  <si>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</si>
  <si>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</si>
  <si>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</si>
  <si>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</si>
  <si>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</si>
  <si>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</si>
  <si>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</si>
  <si>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</si>
  <si>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</si>
  <si>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</si>
  <si>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</si>
  <si>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</si>
  <si>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</si>
  <si>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</si>
  <si>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</si>
  <si>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</si>
  <si>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</si>
  <si>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</si>
  <si>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</si>
  <si>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</si>
  <si>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</si>
  <si>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</si>
  <si>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</si>
  <si>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</si>
  <si>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</si>
  <si>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</si>
  <si>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</si>
  <si>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</si>
  <si>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</si>
  <si>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</si>
  <si>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</si>
  <si>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</si>
  <si>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</si>
  <si>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</si>
  <si>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</si>
  <si>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</si>
  <si>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</si>
  <si>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</si>
  <si>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</si>
  <si>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</si>
  <si>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</si>
  <si>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</si>
  <si>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</si>
  <si>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</si>
  <si>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</si>
  <si>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</si>
  <si>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</si>
  <si>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</si>
  <si>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</si>
  <si>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</si>
  <si>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</si>
  <si>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</si>
  <si>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</si>
  <si>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</si>
  <si>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</si>
  <si>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</si>
  <si>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</si>
  <si>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</si>
  <si>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</si>
  <si>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</si>
  <si>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</si>
  <si>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</si>
  <si>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</si>
  <si>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</si>
  <si>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</si>
  <si>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</si>
  <si>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</si>
  <si>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</si>
  <si>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</si>
  <si>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</si>
  <si>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</si>
  <si>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</si>
  <si>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</si>
  <si>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</si>
  <si>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</si>
  <si>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</si>
  <si>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</si>
  <si>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</si>
  <si>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</si>
  <si>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</si>
  <si>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</si>
  <si>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</si>
  <si>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</si>
  <si>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</si>
  <si>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</si>
  <si>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</si>
  <si>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</si>
  <si>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</si>
  <si>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</si>
  <si>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</si>
  <si>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</si>
  <si>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</si>
  <si>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</si>
  <si>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</si>
  <si>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</si>
  <si>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</si>
  <si>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</si>
  <si>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</si>
  <si>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</si>
  <si>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</si>
  <si>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</si>
  <si>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</si>
  <si>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</si>
  <si>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</si>
  <si>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</si>
  <si>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</si>
  <si>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</si>
  <si>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</si>
  <si>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</si>
  <si>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</si>
  <si>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</si>
  <si>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</si>
  <si>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</si>
  <si>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</si>
  <si>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</si>
  <si>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</si>
  <si>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</si>
  <si>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</si>
  <si>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</si>
  <si>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</si>
  <si>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</si>
  <si>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</si>
  <si>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</si>
  <si>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</si>
  <si>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</si>
  <si>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</si>
  <si>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</si>
  <si>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</si>
  <si>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</si>
  <si>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</si>
  <si>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</si>
  <si>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</si>
  <si>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</si>
  <si>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</si>
  <si>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</si>
  <si>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</si>
  <si>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</si>
  <si>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</si>
  <si>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</si>
  <si>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</si>
  <si>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</si>
  <si>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</si>
  <si>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</si>
  <si>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</si>
  <si>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</si>
  <si>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</si>
  <si>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</si>
  <si>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</si>
  <si>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</si>
  <si>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</si>
  <si>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</si>
  <si>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</si>
  <si>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</si>
  <si>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</si>
  <si>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</si>
  <si>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</si>
  <si>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</si>
  <si>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</si>
  <si>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</si>
  <si>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</si>
  <si>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</si>
  <si>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</si>
  <si>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</si>
  <si>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</si>
  <si>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</si>
  <si>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</si>
  <si>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</si>
  <si>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</si>
  <si>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</si>
  <si>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</si>
  <si>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</si>
  <si>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</si>
  <si>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</si>
  <si>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</si>
  <si>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</si>
  <si>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</si>
  <si>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</si>
  <si>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</si>
  <si>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</si>
  <si>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</si>
  <si>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</si>
  <si>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</si>
  <si>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</si>
  <si>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</si>
  <si>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</si>
  <si>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</si>
  <si>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</si>
  <si>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</si>
  <si>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</si>
  <si>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</si>
  <si>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</si>
  <si>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</si>
  <si>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</si>
  <si>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</si>
  <si>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</si>
  <si>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</si>
  <si>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</si>
  <si>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</si>
  <si>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</si>
  <si>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</si>
  <si>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</si>
  <si>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</si>
  <si>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</si>
  <si>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</si>
  <si>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</si>
  <si>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</si>
  <si>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</si>
  <si>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</si>
  <si>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</si>
  <si>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</si>
  <si>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</si>
  <si>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</si>
  <si>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</si>
  <si>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</si>
  <si>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</si>
  <si>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</si>
  <si>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</si>
  <si>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</si>
  <si>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</si>
  <si>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</si>
  <si>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</si>
  <si>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</si>
  <si>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</si>
  <si>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</si>
  <si>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</si>
  <si>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</si>
  <si>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</si>
  <si>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</si>
  <si>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</si>
  <si>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</si>
  <si>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</si>
  <si>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</si>
  <si>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</si>
  <si>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</si>
  <si>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</si>
  <si>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</si>
  <si>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</si>
  <si>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</si>
  <si>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</si>
  <si>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</si>
  <si>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</si>
  <si>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</si>
  <si>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</si>
  <si>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</si>
  <si>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</si>
  <si>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</si>
  <si>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</si>
  <si>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</si>
  <si>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</si>
  <si>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</si>
  <si>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</si>
  <si>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</si>
  <si>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</si>
  <si>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</si>
  <si>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</si>
  <si>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</si>
  <si>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</si>
  <si>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</si>
  <si>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</si>
  <si>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</si>
  <si>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</si>
  <si>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</si>
  <si>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</si>
  <si>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</si>
  <si>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</si>
  <si>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</si>
  <si>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</si>
  <si>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</si>
  <si>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</si>
  <si>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</si>
  <si>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</si>
  <si>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</si>
  <si>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</si>
  <si>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</si>
  <si>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</si>
  <si>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</si>
  <si>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</si>
  <si>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</si>
  <si>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</si>
  <si>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</si>
  <si>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</si>
  <si>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</si>
  <si>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</si>
  <si>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</si>
  <si>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</si>
  <si>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</si>
  <si>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</si>
  <si>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</si>
  <si>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</si>
  <si>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</si>
  <si>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</si>
  <si>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</si>
  <si>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</si>
  <si>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</si>
  <si>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</si>
  <si>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</si>
  <si>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</si>
  <si>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</si>
  <si>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</si>
  <si>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</si>
  <si>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</si>
  <si>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</si>
  <si>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</si>
  <si>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</si>
  <si>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</si>
  <si>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</si>
  <si>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</si>
  <si>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</si>
  <si>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</si>
  <si>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</si>
  <si>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</si>
  <si>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</si>
  <si>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</si>
  <si>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</si>
  <si>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</si>
  <si>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</si>
  <si>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</si>
  <si>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</si>
  <si>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</si>
  <si>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</si>
  <si>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</si>
  <si>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</si>
  <si>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</si>
  <si>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</si>
  <si>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</si>
  <si>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</si>
  <si>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</si>
  <si>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</si>
  <si>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</si>
  <si>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</si>
  <si>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</si>
  <si>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</si>
  <si>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</si>
  <si>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</si>
  <si>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</si>
  <si>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</si>
  <si>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</si>
  <si>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</si>
  <si>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</si>
  <si>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</si>
  <si>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</si>
  <si>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</si>
  <si>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</si>
  <si>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</si>
  <si>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</si>
  <si>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</si>
  <si>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</si>
  <si>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</si>
  <si>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</si>
  <si>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</si>
  <si>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</si>
  <si>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</si>
  <si>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</si>
  <si>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</si>
  <si>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</si>
  <si>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</si>
  <si>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</si>
  <si>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</si>
  <si>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</si>
  <si>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</si>
  <si>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</si>
  <si>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</si>
  <si>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</si>
  <si>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</si>
  <si>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</si>
  <si>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</si>
  <si>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</si>
  <si>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</si>
  <si>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</si>
  <si>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</si>
  <si>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</si>
  <si>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</si>
  <si>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</si>
  <si>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</si>
  <si>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</si>
  <si>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</si>
  <si>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</si>
  <si>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</si>
  <si>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</si>
  <si>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</si>
  <si>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</si>
  <si>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</si>
  <si>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</si>
  <si>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</si>
  <si>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</si>
  <si>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</si>
  <si>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</si>
  <si>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</si>
  <si>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</si>
  <si>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</si>
  <si>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</si>
  <si>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</si>
  <si>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</si>
  <si>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</si>
  <si>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</si>
  <si>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</si>
  <si>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</si>
  <si>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</si>
  <si>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</si>
  <si>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</si>
  <si>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</si>
  <si>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</si>
  <si>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</si>
  <si>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</si>
  <si>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</si>
  <si>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</si>
  <si>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</si>
  <si>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</si>
  <si>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</si>
  <si>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</si>
  <si>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</si>
  <si>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</si>
  <si>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</si>
  <si>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</si>
  <si>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</si>
  <si>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</si>
  <si>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</si>
  <si>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</si>
  <si>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</si>
  <si>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</si>
  <si>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</si>
  <si>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</si>
  <si>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</si>
  <si>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</si>
  <si>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</si>
  <si>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</si>
  <si>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</si>
  <si>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</si>
  <si>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</si>
  <si>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</si>
  <si>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</si>
  <si>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</si>
  <si>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</si>
  <si>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</si>
  <si>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</si>
  <si>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</si>
  <si>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</si>
  <si>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</si>
  <si>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</si>
  <si>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</si>
  <si>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</si>
  <si>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</si>
  <si>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</si>
  <si>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</si>
  <si>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</si>
  <si>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</si>
  <si>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</si>
  <si>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</si>
  <si>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</si>
  <si>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</si>
  <si>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</si>
  <si>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</si>
  <si>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</si>
  <si>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</si>
  <si>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</si>
  <si>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</si>
  <si>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</si>
  <si>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</si>
  <si>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</si>
  <si>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</si>
  <si>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</si>
  <si>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</si>
  <si>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</si>
  <si>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</si>
  <si>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</si>
  <si>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</si>
  <si>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</si>
  <si>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</si>
  <si>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</si>
  <si>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</si>
  <si>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</si>
  <si>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</si>
  <si>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</si>
  <si>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</si>
  <si>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</si>
  <si>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</si>
  <si>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</si>
  <si>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</si>
  <si>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</si>
  <si>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</si>
  <si>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</si>
  <si>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</si>
  <si>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</si>
  <si>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</si>
  <si>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</si>
  <si>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</si>
  <si>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</si>
  <si>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</si>
  <si>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</si>
  <si>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</si>
  <si>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</si>
  <si>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</si>
  <si>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</si>
  <si>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</si>
  <si>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</si>
  <si>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</si>
  <si>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</si>
  <si>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</si>
  <si>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</si>
  <si>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</si>
  <si>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</si>
  <si>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</si>
  <si>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</si>
  <si>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</si>
  <si>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</si>
  <si>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</si>
  <si>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</si>
  <si>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</si>
  <si>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</si>
  <si>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</si>
  <si>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</si>
  <si>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</si>
  <si>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</si>
  <si>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</si>
  <si>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</si>
  <si>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</si>
  <si>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</si>
  <si>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</si>
  <si>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</si>
  <si>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</si>
  <si>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</si>
  <si>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</si>
  <si>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</si>
  <si>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</si>
  <si>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</si>
  <si>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</si>
  <si>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</si>
  <si>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</si>
  <si>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</si>
  <si>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</si>
  <si>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</si>
  <si>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</si>
  <si>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</si>
  <si>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</si>
  <si>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</si>
  <si>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</si>
  <si>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</si>
  <si>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</si>
  <si>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</si>
  <si>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</si>
  <si>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</si>
  <si>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</si>
  <si>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</si>
  <si>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</si>
  <si>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</si>
  <si>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</si>
  <si>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</si>
  <si>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</si>
  <si>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</si>
  <si>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</si>
  <si>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</si>
  <si>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</si>
  <si>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</si>
  <si>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</si>
  <si>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</si>
  <si>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</si>
  <si>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</si>
  <si>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</si>
  <si>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</si>
  <si>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</si>
  <si>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</si>
  <si>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</si>
  <si>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</si>
  <si>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</si>
  <si>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</si>
  <si>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</si>
  <si>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</si>
  <si>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</si>
  <si>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</si>
  <si>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</si>
  <si>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</si>
  <si>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</si>
  <si>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</si>
  <si>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</si>
  <si>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</si>
  <si>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</si>
  <si>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</si>
  <si>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</si>
  <si>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</si>
  <si>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</si>
  <si>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</si>
  <si>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</si>
  <si>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</si>
  <si>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</si>
  <si>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</si>
  <si>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</si>
  <si>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</si>
  <si>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</si>
  <si>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</si>
  <si>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</si>
  <si>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</si>
  <si>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</si>
  <si>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</si>
  <si>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</si>
  <si>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</si>
  <si>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</si>
  <si>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</si>
  <si>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</si>
  <si>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</si>
  <si>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</si>
  <si>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</si>
  <si>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</si>
  <si>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</si>
  <si>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</si>
  <si>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</si>
  <si>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</si>
  <si>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</si>
  <si>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</si>
  <si>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</si>
  <si>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</si>
  <si>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</si>
  <si>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</si>
  <si>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</si>
  <si>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</si>
  <si>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</si>
  <si>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</si>
  <si>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</si>
  <si>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</si>
  <si>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</si>
  <si>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</si>
  <si>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</si>
  <si>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</si>
  <si>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</si>
  <si>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</si>
  <si>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</si>
  <si>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</si>
  <si>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</si>
  <si>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</si>
  <si>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</si>
  <si>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</si>
  <si>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</si>
  <si>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</si>
  <si>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</si>
  <si>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</si>
  <si>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</si>
  <si>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</si>
  <si>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</si>
  <si>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</si>
  <si>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</si>
  <si>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</si>
  <si>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</si>
  <si>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</si>
  <si>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</si>
  <si>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</si>
  <si>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</si>
  <si>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</si>
  <si>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</si>
  <si>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</si>
  <si>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</si>
  <si>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</si>
  <si>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</si>
  <si>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</si>
  <si>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</si>
  <si>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</si>
  <si>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</si>
  <si>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</si>
  <si>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</si>
  <si>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</si>
  <si>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</si>
  <si>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</si>
  <si>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</si>
  <si>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</si>
  <si>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</si>
  <si>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</si>
  <si>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</si>
  <si>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</si>
  <si>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</si>
  <si>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</si>
  <si>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</si>
  <si>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</si>
  <si>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</si>
  <si>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</si>
  <si>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</si>
  <si>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</si>
  <si>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</si>
  <si>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</si>
  <si>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</si>
  <si>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</si>
  <si>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</si>
  <si>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</si>
  <si>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</si>
  <si>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</si>
  <si>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</si>
  <si>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</si>
  <si>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</si>
  <si>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</si>
  <si>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</si>
  <si>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</si>
  <si>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</si>
  <si>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</si>
  <si>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</si>
  <si>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</si>
  <si>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</si>
  <si>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</si>
  <si>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</si>
  <si>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</si>
  <si>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</si>
  <si>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</si>
  <si>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</si>
  <si>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</si>
  <si>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</si>
  <si>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</si>
  <si>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</si>
  <si>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</si>
  <si>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</si>
  <si>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</si>
  <si>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</si>
  <si>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</si>
  <si>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</si>
  <si>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</si>
  <si>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</si>
  <si>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</si>
  <si>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</si>
  <si>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</si>
  <si>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</si>
  <si>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</si>
  <si>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</si>
  <si>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</si>
  <si>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</si>
  <si>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</si>
  <si>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</si>
  <si>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</si>
  <si>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</si>
  <si>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</si>
  <si>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</si>
  <si>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</si>
  <si>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</si>
  <si>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</si>
  <si>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</si>
  <si>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</si>
  <si>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</si>
  <si>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</si>
  <si>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</si>
  <si>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</si>
  <si>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</si>
  <si>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</si>
  <si>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</si>
  <si>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</si>
  <si>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</si>
  <si>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</si>
  <si>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</si>
  <si>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</si>
  <si>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</si>
  <si>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</si>
  <si>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</si>
  <si>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</si>
  <si>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</si>
  <si>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</si>
  <si>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</si>
  <si>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</si>
  <si>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</si>
  <si>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</si>
  <si>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</si>
  <si>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</si>
  <si>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</si>
  <si>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</si>
  <si>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</si>
  <si>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</si>
  <si>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</si>
  <si>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</si>
  <si>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</si>
  <si>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</si>
  <si>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</si>
  <si>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</si>
  <si>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</si>
  <si>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</si>
  <si>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</si>
  <si>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</si>
  <si>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</si>
  <si>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</si>
  <si>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</si>
  <si>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</si>
  <si>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</si>
  <si>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</si>
  <si>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</si>
  <si>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</si>
  <si>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</si>
  <si>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</si>
  <si>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</si>
  <si>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</si>
  <si>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</si>
  <si>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</si>
  <si>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</si>
  <si>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</si>
  <si>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</si>
  <si>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</si>
  <si>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</si>
  <si>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</si>
  <si>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</si>
  <si>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</si>
  <si>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</si>
  <si>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</si>
  <si>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</si>
  <si>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</si>
  <si>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</si>
  <si>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</si>
  <si>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</si>
  <si>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</si>
  <si>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</si>
  <si>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</si>
  <si>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</si>
  <si>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</si>
  <si>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</si>
  <si>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</si>
  <si>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</si>
  <si>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</si>
  <si>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</si>
  <si>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</si>
  <si>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</si>
  <si>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</si>
  <si>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</si>
  <si>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</si>
  <si>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</si>
  <si>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</si>
  <si>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</si>
  <si>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</si>
  <si>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</si>
  <si>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</si>
  <si>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</si>
  <si>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</si>
  <si>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</si>
  <si>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</si>
  <si>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</si>
  <si>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</si>
  <si>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</si>
  <si>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</si>
  <si>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</si>
  <si>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</si>
  <si>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</si>
  <si>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</si>
  <si>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</si>
  <si>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</si>
  <si>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</si>
  <si>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</si>
  <si>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</si>
  <si>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</si>
  <si>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</si>
  <si>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</si>
  <si>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</si>
  <si>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</si>
  <si>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</si>
  <si>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</si>
  <si>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</si>
  <si>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</si>
  <si>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</si>
  <si>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</si>
  <si>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</si>
  <si>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</si>
  <si>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</si>
  <si>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</si>
  <si>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</si>
  <si>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</si>
  <si>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</si>
  <si>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</si>
  <si>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</si>
  <si>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</si>
  <si>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</si>
  <si>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</si>
  <si>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</si>
  <si>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</si>
  <si>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</si>
  <si>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</si>
  <si>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</si>
  <si>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</si>
  <si>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</si>
  <si>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</si>
  <si>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</si>
  <si>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</si>
  <si>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</si>
  <si>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</si>
  <si>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</si>
  <si>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</si>
  <si>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</si>
  <si>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</si>
  <si>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</si>
  <si>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</si>
  <si>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</si>
  <si>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</si>
  <si>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</si>
  <si>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</si>
  <si>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</si>
  <si>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</si>
  <si>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</si>
  <si>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</si>
  <si>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</si>
  <si>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</si>
  <si>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</si>
  <si>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</si>
  <si>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</si>
  <si>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</si>
  <si>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</si>
  <si>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</si>
  <si>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</si>
  <si>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</si>
  <si>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</si>
  <si>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</si>
  <si>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</si>
  <si>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</si>
  <si>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</si>
  <si>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</si>
  <si>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</si>
  <si>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</si>
  <si>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</si>
  <si>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</si>
  <si>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</si>
  <si>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</si>
  <si>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</si>
  <si>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</si>
  <si>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</si>
  <si>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</si>
  <si>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</si>
  <si>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</si>
  <si>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</si>
  <si>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</si>
  <si>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</si>
  <si>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</si>
  <si>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</si>
  <si>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</si>
  <si>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</si>
  <si>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</si>
  <si>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</si>
  <si>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</si>
  <si>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</si>
  <si>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</si>
  <si>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</si>
  <si>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</si>
  <si>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</si>
  <si>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</si>
  <si>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</si>
  <si>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</si>
  <si>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</si>
  <si>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</si>
  <si>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</si>
  <si>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</si>
  <si>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</si>
  <si>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</si>
  <si>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</si>
  <si>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</si>
  <si>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</si>
  <si>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</si>
  <si>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</si>
  <si>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</si>
  <si>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</si>
  <si>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</si>
  <si>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</si>
  <si>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</si>
  <si>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</si>
  <si>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</si>
  <si>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</si>
  <si>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</si>
  <si>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</si>
  <si>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</si>
  <si>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</si>
  <si>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</si>
  <si>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</si>
  <si>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</si>
  <si>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</si>
  <si>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</si>
  <si>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</si>
  <si>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</si>
  <si>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</si>
  <si>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</si>
  <si>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</si>
  <si>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</si>
  <si>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</si>
  <si>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</si>
  <si>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</si>
  <si>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</si>
  <si>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</si>
  <si>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</si>
  <si>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</si>
  <si>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</si>
  <si>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</si>
  <si>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</si>
  <si>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</si>
  <si>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</si>
  <si>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</si>
  <si>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</si>
  <si>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</si>
  <si>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</si>
  <si>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</si>
  <si>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</si>
  <si>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</si>
  <si>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</si>
  <si>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</si>
  <si>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</si>
  <si>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</si>
  <si>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</si>
  <si>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</si>
  <si>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</si>
  <si>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</si>
  <si>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</si>
  <si>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</si>
  <si>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</si>
  <si>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</si>
  <si>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</si>
  <si>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</si>
  <si>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</si>
  <si>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</si>
  <si>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</si>
  <si>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</si>
  <si>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</si>
  <si>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</si>
  <si>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</si>
  <si>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</si>
  <si>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</si>
  <si>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</si>
  <si>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</si>
  <si>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</si>
  <si>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</si>
  <si>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</si>
  <si>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</si>
  <si>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</si>
  <si>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</si>
  <si>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</si>
  <si>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</si>
  <si>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</si>
  <si>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</si>
  <si>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</si>
  <si>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</si>
  <si>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</si>
  <si>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</si>
  <si>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</si>
  <si>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</si>
  <si>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</si>
  <si>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</si>
  <si>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</si>
  <si>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</si>
  <si>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</si>
  <si>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</si>
  <si>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</si>
  <si>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</si>
  <si>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</si>
  <si>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</si>
  <si>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</si>
  <si>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</si>
  <si>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</si>
  <si>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</si>
  <si>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</si>
  <si>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</si>
  <si>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</si>
  <si>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</si>
  <si>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</si>
  <si>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</si>
  <si>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</si>
  <si>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</si>
  <si>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</si>
  <si>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</si>
  <si>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</si>
  <si>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</si>
  <si>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</si>
  <si>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</si>
  <si>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</si>
  <si>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</si>
  <si>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</si>
  <si>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</si>
  <si>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</si>
  <si>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</si>
  <si>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</si>
  <si>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</si>
  <si>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</si>
  <si>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</si>
  <si>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</si>
  <si>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</si>
  <si>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</si>
  <si>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</si>
  <si>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</si>
  <si>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</si>
  <si>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</si>
  <si>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</si>
  <si>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</si>
  <si>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</si>
  <si>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</si>
  <si>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</si>
  <si>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</si>
  <si>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</si>
  <si>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</si>
  <si>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</si>
  <si>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</si>
  <si>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</si>
  <si>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</si>
  <si>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</si>
  <si>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</si>
  <si>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</si>
  <si>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</si>
  <si>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</si>
  <si>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</si>
  <si>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</si>
  <si>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</si>
  <si>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</si>
  <si>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</si>
  <si>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</si>
  <si>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</si>
  <si>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</si>
  <si>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</si>
  <si>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</si>
  <si>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</si>
  <si>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</si>
  <si>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</si>
  <si>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</si>
  <si>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</si>
  <si>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</si>
  <si>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</si>
  <si>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</si>
  <si>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</si>
  <si>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</si>
  <si>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</si>
  <si>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</si>
  <si>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</si>
  <si>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</si>
  <si>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</si>
  <si>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</si>
  <si>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</si>
  <si>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</si>
  <si>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</si>
  <si>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</si>
  <si>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</si>
  <si>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</si>
  <si>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</si>
  <si>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</si>
  <si>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</si>
  <si>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</si>
  <si>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</si>
  <si>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</si>
  <si>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</si>
  <si>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</si>
  <si>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</si>
  <si>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</si>
  <si>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</si>
  <si>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</si>
  <si>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</si>
  <si>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</si>
  <si>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</si>
  <si>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</si>
  <si>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</si>
  <si>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</si>
  <si>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</si>
  <si>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</si>
  <si>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</si>
  <si>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</si>
  <si>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</si>
  <si>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</si>
  <si>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</si>
  <si>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</si>
  <si>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</si>
  <si>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</si>
  <si>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</si>
  <si>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</si>
  <si>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</si>
  <si>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</si>
  <si>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</si>
  <si>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</si>
  <si>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</si>
  <si>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</si>
  <si>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</si>
  <si>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</si>
  <si>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</si>
  <si>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</si>
  <si>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</si>
  <si>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</si>
  <si>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</si>
  <si>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</si>
  <si>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</si>
  <si>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</si>
  <si>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</si>
  <si>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</si>
  <si>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</si>
  <si>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</si>
  <si>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</si>
  <si>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</si>
  <si>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</si>
  <si>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</si>
  <si>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</si>
  <si>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</si>
  <si>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</si>
  <si>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</si>
  <si>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</si>
  <si>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</si>
  <si>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</si>
  <si>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</si>
  <si>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</si>
  <si>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</si>
  <si>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</si>
  <si>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</si>
  <si>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</si>
  <si>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</si>
  <si>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</si>
  <si>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</si>
  <si>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</si>
  <si>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</si>
  <si>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</si>
  <si>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</si>
  <si>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</si>
  <si>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</si>
  <si>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</si>
  <si>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</si>
  <si>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</si>
  <si>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</si>
  <si>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</si>
  <si>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</si>
  <si>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</si>
  <si>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</si>
  <si>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</si>
  <si>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</si>
  <si>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</si>
  <si>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</si>
  <si>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</si>
  <si>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</si>
  <si>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</si>
  <si>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</si>
  <si>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</si>
  <si>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</si>
  <si>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</si>
  <si>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</si>
  <si>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</si>
  <si>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</si>
  <si>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</si>
  <si>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</si>
  <si>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</si>
  <si>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</si>
  <si>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</si>
  <si>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</si>
  <si>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</si>
  <si>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</si>
  <si>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</si>
  <si>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</si>
  <si>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</si>
  <si>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</si>
  <si>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</si>
  <si>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</si>
  <si>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</si>
  <si>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</si>
  <si>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</si>
  <si>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</si>
  <si>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</si>
  <si>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</si>
  <si>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</si>
  <si>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</si>
  <si>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</si>
  <si>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</si>
  <si>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</si>
  <si>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</si>
  <si>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</si>
  <si>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</si>
  <si>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</si>
  <si>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</si>
  <si>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</si>
  <si>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</si>
  <si>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</si>
  <si>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</si>
  <si>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</si>
  <si>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</si>
  <si>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</si>
  <si>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</si>
  <si>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</si>
  <si>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</si>
  <si>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</si>
  <si>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</si>
  <si>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</si>
  <si>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</si>
  <si>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</si>
  <si>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</si>
  <si>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</si>
  <si>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</si>
  <si>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</si>
  <si>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</si>
  <si>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</si>
  <si>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</si>
  <si>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</si>
  <si>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</si>
  <si>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</si>
  <si>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</si>
  <si>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</si>
  <si>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</si>
  <si>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</si>
  <si>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</si>
  <si>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</si>
  <si>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</si>
  <si>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</si>
  <si>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</si>
  <si>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</si>
  <si>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</si>
  <si>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</si>
  <si>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</si>
  <si>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</si>
  <si>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</si>
  <si>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</si>
  <si>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</si>
  <si>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</si>
  <si>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</si>
  <si>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</si>
  <si>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</si>
  <si>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</si>
  <si>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</si>
  <si>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</si>
  <si>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</si>
  <si>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</si>
  <si>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</si>
  <si>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</si>
  <si>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</si>
  <si>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</si>
  <si>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</si>
  <si>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</si>
  <si>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</si>
  <si>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</si>
  <si>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</si>
  <si>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</si>
  <si>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</si>
  <si>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</si>
  <si>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</si>
  <si>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</si>
  <si>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</si>
  <si>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</si>
  <si>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</si>
  <si>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</si>
  <si>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</si>
  <si>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</si>
  <si>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</si>
  <si>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</si>
  <si>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</si>
  <si>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</si>
  <si>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</si>
  <si>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</si>
  <si>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</si>
  <si>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</si>
  <si>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</si>
  <si>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</si>
  <si>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</si>
  <si>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</si>
  <si>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</si>
  <si>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</si>
  <si>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</si>
  <si>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</si>
  <si>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</si>
  <si>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</si>
  <si>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</si>
  <si>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</si>
  <si>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</si>
  <si>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</si>
  <si>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</si>
  <si>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</si>
  <si>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</si>
  <si>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</si>
  <si>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</si>
  <si>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</si>
  <si>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</si>
  <si>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</si>
  <si>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</si>
  <si>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</si>
  <si>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</si>
  <si>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</si>
  <si>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</si>
  <si>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</si>
  <si>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</si>
  <si>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</si>
  <si>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</si>
  <si>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</si>
  <si>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</si>
  <si>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</si>
  <si>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</si>
  <si>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</si>
  <si>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</si>
  <si>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</si>
  <si>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</si>
  <si>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</si>
  <si>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</si>
  <si>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</si>
  <si>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</si>
  <si>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</si>
  <si>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</si>
  <si>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</si>
  <si>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</si>
  <si>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</si>
  <si>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</si>
  <si>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</si>
  <si>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</si>
  <si>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</si>
  <si>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</si>
  <si>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</si>
  <si>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</si>
  <si>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</si>
  <si>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</si>
  <si>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</si>
  <si>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</si>
  <si>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</si>
  <si>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</si>
  <si>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</si>
  <si>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</si>
  <si>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</si>
  <si>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</si>
  <si>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</si>
  <si>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</si>
  <si>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</si>
  <si>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</si>
  <si>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</si>
  <si>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</si>
  <si>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</si>
  <si>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</si>
  <si>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</si>
  <si>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</si>
  <si>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</si>
  <si>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</si>
  <si>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</si>
  <si>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</si>
  <si>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</si>
  <si>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</si>
  <si>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</si>
  <si>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</si>
  <si>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</si>
  <si>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</si>
  <si>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</si>
  <si>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</si>
  <si>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</si>
  <si>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</si>
  <si>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</si>
  <si>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</si>
  <si>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</si>
  <si>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</si>
  <si>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</si>
  <si>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</si>
  <si>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</si>
  <si>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</si>
  <si>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</si>
  <si>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</si>
  <si>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</si>
  <si>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</si>
  <si>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</si>
  <si>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</si>
  <si>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</si>
  <si>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</si>
  <si>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</si>
  <si>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</si>
  <si>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</si>
  <si>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</si>
  <si>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</si>
  <si>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</si>
  <si>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</si>
  <si>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</si>
  <si>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</si>
  <si>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</si>
  <si>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</si>
  <si>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</si>
  <si>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</si>
  <si>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</si>
  <si>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</si>
  <si>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</si>
  <si>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</si>
  <si>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</si>
  <si>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</si>
  <si>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</si>
  <si>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</si>
  <si>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</si>
  <si>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</si>
  <si>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</si>
  <si>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</si>
  <si>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</si>
  <si>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</si>
  <si>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</si>
  <si>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</si>
  <si>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</si>
  <si>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</si>
  <si>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</si>
  <si>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</si>
  <si>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</si>
  <si>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</si>
  <si>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</si>
  <si>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</si>
  <si>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</si>
  <si>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</si>
  <si>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</si>
  <si>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</si>
  <si>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</si>
  <si>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</si>
  <si>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</si>
  <si>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</si>
  <si>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</si>
  <si>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</si>
  <si>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</si>
  <si>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</si>
  <si>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</si>
  <si>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</si>
  <si>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</si>
  <si>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</si>
  <si>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</si>
  <si>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</si>
  <si>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</si>
  <si>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</si>
  <si>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</si>
  <si>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</si>
  <si>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</si>
  <si>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</si>
  <si>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</si>
  <si>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</si>
  <si>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</si>
  <si>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</si>
  <si>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</si>
  <si>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</si>
  <si>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</si>
  <si>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</si>
  <si>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</si>
  <si>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</si>
  <si>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</si>
  <si>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</si>
  <si>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</si>
  <si>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</si>
  <si>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</si>
  <si>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</si>
  <si>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</si>
  <si>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</si>
  <si>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</si>
  <si>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</si>
  <si>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</si>
  <si>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</si>
  <si>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</si>
  <si>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</si>
  <si>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</si>
  <si>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</si>
  <si>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</si>
  <si>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</si>
  <si>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</si>
  <si>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</si>
  <si>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</si>
  <si>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</si>
  <si>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</si>
  <si>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</si>
  <si>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</si>
  <si>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</si>
  <si>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</si>
  <si>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</si>
  <si>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</si>
  <si>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</si>
  <si>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</si>
  <si>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</si>
  <si>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</si>
  <si>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</si>
  <si>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</si>
  <si>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</si>
  <si>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</si>
  <si>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</si>
  <si>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</si>
  <si>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</si>
  <si>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</si>
  <si>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</si>
  <si>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</si>
  <si>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</si>
  <si>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</si>
  <si>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</si>
  <si>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</si>
  <si>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</si>
  <si>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</si>
  <si>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</si>
  <si>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</si>
  <si>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</si>
  <si>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</si>
  <si>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</si>
  <si>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</si>
  <si>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</si>
  <si>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</si>
  <si>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</si>
  <si>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</si>
  <si>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</si>
  <si>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</si>
  <si>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</si>
  <si>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</si>
  <si>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</si>
  <si>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</si>
  <si>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</si>
  <si>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</si>
  <si>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</si>
  <si>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</si>
  <si>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</si>
  <si>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</si>
  <si>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</si>
  <si>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</si>
  <si>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</si>
  <si>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</si>
  <si>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</si>
  <si>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</si>
  <si>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</si>
  <si>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</si>
  <si>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</si>
  <si>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</si>
  <si>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</si>
  <si>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</si>
  <si>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</si>
  <si>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</si>
  <si>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</si>
  <si>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</si>
  <si>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</si>
  <si>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</si>
  <si>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</si>
  <si>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</si>
  <si>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</si>
  <si>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</si>
  <si>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</si>
  <si>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</si>
  <si>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</si>
  <si>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</si>
  <si>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</si>
  <si>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</si>
  <si>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</si>
  <si>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</si>
  <si>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</si>
  <si>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</si>
  <si>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</si>
  <si>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</si>
  <si>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</si>
  <si>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</si>
  <si>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</si>
  <si>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</si>
  <si>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</si>
  <si>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</si>
  <si>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</si>
  <si>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</si>
  <si>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</si>
  <si>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</si>
  <si>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</si>
  <si>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</si>
  <si>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</si>
  <si>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</si>
  <si>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</si>
  <si>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</si>
  <si>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</si>
  <si>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</si>
  <si>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</si>
  <si>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</si>
  <si>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</si>
  <si>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</si>
  <si>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</si>
  <si>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</si>
  <si>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</si>
  <si>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</si>
  <si>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</si>
  <si>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</si>
  <si>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</si>
  <si>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</si>
  <si>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</si>
  <si>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</si>
  <si>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</si>
  <si>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</si>
  <si>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</si>
  <si>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</si>
  <si>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</si>
  <si>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</si>
  <si>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</si>
  <si>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</si>
  <si>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</si>
  <si>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</si>
  <si>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</si>
  <si>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</si>
  <si>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</si>
  <si>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</si>
  <si>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</si>
  <si>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</si>
  <si>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</si>
  <si>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</si>
  <si>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</si>
  <si>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</si>
  <si>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</si>
  <si>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</si>
  <si>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</si>
  <si>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</si>
  <si>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</si>
  <si>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</si>
  <si>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</si>
  <si>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</si>
  <si>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</si>
  <si>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</si>
  <si>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</si>
  <si>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</si>
  <si>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</si>
  <si>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</si>
  <si>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</si>
  <si>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</si>
  <si>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</si>
  <si>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</si>
  <si>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</si>
  <si>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</si>
  <si>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</si>
  <si>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</si>
  <si>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</si>
  <si>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</si>
  <si>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</si>
  <si>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</si>
  <si>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</si>
  <si>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</si>
  <si>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</si>
  <si>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</si>
  <si>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</si>
  <si>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</si>
  <si>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</si>
  <si>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</si>
  <si>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</si>
  <si>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</si>
  <si>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</si>
  <si>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</si>
  <si>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</si>
  <si>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</si>
  <si>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</si>
  <si>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</si>
  <si>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</si>
  <si>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</si>
  <si>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</si>
  <si>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</si>
  <si>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</si>
  <si>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</si>
  <si>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</si>
  <si>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</si>
  <si>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</si>
  <si>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</si>
  <si>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</si>
  <si>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</si>
  <si>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</si>
  <si>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</si>
  <si>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</si>
  <si>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</si>
  <si>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</si>
  <si>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</si>
  <si>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</si>
  <si>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</si>
  <si>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</si>
  <si>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</si>
  <si>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</si>
  <si>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</si>
  <si>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</si>
  <si>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</si>
  <si>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</si>
  <si>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</si>
  <si>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</si>
  <si>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</si>
  <si>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</si>
  <si>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</si>
  <si>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</si>
  <si>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</si>
  <si>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</si>
  <si>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</si>
  <si>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</si>
  <si>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</si>
  <si>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</si>
  <si>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</si>
  <si>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</si>
  <si>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</si>
  <si>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</si>
  <si>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</si>
  <si>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</si>
  <si>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</si>
  <si>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</si>
  <si>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</si>
  <si>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</si>
  <si>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</si>
  <si>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</si>
  <si>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</si>
  <si>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</si>
  <si>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</si>
  <si>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</si>
  <si>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</si>
  <si>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</si>
  <si>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</si>
  <si>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</si>
  <si>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</si>
  <si>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</si>
  <si>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</si>
  <si>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</si>
  <si>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</si>
  <si>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</si>
  <si>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</si>
  <si>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</si>
  <si>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</si>
  <si>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</si>
  <si>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</si>
  <si>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</si>
  <si>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</si>
  <si>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</si>
  <si>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</si>
  <si>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</si>
  <si>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</si>
  <si>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</si>
  <si>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</si>
  <si>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</si>
  <si>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</si>
  <si>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</si>
  <si>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</si>
  <si>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</si>
  <si>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</si>
  <si>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</si>
  <si>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</si>
  <si>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</si>
  <si>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</si>
  <si>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</si>
  <si>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</si>
  <si>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</si>
  <si>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</si>
  <si>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</si>
  <si>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</si>
  <si>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</si>
  <si>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</si>
  <si>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</si>
  <si>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</si>
  <si>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</si>
  <si>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</si>
  <si>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</si>
  <si>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</si>
  <si>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</si>
  <si>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</si>
  <si>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</si>
  <si>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</si>
  <si>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</si>
  <si>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</si>
  <si>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</si>
  <si>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</si>
  <si>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</si>
  <si>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</si>
  <si>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</si>
  <si>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</si>
  <si>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</si>
  <si>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</si>
  <si>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</si>
  <si>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</si>
  <si>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</si>
  <si>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</si>
  <si>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</si>
  <si>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</si>
  <si>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</si>
  <si>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</si>
  <si>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</si>
  <si>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</si>
  <si>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</si>
  <si>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</si>
  <si>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</si>
  <si>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</si>
  <si>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</si>
  <si>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</si>
  <si>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</si>
  <si>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</si>
  <si>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</si>
  <si>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</si>
  <si>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</si>
  <si>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</si>
  <si>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</si>
  <si>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</si>
  <si>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</si>
  <si>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</si>
  <si>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</si>
  <si>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</si>
  <si>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</si>
  <si>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</si>
  <si>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</si>
  <si>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</si>
  <si>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</si>
  <si>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</si>
  <si>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</si>
  <si>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</si>
  <si>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</si>
  <si>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</si>
  <si>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</si>
  <si>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</si>
  <si>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</si>
  <si>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</si>
  <si>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</si>
  <si>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</si>
  <si>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</si>
  <si>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</si>
  <si>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</si>
  <si>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</si>
  <si>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</si>
  <si>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</si>
  <si>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</si>
  <si>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</si>
  <si>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</si>
  <si>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</si>
  <si>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</si>
  <si>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</si>
  <si>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</si>
  <si>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</si>
  <si>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</si>
  <si>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</si>
  <si>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</si>
  <si>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</si>
  <si>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</si>
  <si>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</si>
  <si>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</si>
  <si>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</si>
  <si>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</si>
  <si>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</si>
  <si>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</si>
  <si>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</si>
  <si>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</si>
  <si>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</si>
  <si>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</si>
  <si>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</si>
  <si>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</si>
  <si>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</si>
  <si>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</si>
  <si>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</si>
  <si>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</si>
  <si>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</si>
  <si>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</si>
  <si>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</si>
  <si>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</si>
  <si>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</si>
  <si>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</si>
  <si>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</si>
  <si>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</si>
  <si>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</si>
  <si>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</si>
  <si>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</si>
  <si>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</si>
  <si>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</si>
  <si>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</si>
  <si>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</si>
  <si>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</si>
  <si>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</si>
  <si>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</si>
  <si>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</si>
  <si>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</si>
  <si>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</si>
  <si>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</si>
  <si>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</si>
  <si>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</si>
  <si>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</si>
  <si>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</si>
  <si>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</si>
  <si>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</si>
  <si>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</si>
  <si>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</si>
  <si>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</si>
  <si>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</si>
  <si>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</si>
  <si>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</si>
  <si>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</si>
  <si>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</si>
  <si>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</si>
  <si>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</si>
  <si>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</si>
  <si>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</si>
  <si>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</si>
  <si>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</si>
  <si>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</si>
  <si>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</si>
  <si>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</si>
  <si>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</si>
  <si>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</si>
  <si>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</si>
  <si>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</si>
  <si>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</si>
  <si>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</si>
  <si>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</si>
  <si>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</si>
  <si>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</si>
  <si>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</si>
  <si>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</si>
  <si>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</si>
  <si>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</si>
  <si>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</si>
  <si>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</si>
  <si>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</si>
  <si>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</si>
  <si>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</si>
  <si>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</si>
  <si>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</si>
  <si>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</si>
  <si>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</si>
  <si>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</si>
  <si>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</si>
  <si>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</si>
  <si>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</si>
  <si>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</si>
  <si>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</si>
  <si>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</si>
  <si>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</si>
  <si>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</si>
  <si>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</si>
  <si>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</si>
  <si>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</si>
  <si>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</si>
  <si>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</si>
  <si>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</si>
  <si>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</si>
  <si>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</si>
  <si>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</si>
  <si>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</si>
  <si>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</si>
  <si>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</si>
  <si>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</si>
  <si>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</si>
  <si>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</si>
  <si>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</si>
  <si>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</si>
  <si>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</si>
  <si>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</si>
  <si>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</si>
  <si>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</si>
  <si>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</si>
  <si>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</si>
  <si>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</si>
  <si>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</si>
  <si>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</si>
  <si>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</si>
  <si>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</si>
  <si>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</si>
  <si>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</si>
  <si>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</si>
  <si>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</si>
  <si>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</si>
  <si>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</si>
  <si>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</si>
  <si>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</si>
  <si>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</si>
  <si>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</si>
  <si>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</si>
  <si>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</si>
  <si>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</si>
  <si>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</si>
  <si>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</si>
  <si>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</si>
  <si>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</si>
  <si>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</si>
  <si>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</si>
  <si>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</si>
  <si>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</si>
  <si>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</si>
  <si>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</si>
  <si>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</si>
  <si>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</si>
  <si>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</si>
  <si>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</si>
  <si>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</si>
  <si>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</si>
  <si>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</si>
  <si>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</si>
  <si>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</si>
  <si>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</si>
  <si>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</si>
  <si>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</si>
  <si>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</si>
  <si>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</si>
  <si>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</si>
  <si>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</si>
  <si>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</si>
  <si>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</si>
  <si>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</si>
  <si>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</si>
  <si>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</si>
  <si>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</si>
  <si>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</si>
  <si>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</si>
  <si>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</si>
  <si>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</si>
  <si>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</si>
  <si>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</si>
  <si>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</si>
  <si>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</si>
  <si>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</si>
  <si>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</si>
  <si>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</si>
  <si>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</si>
  <si>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</si>
  <si>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</si>
  <si>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</si>
  <si>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</si>
  <si>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</si>
  <si>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</si>
  <si>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</si>
  <si>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</si>
  <si>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</si>
  <si>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</si>
  <si>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</si>
  <si>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</si>
  <si>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</si>
  <si>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</si>
  <si>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</si>
  <si>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</si>
  <si>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</si>
  <si>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</si>
  <si>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</si>
  <si>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</si>
  <si>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</si>
  <si>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</si>
  <si>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</si>
  <si>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</si>
  <si>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</si>
  <si>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</si>
  <si>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</si>
  <si>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</si>
  <si>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</si>
  <si>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</si>
  <si>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</si>
  <si>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</si>
  <si>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</si>
  <si>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</si>
  <si>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</si>
  <si>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</si>
  <si>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</si>
  <si>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</si>
  <si>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</si>
  <si>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</si>
  <si>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</si>
  <si>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</si>
  <si>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</si>
  <si>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</si>
  <si>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</si>
  <si>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</si>
  <si>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</si>
  <si>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</si>
  <si>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</si>
  <si>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</si>
  <si>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</si>
  <si>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</si>
  <si>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</si>
  <si>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</si>
  <si>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</si>
  <si>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</si>
  <si>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</si>
  <si>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</si>
  <si>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</si>
  <si>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</si>
  <si>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</si>
  <si>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</si>
  <si>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</si>
  <si>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</si>
  <si>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</si>
  <si>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</si>
  <si>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</si>
  <si>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</si>
  <si>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</si>
  <si>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</si>
  <si>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</si>
  <si>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</si>
  <si>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</si>
  <si>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</si>
  <si>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</si>
  <si>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</si>
  <si>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</si>
  <si>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</si>
  <si>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</si>
  <si>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</si>
  <si>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</si>
  <si>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</si>
  <si>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</si>
  <si>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</si>
  <si>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</si>
  <si>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</si>
  <si>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</si>
  <si>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</si>
  <si>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</si>
  <si>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</si>
  <si>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</si>
  <si>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</si>
  <si>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</si>
  <si>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</si>
  <si>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</si>
  <si>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</si>
  <si>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</si>
  <si>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</si>
  <si>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</si>
  <si>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</si>
  <si>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</si>
  <si>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</si>
  <si>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</si>
  <si>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</si>
  <si>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</si>
  <si>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</si>
  <si>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</si>
  <si>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</si>
  <si>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</si>
  <si>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</si>
  <si>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</si>
  <si>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</si>
  <si>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</si>
  <si>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</si>
  <si>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</si>
  <si>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</si>
  <si>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</si>
  <si>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</si>
  <si>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</si>
  <si>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</si>
  <si>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</si>
  <si>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</si>
  <si>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</si>
  <si>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</si>
  <si>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</si>
  <si>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</si>
  <si>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</si>
  <si>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</si>
  <si>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</si>
  <si>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</si>
  <si>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</si>
  <si>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</si>
  <si>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</si>
  <si>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</si>
  <si>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</si>
  <si>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</si>
  <si>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</si>
  <si>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</si>
  <si>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</si>
  <si>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</si>
  <si>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</si>
  <si>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</si>
  <si>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</si>
  <si>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</si>
  <si>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</si>
  <si>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</si>
  <si>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</si>
  <si>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</si>
  <si>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</si>
  <si>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</si>
  <si>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</si>
  <si>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</si>
  <si>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</si>
  <si>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</si>
  <si>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</si>
  <si>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</si>
  <si>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</si>
  <si>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</si>
  <si>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</si>
  <si>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</si>
  <si>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</si>
  <si>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</si>
  <si>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</si>
  <si>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</si>
  <si>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</si>
  <si>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</si>
  <si>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</si>
  <si>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</si>
  <si>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</si>
  <si>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</si>
  <si>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</si>
  <si>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</si>
  <si>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</si>
  <si>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</si>
  <si>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</si>
  <si>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</si>
  <si>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</si>
  <si>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</si>
  <si>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</si>
  <si>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</si>
  <si>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</si>
  <si>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</si>
  <si>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</si>
  <si>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</si>
  <si>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</si>
  <si>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</si>
  <si>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</si>
  <si>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</si>
  <si>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</si>
  <si>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</si>
  <si>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</si>
  <si>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</si>
  <si>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</si>
  <si>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</si>
  <si>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</si>
  <si>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</si>
  <si>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</si>
  <si>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</si>
  <si>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</si>
  <si>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</si>
  <si>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</si>
  <si>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</si>
  <si>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</si>
  <si>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</si>
  <si>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</si>
  <si>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</si>
  <si>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</si>
  <si>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</si>
  <si>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</si>
  <si>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</si>
  <si>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</si>
  <si>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</si>
  <si>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</si>
  <si>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</si>
  <si>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</si>
  <si>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</si>
  <si>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</si>
  <si>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</si>
  <si>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</si>
  <si>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</si>
  <si>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</si>
  <si>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</si>
  <si>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</si>
  <si>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</si>
  <si>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</si>
  <si>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</si>
  <si>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</si>
  <si>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</si>
  <si>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</si>
  <si>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</si>
  <si>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</si>
  <si>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</si>
  <si>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</si>
  <si>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</si>
  <si>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</si>
  <si>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</si>
  <si>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</si>
  <si>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</si>
  <si>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</si>
  <si>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</si>
  <si>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</si>
  <si>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</si>
  <si>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</si>
  <si>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</si>
  <si>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</si>
  <si>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</si>
  <si>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</si>
  <si>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</si>
  <si>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</si>
  <si>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</si>
  <si>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</si>
  <si>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</si>
  <si>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</si>
  <si>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</si>
  <si>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</si>
  <si>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</si>
  <si>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</si>
  <si>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</si>
  <si>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</si>
  <si>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</si>
  <si>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</si>
  <si>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</si>
  <si>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</si>
  <si>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</si>
  <si>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</si>
  <si>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</si>
  <si>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</si>
  <si>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</si>
  <si>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</si>
  <si>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</si>
  <si>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</si>
  <si>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</si>
  <si>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</si>
  <si>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</si>
  <si>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</si>
  <si>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</si>
  <si>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</si>
  <si>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</si>
  <si>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</si>
  <si>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</si>
  <si>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</si>
  <si>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</si>
  <si>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</si>
  <si>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</si>
  <si>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</si>
  <si>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</si>
  <si>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</si>
  <si>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</si>
  <si>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</si>
  <si>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</si>
  <si>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</si>
  <si>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</si>
  <si>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</si>
  <si>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</si>
  <si>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</si>
  <si>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</si>
  <si>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</si>
  <si>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</si>
  <si>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</si>
  <si>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</si>
  <si>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</si>
  <si>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</si>
  <si>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</si>
  <si>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</si>
  <si>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</si>
  <si>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</si>
  <si>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</si>
  <si>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</si>
  <si>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</si>
  <si>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</si>
  <si>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</si>
  <si>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</si>
  <si>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</si>
  <si>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</si>
  <si>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</si>
  <si>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</si>
  <si>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</si>
  <si>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</si>
  <si>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</si>
  <si>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</si>
  <si>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</si>
  <si>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</si>
  <si>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</si>
  <si>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</si>
  <si>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</si>
  <si>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</si>
  <si>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</si>
  <si>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</si>
  <si>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</si>
  <si>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</si>
  <si>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</si>
  <si>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</si>
  <si>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</si>
  <si>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</si>
  <si>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</si>
  <si>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</si>
  <si>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</si>
  <si>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</si>
  <si>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</si>
  <si>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</si>
  <si>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</si>
  <si>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</si>
  <si>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</si>
  <si>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</si>
  <si>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</si>
  <si>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</si>
  <si>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</si>
  <si>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</si>
  <si>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</si>
  <si>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</si>
  <si>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</si>
  <si>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2022PA-004</t>
  </si>
  <si>
    <t>9% Credit Competitive Round only</t>
  </si>
  <si>
    <t>National Church Residences</t>
  </si>
  <si>
    <t>135 Auburn Avenue NE Suite 202</t>
  </si>
  <si>
    <t>Maureen Freehill</t>
  </si>
  <si>
    <t>Director</t>
  </si>
  <si>
    <t>Mfreehill@nationalchurchresidences.org</t>
  </si>
  <si>
    <t>Villa Rica Senior</t>
  </si>
  <si>
    <t>City Limits</t>
  </si>
  <si>
    <t>Villa Rica Senior is a planned new construction development within the Avemore Planned Community Development in Villa Rica, GA. The
proposed property will be a 60-unit, elevator serviced building.
National Church Residences, leveraging its nearly 60 years of experience, is the nation's largest not-for-profit provider of affordable housing for
seniors. National Church Residences will create an inviting and supportive community for its residents by employing accessible and adaptable
features, large community spaces that promote socialization, Wi-Fi connection through out the community to provide connectivity with family, and enhanced service coordination to promote resident stability</t>
  </si>
  <si>
    <t>Key Bank Construction Loan</t>
  </si>
  <si>
    <t>National Equity Fund</t>
  </si>
  <si>
    <t>GP Equity</t>
  </si>
  <si>
    <t>Key Bank Permanent Loan</t>
  </si>
  <si>
    <t>Amortizing</t>
  </si>
  <si>
    <t>Owner will pay all utilties.</t>
  </si>
  <si>
    <t>Low-Rise Elevator</t>
  </si>
  <si>
    <t>40% of Units at 60% of AMI</t>
  </si>
  <si>
    <t>Payroll Taxes, Health Insurance and Workmen Comp</t>
  </si>
  <si>
    <t>Trash Removal/Uniforms</t>
  </si>
  <si>
    <t>Office Salries</t>
  </si>
  <si>
    <t>Dues and Subscriptions</t>
  </si>
  <si>
    <t>Agree</t>
  </si>
  <si>
    <t>N/Ap</t>
  </si>
  <si>
    <t xml:space="preserve">In addition to standard monthly social activities, National Church Residences has the “Home for Life” program, an innovative initiative with a goal to allow vulnerable seniors to age in place.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t>
  </si>
  <si>
    <t>The project is financially sustainable based on income from operations. The sources and uses have been provided in accordance with the Plan. The applicant complies with all DCA underwriting assumptions, including those that apply to viability analysis.</t>
  </si>
  <si>
    <t>The propsed project is in an efficient and high need area per market study.</t>
  </si>
  <si>
    <t>www.nationalchurchresidences.org</t>
  </si>
  <si>
    <t>No waivers have been requested for this project and will conform with all DCA architectual requirements</t>
  </si>
  <si>
    <t>We have not made any changes in the project team since pre-application</t>
  </si>
  <si>
    <t>National Church Residences will conform to applicable accessibility requirements to the greatest extent feasible.</t>
  </si>
  <si>
    <t>We are committed to offering our residents the most sustainable and energy-efficient living spaces, fixtures, and appliances possible to promote not only conservation, but healthful and economically-viable living environments.</t>
  </si>
  <si>
    <t>Room</t>
  </si>
  <si>
    <t>Covered Porch</t>
  </si>
  <si>
    <t>The amenities will conform to the requirements of the amenity guidebook as required by DCA.</t>
  </si>
  <si>
    <t>City of Villa Rica</t>
  </si>
  <si>
    <t>Water Sewer Confirmation is included in Tab 12</t>
  </si>
  <si>
    <t>Georgia Power</t>
  </si>
  <si>
    <t>Utility Confirmation is included in Tab 11</t>
  </si>
  <si>
    <t>Site is currently zoned for intended use.</t>
  </si>
  <si>
    <t>Other (see comments)</t>
  </si>
  <si>
    <t>N/a</t>
  </si>
  <si>
    <t>We have included the site information and conceptual, preliminary site plan in Tab 16.</t>
  </si>
  <si>
    <t>Real Property Research Group</t>
  </si>
  <si>
    <t>5 months</t>
  </si>
  <si>
    <t>Gill Group</t>
  </si>
  <si>
    <t>5.9.22</t>
  </si>
  <si>
    <t>Villa Rica Senior Housing Limited Partnership</t>
  </si>
  <si>
    <t>Terracon</t>
  </si>
  <si>
    <t>5.20.22</t>
  </si>
  <si>
    <t>5.5.22</t>
  </si>
  <si>
    <t>Ithica Elementary School</t>
  </si>
  <si>
    <t>Bay Springs Middle School</t>
  </si>
  <si>
    <t>Villa Rica High School</t>
  </si>
  <si>
    <t>At or Above 80th Percentile</t>
  </si>
  <si>
    <t>Above 60th Percentile</t>
  </si>
  <si>
    <t>Site Census Tract</t>
  </si>
  <si>
    <t>See Tab 47</t>
  </si>
  <si>
    <t>Goode Van Slyke Architecture</t>
  </si>
  <si>
    <t>GDOAS Minority Business Enterprise Certification</t>
  </si>
  <si>
    <t>Owner FFE includes Wifi. Building Permit estimates are provided by the City of Villa Rica. Acquisition Value is validated by the Option Contract.</t>
  </si>
  <si>
    <t>2012-012</t>
  </si>
  <si>
    <t>Conners Senior Village II</t>
  </si>
  <si>
    <t>2018-553</t>
  </si>
  <si>
    <t>Arbours at Villa Rica</t>
  </si>
  <si>
    <t>2019-052</t>
  </si>
  <si>
    <t>Legacy at Walton Trail</t>
  </si>
  <si>
    <t>2002-533</t>
  </si>
  <si>
    <t>Hickory Falls</t>
  </si>
  <si>
    <t>Matthew Rule</t>
  </si>
  <si>
    <t>2335 North Bank Drive</t>
  </si>
  <si>
    <t>MRule@nationalchurchresidences.org</t>
  </si>
  <si>
    <t>HFOP</t>
  </si>
  <si>
    <t>Tenancy will comply with the HFOP definition per the 2022 DCA QAP.</t>
  </si>
  <si>
    <t>2002-552</t>
  </si>
  <si>
    <t>Magnolia Lake</t>
  </si>
  <si>
    <t>1991-009</t>
  </si>
  <si>
    <t>Carrollton Club</t>
  </si>
  <si>
    <t>There is no identity of interest between the buyer and the seller. The appraisal supports the purchase price.</t>
  </si>
  <si>
    <t>There are no environmental hazards or other considerations and the project is not applying for HOME funds.</t>
  </si>
  <si>
    <t>Site control is established through a purchase option contract that expires 60 days after the issuance of the carryover allocation.</t>
  </si>
  <si>
    <t>On-site laundry</t>
  </si>
  <si>
    <t>Yes - W&amp;D hookups installed in each unit</t>
  </si>
  <si>
    <t>National Church Residences is a qualified non-profit.</t>
  </si>
  <si>
    <t xml:space="preserve">We have included the Desirable/Undesirable Certification form along with the accompanying maps and photos in Tab 27. Future planned activities within the master development include an adjacent Publix with construction to start in 2023, a YMCA, a restaurant and a Tanner Medical facility with construction to begin in 2023.  </t>
  </si>
  <si>
    <t>Carroll Connection</t>
  </si>
  <si>
    <t>844-778-7826</t>
  </si>
  <si>
    <t>arobertson@threeriversrc.com</t>
  </si>
  <si>
    <t>www.threeriversrc.com</t>
  </si>
  <si>
    <t>This site is within the on call service area for Carroll Connection.</t>
  </si>
  <si>
    <t>All zoned schools meet the quality education criteria.</t>
  </si>
  <si>
    <t>910103</t>
  </si>
  <si>
    <t>At or Below 60th Percentile</t>
  </si>
  <si>
    <t>2020</t>
  </si>
  <si>
    <t>This census tract income level is middle and three indicators meet the required metric.</t>
  </si>
  <si>
    <t>We intend to provide WiFi was detailed in Tab 49.</t>
  </si>
  <si>
    <t>We have signed an engagement with Goode Van Slyke, a qualified MBE.</t>
  </si>
  <si>
    <t>National Church is a highly qualified service provider with a CORES certification. A evidenced in our budget, we are providing service coordination on site.</t>
  </si>
  <si>
    <t>Senior Vice President</t>
  </si>
  <si>
    <t>60 days from Carryover</t>
  </si>
  <si>
    <t>The proposed project is in a low poverty census tract and will be part of a master planned community that is intencted to target high income owners and renters with high quality amenities in the master plan. The market area identifies a high need for affordable housing with low vacancies and lenghty waitlists.</t>
  </si>
  <si>
    <t>Novogradac</t>
  </si>
  <si>
    <t>The property currently is not subject to a RE tax abatement. Calculation of RE Tax is included in Tab 2 folder
Ancillary income - 2% of EGI per QAP primary source laundry and vending.
Proposed project  salaries includes PT staff service coordinator</t>
  </si>
  <si>
    <t xml:space="preserve">APPLICANTS: Explain any any debt service payment amounts that deviate from the amount shown in Permanent Sources (Part III)
vacancy rate reflects DCA required level though we anticiapte vacnacy rates to be lower demonstrated by vacancy rates at comparable properties within the market and the N^^ portfolio. Asset managment fees are reflected per LOI and mangement fee is standard per N^^ portfolio. </t>
  </si>
  <si>
    <t>There is no current public roadway to the site, however, the seller/ developer of the Master planned community will complete the roadway prior to closing.Such roadway will become dedicted public roadway. See documentation Tab 9. The timeline for completion is detailed in the purchase option in Tab 8.</t>
  </si>
  <si>
    <t>The overall vacancy rate is projected to  be 3.8 percent within the market area. In addition, Senior Projects in the market are reporting waitlists. LIHTC/ affordable properties report 0% vacancy rate with even more extensive waitlists. This new construction proposed project will filll a current a growing need within the market.</t>
  </si>
  <si>
    <t>National Church Residences is a highly experienced 811 provider and intends to accept 811 subsidy from DCA upon request.</t>
  </si>
  <si>
    <t>During the construction period, this project will be financed with a 24-month construction loan from Wells Fargo. At construction loan maturity, a forward committed permanent loan, also from Key Bank, will be funded. The Key Bank permanent loan and LP equity funded at construction loan maturity will be utilized to pay-ff the construction loan.
$1 in over-sourcing appears to be a roundign issue within the spreadsheet formulas.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</si>
</sst>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2"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3" fillId="10" borderId="75" xfId="0" applyFont="1"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71.453125" style="27" customWidth="1"/>
    <col min="2" max="16384" width="9.1796875" style="27"/>
  </cols>
  <sheetData>
    <row r="1" spans="1:6" ht="15" customHeight="1">
      <c r="A1" s="848" t="s">
        <v>916</v>
      </c>
    </row>
    <row r="2" spans="1:6" ht="15" customHeight="1">
      <c r="A2" s="849" t="str">
        <f>'Part I-Project Identification'!F29</f>
        <v>Villa Rica Senior</v>
      </c>
    </row>
    <row r="3" spans="1:6" ht="15" customHeight="1">
      <c r="A3" s="849" t="str">
        <f>CONCATENATE('Part I-Project Identification'!F30,", ", 'Part I-Project Identification'!J30," County")</f>
        <v>Villa Rica, Carroll County</v>
      </c>
    </row>
    <row r="4" spans="1:6" ht="12" customHeight="1">
      <c r="A4" s="1426"/>
    </row>
    <row r="5" spans="1:6" ht="72" customHeight="1">
      <c r="A5" s="3296" t="s">
        <v>6076</v>
      </c>
      <c r="B5" s="3297" t="s">
        <v>3900</v>
      </c>
      <c r="C5" s="3297"/>
      <c r="D5" s="3297"/>
      <c r="E5" s="3297"/>
      <c r="F5" s="3297"/>
    </row>
    <row r="6" spans="1:6" ht="6.65" customHeight="1">
      <c r="A6" s="3296"/>
      <c r="B6" s="3297"/>
      <c r="C6" s="3297"/>
      <c r="D6" s="3297"/>
      <c r="E6" s="3297"/>
      <c r="F6" s="3297"/>
    </row>
    <row r="7" spans="1:6" ht="72" customHeight="1">
      <c r="A7" s="3296"/>
      <c r="B7" s="3297"/>
      <c r="C7" s="3297"/>
      <c r="D7" s="3297"/>
      <c r="E7" s="3297"/>
      <c r="F7" s="3297"/>
    </row>
    <row r="8" spans="1:6" ht="6.65" customHeight="1">
      <c r="A8" s="3296"/>
    </row>
    <row r="9" spans="1:6" ht="72" customHeight="1">
      <c r="A9" s="3296"/>
    </row>
    <row r="10" spans="1:6" ht="6.65" customHeight="1">
      <c r="A10" s="3296"/>
    </row>
    <row r="11" spans="1:6" ht="72" customHeight="1">
      <c r="A11" s="3296"/>
    </row>
    <row r="12" spans="1:6" ht="6.65" customHeight="1">
      <c r="A12" s="3296"/>
    </row>
    <row r="13" spans="1:6" ht="72" customHeight="1">
      <c r="A13" s="3296"/>
    </row>
    <row r="14" spans="1:6" ht="6.65" customHeight="1">
      <c r="A14" s="3296"/>
    </row>
    <row r="15" spans="1:6" ht="72" customHeight="1">
      <c r="A15" s="3296"/>
    </row>
    <row r="16" spans="1:6" ht="6.65" customHeight="1">
      <c r="A16" s="3296"/>
    </row>
    <row r="17" spans="1:1" ht="72" customHeight="1">
      <c r="A17" s="3296"/>
    </row>
    <row r="18" spans="1:1" ht="6.65" customHeight="1">
      <c r="A18" s="3296"/>
    </row>
    <row r="19" spans="1:1" ht="72" customHeight="1">
      <c r="A19" s="3296"/>
    </row>
    <row r="20" spans="1:1" ht="6.65" customHeight="1">
      <c r="A20" s="3296"/>
    </row>
    <row r="21" spans="1:1" ht="72" customHeight="1">
      <c r="A21" s="3296"/>
    </row>
    <row r="22" spans="1:1" ht="6.65"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5" zoomScaleNormal="100" workbookViewId="0">
      <selection activeCell="A256" sqref="A256:M256"/>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10.7265625" style="8" customWidth="1"/>
    <col min="10" max="10" width="11.81640625" style="8" customWidth="1"/>
    <col min="11" max="11" width="10.1796875" style="8" customWidth="1"/>
    <col min="12" max="12" width="9.81640625" style="8" customWidth="1"/>
    <col min="13" max="14" width="11" style="8" customWidth="1"/>
    <col min="15" max="15" width="13.81640625"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469" customWidth="1"/>
    <col min="138" max="138" width="12.54296875" style="469" customWidth="1"/>
    <col min="139" max="139" width="8.1796875" style="469" customWidth="1"/>
    <col min="140" max="143" width="7.1796875" style="469" customWidth="1"/>
    <col min="144" max="144" width="8.1796875" style="469" customWidth="1"/>
    <col min="145" max="148" width="7.1796875" style="469" customWidth="1"/>
    <col min="149" max="158" width="9.1796875" style="469" customWidth="1"/>
    <col min="159" max="159" width="8.1796875" style="469" customWidth="1"/>
    <col min="160" max="163" width="7.1796875" style="469" customWidth="1"/>
    <col min="164" max="168" width="9.1796875" style="469" customWidth="1"/>
    <col min="169" max="169" width="8.1796875" style="469" customWidth="1"/>
    <col min="170" max="173" width="7.1796875" style="469" customWidth="1"/>
    <col min="174" max="253" width="9.1796875" style="469" customWidth="1"/>
    <col min="254" max="258" width="11.1796875" style="469" customWidth="1"/>
    <col min="259" max="273" width="9.1796875" style="469" customWidth="1"/>
    <col min="274" max="274" width="10.1796875" style="469" customWidth="1"/>
    <col min="275" max="278" width="10" style="469" customWidth="1"/>
    <col min="279" max="282" width="9.1796875" style="469" customWidth="1"/>
    <col min="283" max="283" width="9.1796875" style="2299" customWidth="1"/>
    <col min="284" max="287" width="9.1796875" style="469" customWidth="1"/>
    <col min="288" max="288" width="9.1796875" style="2299" customWidth="1"/>
    <col min="289" max="292" width="11.453125" style="469" customWidth="1"/>
    <col min="293" max="293" width="11.453125" style="2299" customWidth="1"/>
    <col min="294" max="297" width="11.453125" style="469" customWidth="1"/>
    <col min="298" max="298" width="11.453125" style="2299" customWidth="1"/>
    <col min="299" max="313" width="9.1796875" style="2299" customWidth="1"/>
    <col min="314" max="318" width="11" style="2299" customWidth="1"/>
    <col min="319" max="319" width="9.1796875" style="2299" customWidth="1"/>
    <col min="320" max="325" width="9.1796875" style="469" customWidth="1"/>
    <col min="326" max="326" width="9.1796875" style="473" customWidth="1"/>
    <col min="327" max="341" width="9.1796875" style="469" customWidth="1"/>
    <col min="342" max="343" width="9.1796875" style="473" customWidth="1"/>
    <col min="344" max="350" width="10.1796875" style="469" customWidth="1"/>
    <col min="351" max="353" width="9.1796875" style="469"/>
    <col min="354" max="354" width="10.453125" style="469" customWidth="1"/>
    <col min="355" max="358" width="10.1796875" style="469" customWidth="1"/>
    <col min="359" max="378" width="9.1796875" style="148"/>
    <col min="379" max="379" width="9.1796875" style="469"/>
    <col min="380" max="380" width="9.1796875" style="2259"/>
    <col min="381" max="381" width="9.1796875" style="469"/>
    <col min="382" max="493" width="9.1796875" style="148"/>
    <col min="494" max="16384" width="9.179687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3138</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5" customHeight="1">
      <c r="A2" s="3857" t="str">
        <f>CONCATENATE("PART FOUR - PROJECTED REVENUES &amp; EXPENSES","  -  ",'Part I-Project Identification'!$O$7," ",'Part I-Project Identification'!$F$29,", ",'Part I-Project Identification'!F30,", ",'Part I-Project Identification'!J30," County")</f>
        <v>PART FOUR - PROJECTED REVENUES &amp; EXPENSES  -  2022-0 Villa Rica Senior, Villa Rica, Carroll County</v>
      </c>
      <c r="B2" s="3858"/>
      <c r="C2" s="3858"/>
      <c r="D2" s="3858"/>
      <c r="E2" s="3858"/>
      <c r="F2" s="3858"/>
      <c r="G2" s="3858"/>
      <c r="H2" s="3858"/>
      <c r="I2" s="3858"/>
      <c r="J2" s="3858"/>
      <c r="K2" s="3858"/>
      <c r="L2" s="3858"/>
      <c r="M2" s="3858"/>
      <c r="N2" s="3858"/>
      <c r="O2" s="3858"/>
      <c r="P2" s="3858"/>
      <c r="Q2" s="3859"/>
      <c r="T2" s="1820" t="str">
        <f>A2</f>
        <v>PART FOUR - PROJECTED REVENUES &amp; EXPENSES  -  2022-0 Villa Rica Senior, Villa Rica, Carroll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5" customHeight="1">
      <c r="A4" s="4" t="s">
        <v>573</v>
      </c>
      <c r="B4" s="4" t="s">
        <v>2184</v>
      </c>
      <c r="C4" s="1"/>
      <c r="D4" s="1929" t="s">
        <v>6098</v>
      </c>
      <c r="E4" s="1929"/>
      <c r="F4" s="1929"/>
      <c r="G4" s="1929"/>
      <c r="H4" s="1929"/>
      <c r="I4" s="1929"/>
      <c r="J4" s="1929"/>
      <c r="K4" s="122"/>
      <c r="L4" s="122"/>
      <c r="M4" s="122"/>
      <c r="O4" s="192" t="s">
        <v>534</v>
      </c>
      <c r="P4" s="3865" t="str">
        <f>'Part I-Project Identification'!$O$32</f>
        <v>Atlanta-Sandy Springs-Marietta</v>
      </c>
      <c r="Q4" s="3865"/>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36" t="s">
        <v>3047</v>
      </c>
      <c r="MG4" s="3936" t="s">
        <v>3048</v>
      </c>
      <c r="MH4" s="3936" t="s">
        <v>3049</v>
      </c>
      <c r="MI4" s="3936" t="s">
        <v>3050</v>
      </c>
      <c r="MJ4" s="3936"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37" t="s">
        <v>3206</v>
      </c>
      <c r="R5" s="1053"/>
      <c r="S5" s="443"/>
      <c r="T5" s="443"/>
      <c r="U5" s="443"/>
      <c r="W5" s="444"/>
      <c r="X5" s="3936" t="s">
        <v>3684</v>
      </c>
      <c r="Y5" s="3936" t="s">
        <v>3685</v>
      </c>
      <c r="Z5" s="3936" t="s">
        <v>3686</v>
      </c>
      <c r="AA5" s="3936" t="s">
        <v>3687</v>
      </c>
      <c r="AB5" s="3936" t="s">
        <v>3688</v>
      </c>
      <c r="AC5" s="3936" t="s">
        <v>3689</v>
      </c>
      <c r="AD5" s="3936" t="s">
        <v>3690</v>
      </c>
      <c r="AE5" s="3936" t="s">
        <v>3691</v>
      </c>
      <c r="AF5" s="3936" t="s">
        <v>3692</v>
      </c>
      <c r="AG5" s="3936" t="s">
        <v>3693</v>
      </c>
      <c r="AH5" s="3936" t="s">
        <v>861</v>
      </c>
      <c r="AI5" s="3936" t="s">
        <v>705</v>
      </c>
      <c r="AJ5" s="3936" t="s">
        <v>706</v>
      </c>
      <c r="AK5" s="3936" t="s">
        <v>707</v>
      </c>
      <c r="AL5" s="3936" t="s">
        <v>708</v>
      </c>
      <c r="AM5" s="3936" t="s">
        <v>862</v>
      </c>
      <c r="AN5" s="3936" t="s">
        <v>2132</v>
      </c>
      <c r="AO5" s="3936" t="s">
        <v>2133</v>
      </c>
      <c r="AP5" s="3936" t="s">
        <v>2134</v>
      </c>
      <c r="AQ5" s="3936" t="s">
        <v>2135</v>
      </c>
      <c r="AR5" s="3936" t="s">
        <v>3695</v>
      </c>
      <c r="AS5" s="3936" t="s">
        <v>3696</v>
      </c>
      <c r="AT5" s="3936" t="s">
        <v>3697</v>
      </c>
      <c r="AU5" s="3936" t="s">
        <v>3698</v>
      </c>
      <c r="AV5" s="3936" t="s">
        <v>3694</v>
      </c>
      <c r="AW5" s="3936" t="s">
        <v>863</v>
      </c>
      <c r="AX5" s="3936" t="s">
        <v>2136</v>
      </c>
      <c r="AY5" s="3936" t="s">
        <v>2137</v>
      </c>
      <c r="AZ5" s="3936" t="s">
        <v>2138</v>
      </c>
      <c r="BA5" s="3936" t="s">
        <v>2139</v>
      </c>
      <c r="BB5" s="3936" t="s">
        <v>3699</v>
      </c>
      <c r="BC5" s="3936" t="s">
        <v>3700</v>
      </c>
      <c r="BD5" s="3936" t="s">
        <v>3701</v>
      </c>
      <c r="BE5" s="3936" t="s">
        <v>3702</v>
      </c>
      <c r="BF5" s="3936" t="s">
        <v>3703</v>
      </c>
      <c r="BG5" s="3936" t="s">
        <v>123</v>
      </c>
      <c r="BH5" s="3936" t="s">
        <v>2140</v>
      </c>
      <c r="BI5" s="3936" t="s">
        <v>2141</v>
      </c>
      <c r="BJ5" s="3936" t="s">
        <v>2142</v>
      </c>
      <c r="BK5" s="3936" t="s">
        <v>1081</v>
      </c>
      <c r="BL5" s="3936" t="s">
        <v>3704</v>
      </c>
      <c r="BM5" s="3936" t="s">
        <v>3705</v>
      </c>
      <c r="BN5" s="3936" t="s">
        <v>3706</v>
      </c>
      <c r="BO5" s="3936" t="s">
        <v>3707</v>
      </c>
      <c r="BP5" s="3936" t="s">
        <v>3708</v>
      </c>
      <c r="BQ5" s="3936" t="s">
        <v>517</v>
      </c>
      <c r="BR5" s="3936" t="s">
        <v>518</v>
      </c>
      <c r="BS5" s="3936" t="s">
        <v>535</v>
      </c>
      <c r="BT5" s="3936" t="s">
        <v>536</v>
      </c>
      <c r="BU5" s="3936" t="s">
        <v>537</v>
      </c>
      <c r="BV5" s="3936" t="s">
        <v>3709</v>
      </c>
      <c r="BW5" s="3936" t="s">
        <v>3710</v>
      </c>
      <c r="BX5" s="3936" t="s">
        <v>3711</v>
      </c>
      <c r="BY5" s="3936" t="s">
        <v>3712</v>
      </c>
      <c r="BZ5" s="3936" t="s">
        <v>3713</v>
      </c>
      <c r="CA5" s="3936" t="s">
        <v>538</v>
      </c>
      <c r="CB5" s="3936" t="s">
        <v>539</v>
      </c>
      <c r="CC5" s="3936" t="s">
        <v>540</v>
      </c>
      <c r="CD5" s="3936" t="s">
        <v>541</v>
      </c>
      <c r="CE5" s="3936" t="s">
        <v>542</v>
      </c>
      <c r="CF5" s="3936" t="s">
        <v>543</v>
      </c>
      <c r="CG5" s="3936" t="s">
        <v>544</v>
      </c>
      <c r="CH5" s="3936" t="s">
        <v>872</v>
      </c>
      <c r="CI5" s="3936" t="s">
        <v>873</v>
      </c>
      <c r="CJ5" s="3936" t="s">
        <v>874</v>
      </c>
      <c r="CK5" s="3936" t="s">
        <v>3719</v>
      </c>
      <c r="CL5" s="3936" t="s">
        <v>3720</v>
      </c>
      <c r="CM5" s="3936" t="s">
        <v>3721</v>
      </c>
      <c r="CN5" s="3936" t="s">
        <v>3722</v>
      </c>
      <c r="CO5" s="3936" t="s">
        <v>3723</v>
      </c>
      <c r="CP5" s="3936" t="s">
        <v>3714</v>
      </c>
      <c r="CQ5" s="3936" t="s">
        <v>3715</v>
      </c>
      <c r="CR5" s="3936" t="s">
        <v>3716</v>
      </c>
      <c r="CS5" s="3936" t="s">
        <v>3717</v>
      </c>
      <c r="CT5" s="3936" t="s">
        <v>3718</v>
      </c>
      <c r="CU5" s="3936" t="s">
        <v>3724</v>
      </c>
      <c r="CV5" s="3936" t="s">
        <v>3725</v>
      </c>
      <c r="CW5" s="3936" t="s">
        <v>3726</v>
      </c>
      <c r="CX5" s="3936" t="s">
        <v>3727</v>
      </c>
      <c r="CY5" s="3936" t="s">
        <v>3728</v>
      </c>
      <c r="CZ5" s="3936" t="s">
        <v>466</v>
      </c>
      <c r="DA5" s="3936" t="s">
        <v>467</v>
      </c>
      <c r="DB5" s="3936" t="s">
        <v>468</v>
      </c>
      <c r="DC5" s="3936" t="s">
        <v>469</v>
      </c>
      <c r="DD5" s="3936" t="s">
        <v>470</v>
      </c>
      <c r="DE5" s="3936" t="s">
        <v>3729</v>
      </c>
      <c r="DF5" s="3936" t="s">
        <v>3730</v>
      </c>
      <c r="DG5" s="3936" t="s">
        <v>3731</v>
      </c>
      <c r="DH5" s="3936" t="s">
        <v>3732</v>
      </c>
      <c r="DI5" s="3936" t="s">
        <v>3733</v>
      </c>
      <c r="DJ5" s="3936" t="s">
        <v>822</v>
      </c>
      <c r="DK5" s="3936" t="s">
        <v>823</v>
      </c>
      <c r="DL5" s="3936" t="s">
        <v>824</v>
      </c>
      <c r="DM5" s="3936" t="s">
        <v>825</v>
      </c>
      <c r="DN5" s="3936" t="s">
        <v>826</v>
      </c>
      <c r="DO5" s="3936" t="s">
        <v>827</v>
      </c>
      <c r="DP5" s="3936" t="s">
        <v>828</v>
      </c>
      <c r="DQ5" s="3936" t="s">
        <v>829</v>
      </c>
      <c r="DR5" s="3936" t="s">
        <v>830</v>
      </c>
      <c r="DS5" s="3936" t="s">
        <v>831</v>
      </c>
      <c r="DT5" s="3936" t="s">
        <v>3734</v>
      </c>
      <c r="DU5" s="3936" t="s">
        <v>3735</v>
      </c>
      <c r="DV5" s="3936" t="s">
        <v>3736</v>
      </c>
      <c r="DW5" s="3936" t="s">
        <v>3737</v>
      </c>
      <c r="DX5" s="3936" t="s">
        <v>3738</v>
      </c>
      <c r="DY5" s="3936" t="s">
        <v>3739</v>
      </c>
      <c r="DZ5" s="3936" t="s">
        <v>3740</v>
      </c>
      <c r="EA5" s="3936" t="s">
        <v>3741</v>
      </c>
      <c r="EB5" s="3936" t="s">
        <v>3742</v>
      </c>
      <c r="EC5" s="3936" t="s">
        <v>3743</v>
      </c>
      <c r="ED5" s="3936" t="s">
        <v>2236</v>
      </c>
      <c r="EE5" s="3936" t="s">
        <v>2237</v>
      </c>
      <c r="EF5" s="3936" t="s">
        <v>2238</v>
      </c>
      <c r="EG5" s="3936" t="s">
        <v>2239</v>
      </c>
      <c r="EH5" s="3936" t="s">
        <v>2240</v>
      </c>
      <c r="EI5" s="3936" t="s">
        <v>3744</v>
      </c>
      <c r="EJ5" s="3936" t="s">
        <v>3745</v>
      </c>
      <c r="EK5" s="3936" t="s">
        <v>3746</v>
      </c>
      <c r="EL5" s="3936" t="s">
        <v>3747</v>
      </c>
      <c r="EM5" s="3936" t="s">
        <v>3748</v>
      </c>
      <c r="EN5" s="3936" t="s">
        <v>3749</v>
      </c>
      <c r="EO5" s="3936" t="s">
        <v>3750</v>
      </c>
      <c r="EP5" s="3936" t="s">
        <v>3751</v>
      </c>
      <c r="EQ5" s="3936" t="s">
        <v>3752</v>
      </c>
      <c r="ER5" s="3936" t="s">
        <v>3753</v>
      </c>
      <c r="ES5" s="3936" t="s">
        <v>111</v>
      </c>
      <c r="ET5" s="3936" t="s">
        <v>1084</v>
      </c>
      <c r="EU5" s="3936" t="s">
        <v>1085</v>
      </c>
      <c r="EV5" s="3936" t="s">
        <v>1140</v>
      </c>
      <c r="EW5" s="3936" t="s">
        <v>1141</v>
      </c>
      <c r="EX5" s="3936" t="s">
        <v>126</v>
      </c>
      <c r="EY5" s="3936" t="s">
        <v>1142</v>
      </c>
      <c r="EZ5" s="3936" t="s">
        <v>1143</v>
      </c>
      <c r="FA5" s="3936" t="s">
        <v>1144</v>
      </c>
      <c r="FB5" s="3936" t="s">
        <v>1145</v>
      </c>
      <c r="FC5" s="3936" t="s">
        <v>3754</v>
      </c>
      <c r="FD5" s="3936" t="s">
        <v>3755</v>
      </c>
      <c r="FE5" s="3936" t="s">
        <v>3756</v>
      </c>
      <c r="FF5" s="3936" t="s">
        <v>3757</v>
      </c>
      <c r="FG5" s="3936" t="s">
        <v>3758</v>
      </c>
      <c r="FH5" s="3936" t="s">
        <v>125</v>
      </c>
      <c r="FI5" s="3936" t="s">
        <v>853</v>
      </c>
      <c r="FJ5" s="3936" t="s">
        <v>854</v>
      </c>
      <c r="FK5" s="3936" t="s">
        <v>855</v>
      </c>
      <c r="FL5" s="3936" t="s">
        <v>856</v>
      </c>
      <c r="FM5" s="3936" t="s">
        <v>3759</v>
      </c>
      <c r="FN5" s="3936" t="s">
        <v>3760</v>
      </c>
      <c r="FO5" s="3936" t="s">
        <v>3761</v>
      </c>
      <c r="FP5" s="3936" t="s">
        <v>3762</v>
      </c>
      <c r="FQ5" s="3936" t="s">
        <v>3763</v>
      </c>
      <c r="FR5" s="3936" t="s">
        <v>124</v>
      </c>
      <c r="FS5" s="3936" t="s">
        <v>857</v>
      </c>
      <c r="FT5" s="3936" t="s">
        <v>858</v>
      </c>
      <c r="FU5" s="3936" t="s">
        <v>859</v>
      </c>
      <c r="FV5" s="3936" t="s">
        <v>860</v>
      </c>
      <c r="FW5" s="3936" t="s">
        <v>752</v>
      </c>
      <c r="FX5" s="3936" t="s">
        <v>753</v>
      </c>
      <c r="FY5" s="3936" t="s">
        <v>754</v>
      </c>
      <c r="FZ5" s="3936" t="s">
        <v>755</v>
      </c>
      <c r="GA5" s="3936" t="s">
        <v>756</v>
      </c>
      <c r="GB5" s="3936" t="s">
        <v>897</v>
      </c>
      <c r="GC5" s="3936" t="s">
        <v>898</v>
      </c>
      <c r="GD5" s="3936" t="s">
        <v>899</v>
      </c>
      <c r="GE5" s="3936" t="s">
        <v>900</v>
      </c>
      <c r="GF5" s="3936" t="s">
        <v>2235</v>
      </c>
      <c r="GG5" s="3936" t="s">
        <v>1345</v>
      </c>
      <c r="GH5" s="3936" t="s">
        <v>1346</v>
      </c>
      <c r="GI5" s="3936" t="s">
        <v>1347</v>
      </c>
      <c r="GJ5" s="3936" t="s">
        <v>1348</v>
      </c>
      <c r="GK5" s="3936" t="s">
        <v>1349</v>
      </c>
      <c r="GL5" s="3936" t="s">
        <v>411</v>
      </c>
      <c r="GM5" s="3936" t="s">
        <v>412</v>
      </c>
      <c r="GN5" s="3936" t="s">
        <v>413</v>
      </c>
      <c r="GO5" s="3936" t="s">
        <v>414</v>
      </c>
      <c r="GP5" s="3936" t="s">
        <v>415</v>
      </c>
      <c r="GQ5" s="3936" t="s">
        <v>14</v>
      </c>
      <c r="GR5" s="3936" t="s">
        <v>15</v>
      </c>
      <c r="GS5" s="3936" t="s">
        <v>16</v>
      </c>
      <c r="GT5" s="3936" t="s">
        <v>17</v>
      </c>
      <c r="GU5" s="3936" t="s">
        <v>18</v>
      </c>
      <c r="GV5" s="3936" t="s">
        <v>214</v>
      </c>
      <c r="GW5" s="3936" t="s">
        <v>215</v>
      </c>
      <c r="GX5" s="3936" t="s">
        <v>216</v>
      </c>
      <c r="GY5" s="3936" t="s">
        <v>1681</v>
      </c>
      <c r="GZ5" s="3936" t="s">
        <v>1682</v>
      </c>
      <c r="HA5" s="3936" t="s">
        <v>1683</v>
      </c>
      <c r="HB5" s="3936" t="s">
        <v>550</v>
      </c>
      <c r="HC5" s="3936" t="s">
        <v>551</v>
      </c>
      <c r="HD5" s="3936" t="s">
        <v>552</v>
      </c>
      <c r="HE5" s="3936" t="s">
        <v>553</v>
      </c>
      <c r="HF5" s="3936" t="s">
        <v>19</v>
      </c>
      <c r="HG5" s="3936" t="s">
        <v>20</v>
      </c>
      <c r="HH5" s="3936" t="s">
        <v>21</v>
      </c>
      <c r="HI5" s="3936" t="s">
        <v>22</v>
      </c>
      <c r="HJ5" s="3936" t="s">
        <v>23</v>
      </c>
      <c r="HK5" s="3936" t="s">
        <v>465</v>
      </c>
      <c r="HL5" s="3936" t="s">
        <v>407</v>
      </c>
      <c r="HM5" s="3936" t="s">
        <v>408</v>
      </c>
      <c r="HN5" s="3936" t="s">
        <v>409</v>
      </c>
      <c r="HO5" s="3936" t="s">
        <v>410</v>
      </c>
      <c r="HP5" s="3936" t="s">
        <v>2043</v>
      </c>
      <c r="HQ5" s="3936" t="s">
        <v>2044</v>
      </c>
      <c r="HR5" s="3936" t="s">
        <v>2045</v>
      </c>
      <c r="HS5" s="3936" t="s">
        <v>1386</v>
      </c>
      <c r="HT5" s="3936" t="s">
        <v>1387</v>
      </c>
      <c r="HU5" s="3936" t="s">
        <v>24</v>
      </c>
      <c r="HV5" s="3936" t="s">
        <v>25</v>
      </c>
      <c r="HW5" s="3936" t="s">
        <v>26</v>
      </c>
      <c r="HX5" s="3936" t="s">
        <v>27</v>
      </c>
      <c r="HY5" s="3936"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36" t="s">
        <v>1519</v>
      </c>
      <c r="LH5" s="3936" t="s">
        <v>2322</v>
      </c>
      <c r="LI5" s="3936" t="s">
        <v>2323</v>
      </c>
      <c r="LJ5" s="3936" t="s">
        <v>364</v>
      </c>
      <c r="LK5" s="3936" t="s">
        <v>365</v>
      </c>
      <c r="LL5" s="3936" t="s">
        <v>366</v>
      </c>
      <c r="LM5" s="3936" t="s">
        <v>367</v>
      </c>
      <c r="LN5" s="3936" t="s">
        <v>368</v>
      </c>
      <c r="LO5" s="3936" t="s">
        <v>369</v>
      </c>
      <c r="LP5" s="3936" t="s">
        <v>370</v>
      </c>
      <c r="LQ5" s="3936" t="s">
        <v>195</v>
      </c>
      <c r="LR5" s="3936" t="s">
        <v>196</v>
      </c>
      <c r="LS5" s="3936" t="s">
        <v>197</v>
      </c>
      <c r="LT5" s="3936" t="s">
        <v>198</v>
      </c>
      <c r="LU5" s="3936" t="s">
        <v>199</v>
      </c>
      <c r="LV5" s="3936" t="s">
        <v>200</v>
      </c>
      <c r="LW5" s="3936" t="s">
        <v>201</v>
      </c>
      <c r="LX5" s="3936" t="s">
        <v>202</v>
      </c>
      <c r="LY5" s="3936" t="s">
        <v>203</v>
      </c>
      <c r="LZ5" s="3936" t="s">
        <v>204</v>
      </c>
      <c r="MA5" s="3936" t="s">
        <v>205</v>
      </c>
      <c r="MB5" s="3936" t="s">
        <v>206</v>
      </c>
      <c r="MC5" s="3936" t="s">
        <v>207</v>
      </c>
      <c r="MD5" s="3936" t="s">
        <v>208</v>
      </c>
      <c r="ME5" s="3936" t="s">
        <v>209</v>
      </c>
      <c r="MF5" s="3936"/>
      <c r="MG5" s="3936"/>
      <c r="MH5" s="3936"/>
      <c r="MI5" s="3936"/>
      <c r="MJ5" s="3936"/>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5" customHeight="1" thickBot="1">
      <c r="A6" s="3957" t="str">
        <f>IF(A49&gt;0,"Finish Row!","")</f>
        <v>Finish Row!</v>
      </c>
      <c r="B6" s="177" t="s">
        <v>6099</v>
      </c>
      <c r="D6" s="1929"/>
      <c r="E6" s="1929"/>
      <c r="F6" s="1929"/>
      <c r="G6" s="1530" t="s">
        <v>194</v>
      </c>
      <c r="H6" s="3860" t="s">
        <v>6101</v>
      </c>
      <c r="I6" s="3861"/>
      <c r="J6" s="3861"/>
      <c r="K6" s="1054" t="s">
        <v>3138</v>
      </c>
      <c r="L6" s="3974" t="str">
        <f>'Part I-Project Identification'!$A$6</f>
        <v>May 12 2022 Core Application</v>
      </c>
      <c r="M6" s="3974"/>
      <c r="N6" s="3974"/>
      <c r="O6" s="2257" t="s">
        <v>6081</v>
      </c>
      <c r="P6" s="1915">
        <v>86200</v>
      </c>
      <c r="Q6" s="3937"/>
      <c r="R6" s="1053"/>
      <c r="S6" s="94"/>
      <c r="U6" s="94"/>
      <c r="X6" s="3936"/>
      <c r="Y6" s="3936"/>
      <c r="Z6" s="3936"/>
      <c r="AA6" s="3936"/>
      <c r="AB6" s="3936"/>
      <c r="AC6" s="3936"/>
      <c r="AD6" s="3936"/>
      <c r="AE6" s="3936"/>
      <c r="AF6" s="3936"/>
      <c r="AG6" s="3936"/>
      <c r="AH6" s="3936"/>
      <c r="AI6" s="3936"/>
      <c r="AJ6" s="3936"/>
      <c r="AK6" s="3936"/>
      <c r="AL6" s="3936"/>
      <c r="AM6" s="3936"/>
      <c r="AN6" s="3936"/>
      <c r="AO6" s="3936"/>
      <c r="AP6" s="3936"/>
      <c r="AQ6" s="3936"/>
      <c r="AR6" s="3936"/>
      <c r="AS6" s="3936"/>
      <c r="AT6" s="3936"/>
      <c r="AU6" s="3936"/>
      <c r="AV6" s="3936"/>
      <c r="AW6" s="3936"/>
      <c r="AX6" s="3936"/>
      <c r="AY6" s="3936"/>
      <c r="AZ6" s="3936"/>
      <c r="BA6" s="3936"/>
      <c r="BB6" s="3936"/>
      <c r="BC6" s="3936"/>
      <c r="BD6" s="3936"/>
      <c r="BE6" s="3936"/>
      <c r="BF6" s="3936"/>
      <c r="BG6" s="3936"/>
      <c r="BH6" s="3936"/>
      <c r="BI6" s="3936"/>
      <c r="BJ6" s="3936"/>
      <c r="BK6" s="3936"/>
      <c r="BL6" s="3936"/>
      <c r="BM6" s="3936"/>
      <c r="BN6" s="3936"/>
      <c r="BO6" s="3936"/>
      <c r="BP6" s="3936"/>
      <c r="BQ6" s="3936"/>
      <c r="BR6" s="3936"/>
      <c r="BS6" s="3936"/>
      <c r="BT6" s="3936"/>
      <c r="BU6" s="3936"/>
      <c r="BV6" s="3936"/>
      <c r="BW6" s="3936"/>
      <c r="BX6" s="3936"/>
      <c r="BY6" s="3936"/>
      <c r="BZ6" s="3936"/>
      <c r="CA6" s="3936"/>
      <c r="CB6" s="3936"/>
      <c r="CC6" s="3936"/>
      <c r="CD6" s="3936"/>
      <c r="CE6" s="3936"/>
      <c r="CF6" s="3936"/>
      <c r="CG6" s="3936"/>
      <c r="CH6" s="3936"/>
      <c r="CI6" s="3936"/>
      <c r="CJ6" s="3936"/>
      <c r="CK6" s="3936"/>
      <c r="CL6" s="3936"/>
      <c r="CM6" s="3936"/>
      <c r="CN6" s="3936"/>
      <c r="CO6" s="3936"/>
      <c r="CP6" s="3936"/>
      <c r="CQ6" s="3936"/>
      <c r="CR6" s="3936"/>
      <c r="CS6" s="3936"/>
      <c r="CT6" s="3936"/>
      <c r="CU6" s="3936"/>
      <c r="CV6" s="3936"/>
      <c r="CW6" s="3936"/>
      <c r="CX6" s="3936"/>
      <c r="CY6" s="3936"/>
      <c r="CZ6" s="3936"/>
      <c r="DA6" s="3936"/>
      <c r="DB6" s="3936"/>
      <c r="DC6" s="3936"/>
      <c r="DD6" s="3936"/>
      <c r="DE6" s="3936"/>
      <c r="DF6" s="3936"/>
      <c r="DG6" s="3936"/>
      <c r="DH6" s="3936"/>
      <c r="DI6" s="3936"/>
      <c r="DJ6" s="3936"/>
      <c r="DK6" s="3936"/>
      <c r="DL6" s="3936"/>
      <c r="DM6" s="3936"/>
      <c r="DN6" s="3936"/>
      <c r="DO6" s="3936"/>
      <c r="DP6" s="3936"/>
      <c r="DQ6" s="3936"/>
      <c r="DR6" s="3936"/>
      <c r="DS6" s="3936"/>
      <c r="DT6" s="3936"/>
      <c r="DU6" s="3936"/>
      <c r="DV6" s="3936"/>
      <c r="DW6" s="3936"/>
      <c r="DX6" s="3936"/>
      <c r="DY6" s="3936"/>
      <c r="DZ6" s="3936"/>
      <c r="EA6" s="3936"/>
      <c r="EB6" s="3936"/>
      <c r="EC6" s="3936"/>
      <c r="ED6" s="3936"/>
      <c r="EE6" s="3936"/>
      <c r="EF6" s="3936"/>
      <c r="EG6" s="3936"/>
      <c r="EH6" s="3936"/>
      <c r="EI6" s="3936"/>
      <c r="EJ6" s="3936"/>
      <c r="EK6" s="3936"/>
      <c r="EL6" s="3936"/>
      <c r="EM6" s="3936"/>
      <c r="EN6" s="3936"/>
      <c r="EO6" s="3936"/>
      <c r="EP6" s="3936"/>
      <c r="EQ6" s="3936"/>
      <c r="ER6" s="3936"/>
      <c r="ES6" s="3936"/>
      <c r="ET6" s="3936"/>
      <c r="EU6" s="3936"/>
      <c r="EV6" s="3936"/>
      <c r="EW6" s="3936"/>
      <c r="EX6" s="3936"/>
      <c r="EY6" s="3936"/>
      <c r="EZ6" s="3936"/>
      <c r="FA6" s="3936"/>
      <c r="FB6" s="3936"/>
      <c r="FC6" s="3936"/>
      <c r="FD6" s="3936"/>
      <c r="FE6" s="3936"/>
      <c r="FF6" s="3936"/>
      <c r="FG6" s="3936"/>
      <c r="FH6" s="3936"/>
      <c r="FI6" s="3936"/>
      <c r="FJ6" s="3936"/>
      <c r="FK6" s="3936"/>
      <c r="FL6" s="3936"/>
      <c r="FM6" s="3936"/>
      <c r="FN6" s="3936"/>
      <c r="FO6" s="3936"/>
      <c r="FP6" s="3936"/>
      <c r="FQ6" s="3936"/>
      <c r="FR6" s="3936"/>
      <c r="FS6" s="3936"/>
      <c r="FT6" s="3936"/>
      <c r="FU6" s="3936"/>
      <c r="FV6" s="3936"/>
      <c r="FW6" s="3936"/>
      <c r="FX6" s="3936"/>
      <c r="FY6" s="3936"/>
      <c r="FZ6" s="3936"/>
      <c r="GA6" s="3936"/>
      <c r="GB6" s="3936"/>
      <c r="GC6" s="3936"/>
      <c r="GD6" s="3936"/>
      <c r="GE6" s="3936"/>
      <c r="GF6" s="3936"/>
      <c r="GG6" s="3936"/>
      <c r="GH6" s="3936"/>
      <c r="GI6" s="3936"/>
      <c r="GJ6" s="3936"/>
      <c r="GK6" s="3936"/>
      <c r="GL6" s="3936"/>
      <c r="GM6" s="3936"/>
      <c r="GN6" s="3936"/>
      <c r="GO6" s="3936"/>
      <c r="GP6" s="3936"/>
      <c r="GQ6" s="3936"/>
      <c r="GR6" s="3936"/>
      <c r="GS6" s="3936"/>
      <c r="GT6" s="3936"/>
      <c r="GU6" s="3936"/>
      <c r="GV6" s="3936"/>
      <c r="GW6" s="3936"/>
      <c r="GX6" s="3936"/>
      <c r="GY6" s="3936"/>
      <c r="GZ6" s="3936"/>
      <c r="HA6" s="3936"/>
      <c r="HB6" s="3936"/>
      <c r="HC6" s="3936"/>
      <c r="HD6" s="3936"/>
      <c r="HE6" s="3936"/>
      <c r="HF6" s="3936"/>
      <c r="HG6" s="3936"/>
      <c r="HH6" s="3936"/>
      <c r="HI6" s="3936"/>
      <c r="HJ6" s="3936"/>
      <c r="HK6" s="3936"/>
      <c r="HL6" s="3936"/>
      <c r="HM6" s="3936"/>
      <c r="HN6" s="3936"/>
      <c r="HO6" s="3936"/>
      <c r="HP6" s="3936"/>
      <c r="HQ6" s="3936"/>
      <c r="HR6" s="3936"/>
      <c r="HS6" s="3936"/>
      <c r="HT6" s="3936"/>
      <c r="HU6" s="3936"/>
      <c r="HV6" s="3936"/>
      <c r="HW6" s="3936"/>
      <c r="HX6" s="3936"/>
      <c r="HY6" s="3936"/>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36"/>
      <c r="LH6" s="3936"/>
      <c r="LI6" s="3936"/>
      <c r="LJ6" s="3936"/>
      <c r="LK6" s="3936"/>
      <c r="LL6" s="3936"/>
      <c r="LM6" s="3936"/>
      <c r="LN6" s="3936"/>
      <c r="LO6" s="3936"/>
      <c r="LP6" s="3936"/>
      <c r="LQ6" s="3936"/>
      <c r="LR6" s="3936"/>
      <c r="LS6" s="3936"/>
      <c r="LT6" s="3936"/>
      <c r="LU6" s="3936"/>
      <c r="LV6" s="3936"/>
      <c r="LW6" s="3936"/>
      <c r="LX6" s="3936"/>
      <c r="LY6" s="3936"/>
      <c r="LZ6" s="3936"/>
      <c r="MA6" s="3936"/>
      <c r="MB6" s="3936"/>
      <c r="MC6" s="3936"/>
      <c r="MD6" s="3936"/>
      <c r="ME6" s="3936"/>
      <c r="MF6" s="3936"/>
      <c r="MG6" s="3936"/>
      <c r="MH6" s="3936"/>
      <c r="MI6" s="3936"/>
      <c r="MJ6" s="3936"/>
      <c r="MK6" s="3956" t="s">
        <v>3042</v>
      </c>
      <c r="ML6" s="3956" t="s">
        <v>3043</v>
      </c>
      <c r="MM6" s="3956" t="s">
        <v>3044</v>
      </c>
      <c r="MN6" s="3956" t="s">
        <v>3045</v>
      </c>
      <c r="MO6" s="3956" t="s">
        <v>3046</v>
      </c>
      <c r="MP6" s="3936" t="s">
        <v>6288</v>
      </c>
      <c r="MQ6" s="3936" t="s">
        <v>6289</v>
      </c>
      <c r="MR6" s="3936" t="s">
        <v>6290</v>
      </c>
      <c r="MS6" s="3936" t="s">
        <v>6291</v>
      </c>
      <c r="MT6" s="3936"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5" customHeight="1">
      <c r="A7" s="3957"/>
      <c r="B7" s="29" t="s">
        <v>6100</v>
      </c>
      <c r="E7" s="4"/>
      <c r="G7" s="1575" t="s">
        <v>2654</v>
      </c>
      <c r="I7" s="3962" t="s">
        <v>4075</v>
      </c>
      <c r="J7" s="1054" t="s">
        <v>742</v>
      </c>
      <c r="K7" s="1054" t="s">
        <v>3185</v>
      </c>
      <c r="L7" s="3974"/>
      <c r="M7" s="3974"/>
      <c r="N7" s="3974"/>
      <c r="O7" s="2258" t="s">
        <v>6080</v>
      </c>
      <c r="P7" s="1971">
        <v>44287</v>
      </c>
      <c r="Q7" s="3937"/>
      <c r="R7" s="3953" t="s">
        <v>2458</v>
      </c>
      <c r="S7" s="3953"/>
      <c r="X7" s="3936"/>
      <c r="Y7" s="3936"/>
      <c r="Z7" s="3936"/>
      <c r="AA7" s="3936"/>
      <c r="AB7" s="3936"/>
      <c r="AC7" s="3936"/>
      <c r="AD7" s="3936"/>
      <c r="AE7" s="3936"/>
      <c r="AF7" s="3936"/>
      <c r="AG7" s="3936"/>
      <c r="AH7" s="3936"/>
      <c r="AI7" s="3936"/>
      <c r="AJ7" s="3936"/>
      <c r="AK7" s="3936"/>
      <c r="AL7" s="3936"/>
      <c r="AM7" s="3936"/>
      <c r="AN7" s="3936"/>
      <c r="AO7" s="3936"/>
      <c r="AP7" s="3936"/>
      <c r="AQ7" s="3936"/>
      <c r="AR7" s="3936"/>
      <c r="AS7" s="3936"/>
      <c r="AT7" s="3936"/>
      <c r="AU7" s="3936"/>
      <c r="AV7" s="3936"/>
      <c r="AW7" s="3936"/>
      <c r="AX7" s="3936"/>
      <c r="AY7" s="3936"/>
      <c r="AZ7" s="3936"/>
      <c r="BA7" s="3936"/>
      <c r="BB7" s="3936"/>
      <c r="BC7" s="3936"/>
      <c r="BD7" s="3936"/>
      <c r="BE7" s="3936"/>
      <c r="BF7" s="3936"/>
      <c r="BG7" s="3936"/>
      <c r="BH7" s="3936"/>
      <c r="BI7" s="3936"/>
      <c r="BJ7" s="3936"/>
      <c r="BK7" s="3936"/>
      <c r="BL7" s="3936"/>
      <c r="BM7" s="3936"/>
      <c r="BN7" s="3936"/>
      <c r="BO7" s="3936"/>
      <c r="BP7" s="3936"/>
      <c r="BQ7" s="3936"/>
      <c r="BR7" s="3936"/>
      <c r="BS7" s="3936"/>
      <c r="BT7" s="3936"/>
      <c r="BU7" s="3936"/>
      <c r="BV7" s="3936"/>
      <c r="BW7" s="3936"/>
      <c r="BX7" s="3936"/>
      <c r="BY7" s="3936"/>
      <c r="BZ7" s="3936"/>
      <c r="CA7" s="3936"/>
      <c r="CB7" s="3936"/>
      <c r="CC7" s="3936"/>
      <c r="CD7" s="3936"/>
      <c r="CE7" s="3936"/>
      <c r="CF7" s="3936"/>
      <c r="CG7" s="3936"/>
      <c r="CH7" s="3936"/>
      <c r="CI7" s="3936"/>
      <c r="CJ7" s="3936"/>
      <c r="CK7" s="3936"/>
      <c r="CL7" s="3936"/>
      <c r="CM7" s="3936"/>
      <c r="CN7" s="3936"/>
      <c r="CO7" s="3936"/>
      <c r="CP7" s="3936"/>
      <c r="CQ7" s="3936"/>
      <c r="CR7" s="3936"/>
      <c r="CS7" s="3936"/>
      <c r="CT7" s="3936"/>
      <c r="CU7" s="3936"/>
      <c r="CV7" s="3936"/>
      <c r="CW7" s="3936"/>
      <c r="CX7" s="3936"/>
      <c r="CY7" s="3936"/>
      <c r="CZ7" s="3936"/>
      <c r="DA7" s="3936"/>
      <c r="DB7" s="3936"/>
      <c r="DC7" s="3936"/>
      <c r="DD7" s="3936"/>
      <c r="DE7" s="3936"/>
      <c r="DF7" s="3936"/>
      <c r="DG7" s="3936"/>
      <c r="DH7" s="3936"/>
      <c r="DI7" s="3936"/>
      <c r="DJ7" s="3936"/>
      <c r="DK7" s="3936"/>
      <c r="DL7" s="3936"/>
      <c r="DM7" s="3936"/>
      <c r="DN7" s="3936"/>
      <c r="DO7" s="3936"/>
      <c r="DP7" s="3936"/>
      <c r="DQ7" s="3936"/>
      <c r="DR7" s="3936"/>
      <c r="DS7" s="3936"/>
      <c r="DT7" s="3936"/>
      <c r="DU7" s="3936"/>
      <c r="DV7" s="3936"/>
      <c r="DW7" s="3936"/>
      <c r="DX7" s="3936"/>
      <c r="DY7" s="3936"/>
      <c r="DZ7" s="3936"/>
      <c r="EA7" s="3936"/>
      <c r="EB7" s="3936"/>
      <c r="EC7" s="3936"/>
      <c r="ED7" s="3936"/>
      <c r="EE7" s="3936"/>
      <c r="EF7" s="3936"/>
      <c r="EG7" s="3936"/>
      <c r="EH7" s="3936"/>
      <c r="EI7" s="3936"/>
      <c r="EJ7" s="3936"/>
      <c r="EK7" s="3936"/>
      <c r="EL7" s="3936"/>
      <c r="EM7" s="3936"/>
      <c r="EN7" s="3936"/>
      <c r="EO7" s="3936"/>
      <c r="EP7" s="3936"/>
      <c r="EQ7" s="3936"/>
      <c r="ER7" s="3936"/>
      <c r="ES7" s="3936"/>
      <c r="ET7" s="3936"/>
      <c r="EU7" s="3936"/>
      <c r="EV7" s="3936"/>
      <c r="EW7" s="3936"/>
      <c r="EX7" s="3936"/>
      <c r="EY7" s="3936"/>
      <c r="EZ7" s="3936"/>
      <c r="FA7" s="3936"/>
      <c r="FB7" s="3936"/>
      <c r="FC7" s="3936"/>
      <c r="FD7" s="3936"/>
      <c r="FE7" s="3936"/>
      <c r="FF7" s="3936"/>
      <c r="FG7" s="3936"/>
      <c r="FH7" s="3936"/>
      <c r="FI7" s="3936"/>
      <c r="FJ7" s="3936"/>
      <c r="FK7" s="3936"/>
      <c r="FL7" s="3936"/>
      <c r="FM7" s="3936"/>
      <c r="FN7" s="3936"/>
      <c r="FO7" s="3936"/>
      <c r="FP7" s="3936"/>
      <c r="FQ7" s="3936"/>
      <c r="FR7" s="3936"/>
      <c r="FS7" s="3936"/>
      <c r="FT7" s="3936"/>
      <c r="FU7" s="3936"/>
      <c r="FV7" s="3936"/>
      <c r="FW7" s="3936"/>
      <c r="FX7" s="3936"/>
      <c r="FY7" s="3936"/>
      <c r="FZ7" s="3936"/>
      <c r="GA7" s="3936"/>
      <c r="GB7" s="3936"/>
      <c r="GC7" s="3936"/>
      <c r="GD7" s="3936"/>
      <c r="GE7" s="3936"/>
      <c r="GF7" s="3936"/>
      <c r="GG7" s="3936"/>
      <c r="GH7" s="3936"/>
      <c r="GI7" s="3936"/>
      <c r="GJ7" s="3936"/>
      <c r="GK7" s="3936"/>
      <c r="GL7" s="3936"/>
      <c r="GM7" s="3936"/>
      <c r="GN7" s="3936"/>
      <c r="GO7" s="3936"/>
      <c r="GP7" s="3936"/>
      <c r="GQ7" s="3936"/>
      <c r="GR7" s="3936"/>
      <c r="GS7" s="3936"/>
      <c r="GT7" s="3936"/>
      <c r="GU7" s="3936"/>
      <c r="GV7" s="3936"/>
      <c r="GW7" s="3936"/>
      <c r="GX7" s="3936"/>
      <c r="GY7" s="3936"/>
      <c r="GZ7" s="3936"/>
      <c r="HA7" s="3936"/>
      <c r="HB7" s="3936"/>
      <c r="HC7" s="3936"/>
      <c r="HD7" s="3936"/>
      <c r="HE7" s="3936"/>
      <c r="HF7" s="3936"/>
      <c r="HG7" s="3936"/>
      <c r="HH7" s="3936"/>
      <c r="HI7" s="3936"/>
      <c r="HJ7" s="3936"/>
      <c r="HK7" s="3936"/>
      <c r="HL7" s="3936"/>
      <c r="HM7" s="3936"/>
      <c r="HN7" s="3936"/>
      <c r="HO7" s="3936"/>
      <c r="HP7" s="3936"/>
      <c r="HQ7" s="3936"/>
      <c r="HR7" s="3936"/>
      <c r="HS7" s="3936"/>
      <c r="HT7" s="3936"/>
      <c r="HU7" s="3936"/>
      <c r="HV7" s="3936"/>
      <c r="HW7" s="3936"/>
      <c r="HX7" s="3936"/>
      <c r="HY7" s="3936"/>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36"/>
      <c r="LH7" s="3936"/>
      <c r="LI7" s="3936"/>
      <c r="LJ7" s="3936"/>
      <c r="LK7" s="3936"/>
      <c r="LL7" s="3936"/>
      <c r="LM7" s="3936"/>
      <c r="LN7" s="3936"/>
      <c r="LO7" s="3936"/>
      <c r="LP7" s="3936"/>
      <c r="LQ7" s="3936"/>
      <c r="LR7" s="3936"/>
      <c r="LS7" s="3936"/>
      <c r="LT7" s="3936"/>
      <c r="LU7" s="3936"/>
      <c r="LV7" s="3936"/>
      <c r="LW7" s="3936"/>
      <c r="LX7" s="3936"/>
      <c r="LY7" s="3936"/>
      <c r="LZ7" s="3936"/>
      <c r="MA7" s="3936"/>
      <c r="MB7" s="3936"/>
      <c r="MC7" s="3936"/>
      <c r="MD7" s="3936"/>
      <c r="ME7" s="3936"/>
      <c r="MF7" s="3936"/>
      <c r="MG7" s="3936"/>
      <c r="MH7" s="3936"/>
      <c r="MI7" s="3936"/>
      <c r="MJ7" s="3936"/>
      <c r="MK7" s="3956"/>
      <c r="ML7" s="3956"/>
      <c r="MM7" s="3956"/>
      <c r="MN7" s="3956"/>
      <c r="MO7" s="3956"/>
      <c r="MP7" s="3936"/>
      <c r="MQ7" s="3936"/>
      <c r="MR7" s="3936"/>
      <c r="MS7" s="3936"/>
      <c r="MT7" s="3936"/>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5" customHeight="1">
      <c r="A8" s="3957"/>
      <c r="B8" s="1055" t="s">
        <v>3766</v>
      </c>
      <c r="C8" s="1"/>
      <c r="E8" s="1"/>
      <c r="F8" s="1"/>
      <c r="I8" s="3962"/>
      <c r="J8" s="1054" t="s">
        <v>743</v>
      </c>
      <c r="K8" s="1054" t="s">
        <v>3186</v>
      </c>
      <c r="L8" s="850"/>
      <c r="M8" s="850"/>
      <c r="N8" s="2256" t="s">
        <v>6485</v>
      </c>
      <c r="O8" s="3964" t="s">
        <v>7009</v>
      </c>
      <c r="P8" s="3965"/>
      <c r="Q8" s="3937"/>
      <c r="R8" s="851"/>
      <c r="S8" s="855" t="s">
        <v>2455</v>
      </c>
      <c r="T8" s="443"/>
      <c r="W8" s="444"/>
      <c r="X8" s="3936"/>
      <c r="Y8" s="3936"/>
      <c r="Z8" s="3936"/>
      <c r="AA8" s="3936"/>
      <c r="AB8" s="3936"/>
      <c r="AC8" s="3936"/>
      <c r="AD8" s="3936"/>
      <c r="AE8" s="3936"/>
      <c r="AF8" s="3936"/>
      <c r="AG8" s="3936"/>
      <c r="AH8" s="3936"/>
      <c r="AI8" s="3936"/>
      <c r="AJ8" s="3936"/>
      <c r="AK8" s="3936"/>
      <c r="AL8" s="3936"/>
      <c r="AM8" s="3936"/>
      <c r="AN8" s="3936"/>
      <c r="AO8" s="3936"/>
      <c r="AP8" s="3936"/>
      <c r="AQ8" s="3936"/>
      <c r="AR8" s="3936"/>
      <c r="AS8" s="3936"/>
      <c r="AT8" s="3936"/>
      <c r="AU8" s="3936"/>
      <c r="AV8" s="3936"/>
      <c r="AW8" s="3936"/>
      <c r="AX8" s="3936"/>
      <c r="AY8" s="3936"/>
      <c r="AZ8" s="3936"/>
      <c r="BA8" s="3936"/>
      <c r="BB8" s="3936"/>
      <c r="BC8" s="3936"/>
      <c r="BD8" s="3936"/>
      <c r="BE8" s="3936"/>
      <c r="BF8" s="3936"/>
      <c r="BG8" s="3936"/>
      <c r="BH8" s="3936"/>
      <c r="BI8" s="3936"/>
      <c r="BJ8" s="3936"/>
      <c r="BK8" s="3936"/>
      <c r="BL8" s="3936"/>
      <c r="BM8" s="3936"/>
      <c r="BN8" s="3936"/>
      <c r="BO8" s="3936"/>
      <c r="BP8" s="3936"/>
      <c r="BQ8" s="3936"/>
      <c r="BR8" s="3936"/>
      <c r="BS8" s="3936"/>
      <c r="BT8" s="3936"/>
      <c r="BU8" s="3936"/>
      <c r="BV8" s="3936"/>
      <c r="BW8" s="3936"/>
      <c r="BX8" s="3936"/>
      <c r="BY8" s="3936"/>
      <c r="BZ8" s="3936"/>
      <c r="CA8" s="3936"/>
      <c r="CB8" s="3936"/>
      <c r="CC8" s="3936"/>
      <c r="CD8" s="3936"/>
      <c r="CE8" s="3936"/>
      <c r="CF8" s="3936"/>
      <c r="CG8" s="3936"/>
      <c r="CH8" s="3936"/>
      <c r="CI8" s="3936"/>
      <c r="CJ8" s="3936"/>
      <c r="CK8" s="3936"/>
      <c r="CL8" s="3936"/>
      <c r="CM8" s="3936"/>
      <c r="CN8" s="3936"/>
      <c r="CO8" s="3936"/>
      <c r="CP8" s="3936"/>
      <c r="CQ8" s="3936"/>
      <c r="CR8" s="3936"/>
      <c r="CS8" s="3936"/>
      <c r="CT8" s="3936"/>
      <c r="CU8" s="3936"/>
      <c r="CV8" s="3936"/>
      <c r="CW8" s="3936"/>
      <c r="CX8" s="3936"/>
      <c r="CY8" s="3936"/>
      <c r="CZ8" s="3936"/>
      <c r="DA8" s="3936"/>
      <c r="DB8" s="3936"/>
      <c r="DC8" s="3936"/>
      <c r="DD8" s="3936"/>
      <c r="DE8" s="3936"/>
      <c r="DF8" s="3936"/>
      <c r="DG8" s="3936"/>
      <c r="DH8" s="3936"/>
      <c r="DI8" s="3936"/>
      <c r="DJ8" s="3936"/>
      <c r="DK8" s="3936"/>
      <c r="DL8" s="3936"/>
      <c r="DM8" s="3936"/>
      <c r="DN8" s="3936"/>
      <c r="DO8" s="3936"/>
      <c r="DP8" s="3936"/>
      <c r="DQ8" s="3936"/>
      <c r="DR8" s="3936"/>
      <c r="DS8" s="3936"/>
      <c r="DT8" s="3936"/>
      <c r="DU8" s="3936"/>
      <c r="DV8" s="3936"/>
      <c r="DW8" s="3936"/>
      <c r="DX8" s="3936"/>
      <c r="DY8" s="3936"/>
      <c r="DZ8" s="3936"/>
      <c r="EA8" s="3936"/>
      <c r="EB8" s="3936"/>
      <c r="EC8" s="3936"/>
      <c r="ED8" s="3936"/>
      <c r="EE8" s="3936"/>
      <c r="EF8" s="3936"/>
      <c r="EG8" s="3936"/>
      <c r="EH8" s="3936"/>
      <c r="EI8" s="3936"/>
      <c r="EJ8" s="3936"/>
      <c r="EK8" s="3936"/>
      <c r="EL8" s="3936"/>
      <c r="EM8" s="3936"/>
      <c r="EN8" s="3936"/>
      <c r="EO8" s="3936"/>
      <c r="EP8" s="3936"/>
      <c r="EQ8" s="3936"/>
      <c r="ER8" s="3936"/>
      <c r="ES8" s="3936"/>
      <c r="ET8" s="3936"/>
      <c r="EU8" s="3936"/>
      <c r="EV8" s="3936"/>
      <c r="EW8" s="3936"/>
      <c r="EX8" s="3936"/>
      <c r="EY8" s="3936"/>
      <c r="EZ8" s="3936"/>
      <c r="FA8" s="3936"/>
      <c r="FB8" s="3936"/>
      <c r="FC8" s="3936"/>
      <c r="FD8" s="3936"/>
      <c r="FE8" s="3936"/>
      <c r="FF8" s="3936"/>
      <c r="FG8" s="3936"/>
      <c r="FH8" s="3936"/>
      <c r="FI8" s="3936"/>
      <c r="FJ8" s="3936"/>
      <c r="FK8" s="3936"/>
      <c r="FL8" s="3936"/>
      <c r="FM8" s="3936"/>
      <c r="FN8" s="3936"/>
      <c r="FO8" s="3936"/>
      <c r="FP8" s="3936"/>
      <c r="FQ8" s="3936"/>
      <c r="FR8" s="3936"/>
      <c r="FS8" s="3936"/>
      <c r="FT8" s="3936"/>
      <c r="FU8" s="3936"/>
      <c r="FV8" s="3936"/>
      <c r="FW8" s="3936"/>
      <c r="FX8" s="3936"/>
      <c r="FY8" s="3936"/>
      <c r="FZ8" s="3936"/>
      <c r="GA8" s="3936"/>
      <c r="GB8" s="3936"/>
      <c r="GC8" s="3936"/>
      <c r="GD8" s="3936"/>
      <c r="GE8" s="3936"/>
      <c r="GF8" s="3936"/>
      <c r="GG8" s="3936"/>
      <c r="GH8" s="3936"/>
      <c r="GI8" s="3936"/>
      <c r="GJ8" s="3936"/>
      <c r="GK8" s="3936"/>
      <c r="GL8" s="3936"/>
      <c r="GM8" s="3936"/>
      <c r="GN8" s="3936"/>
      <c r="GO8" s="3936"/>
      <c r="GP8" s="3936"/>
      <c r="GQ8" s="3936"/>
      <c r="GR8" s="3936"/>
      <c r="GS8" s="3936"/>
      <c r="GT8" s="3936"/>
      <c r="GU8" s="3936"/>
      <c r="GV8" s="3936"/>
      <c r="GW8" s="3936"/>
      <c r="GX8" s="3936"/>
      <c r="GY8" s="3936"/>
      <c r="GZ8" s="3936"/>
      <c r="HA8" s="3936"/>
      <c r="HB8" s="3936"/>
      <c r="HC8" s="3936"/>
      <c r="HD8" s="3936"/>
      <c r="HE8" s="3936"/>
      <c r="HF8" s="3936"/>
      <c r="HG8" s="3936"/>
      <c r="HH8" s="3936"/>
      <c r="HI8" s="3936"/>
      <c r="HJ8" s="3936"/>
      <c r="HK8" s="3936"/>
      <c r="HL8" s="3936"/>
      <c r="HM8" s="3936"/>
      <c r="HN8" s="3936"/>
      <c r="HO8" s="3936"/>
      <c r="HP8" s="3936"/>
      <c r="HQ8" s="3936"/>
      <c r="HR8" s="3936"/>
      <c r="HS8" s="3936"/>
      <c r="HT8" s="3936"/>
      <c r="HU8" s="3936"/>
      <c r="HV8" s="3936"/>
      <c r="HW8" s="3936"/>
      <c r="HX8" s="3936"/>
      <c r="HY8" s="3936"/>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36"/>
      <c r="LH8" s="3936"/>
      <c r="LI8" s="3936"/>
      <c r="LJ8" s="3936"/>
      <c r="LK8" s="3936"/>
      <c r="LL8" s="3936"/>
      <c r="LM8" s="3936"/>
      <c r="LN8" s="3936"/>
      <c r="LO8" s="3936"/>
      <c r="LP8" s="3936"/>
      <c r="LQ8" s="3936"/>
      <c r="LR8" s="3936"/>
      <c r="LS8" s="3936"/>
      <c r="LT8" s="3936"/>
      <c r="LU8" s="3936"/>
      <c r="LV8" s="3936"/>
      <c r="LW8" s="3936"/>
      <c r="LX8" s="3936"/>
      <c r="LY8" s="3936"/>
      <c r="LZ8" s="3936"/>
      <c r="MA8" s="3936"/>
      <c r="MB8" s="3936"/>
      <c r="MC8" s="3936"/>
      <c r="MD8" s="3936"/>
      <c r="ME8" s="3936"/>
      <c r="MF8" s="3936"/>
      <c r="MG8" s="3936"/>
      <c r="MH8" s="3936"/>
      <c r="MI8" s="3936"/>
      <c r="MJ8" s="3936"/>
      <c r="MK8" s="3956"/>
      <c r="ML8" s="3956"/>
      <c r="MM8" s="3956"/>
      <c r="MN8" s="3956"/>
      <c r="MO8" s="3956"/>
      <c r="MP8" s="3936"/>
      <c r="MQ8" s="3936"/>
      <c r="MR8" s="3936"/>
      <c r="MS8" s="3936"/>
      <c r="MT8" s="3936"/>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57"/>
      <c r="B9" s="1414" t="s">
        <v>3767</v>
      </c>
      <c r="C9" s="1054" t="s">
        <v>165</v>
      </c>
      <c r="D9" s="1054" t="s">
        <v>510</v>
      </c>
      <c r="E9" s="1054" t="s">
        <v>1383</v>
      </c>
      <c r="F9" s="1054" t="s">
        <v>1383</v>
      </c>
      <c r="G9" s="3962" t="s">
        <v>6096</v>
      </c>
      <c r="H9" s="1928" t="s">
        <v>3304</v>
      </c>
      <c r="I9" s="3962"/>
      <c r="J9" s="3958" t="s">
        <v>6090</v>
      </c>
      <c r="K9" s="1054" t="s">
        <v>2218</v>
      </c>
      <c r="L9" s="3954" t="s">
        <v>139</v>
      </c>
      <c r="M9" s="3955"/>
      <c r="N9" s="1054" t="s">
        <v>2185</v>
      </c>
      <c r="O9" s="1054" t="s">
        <v>6488</v>
      </c>
      <c r="P9" s="3960" t="s">
        <v>6252</v>
      </c>
      <c r="Q9" s="3937"/>
      <c r="R9" s="1054" t="s">
        <v>2454</v>
      </c>
      <c r="S9" s="1054" t="s">
        <v>2456</v>
      </c>
      <c r="T9" s="445"/>
      <c r="W9" s="446"/>
      <c r="X9" s="3936"/>
      <c r="Y9" s="3936"/>
      <c r="Z9" s="3936"/>
      <c r="AA9" s="3936"/>
      <c r="AB9" s="3936"/>
      <c r="AC9" s="3936"/>
      <c r="AD9" s="3936"/>
      <c r="AE9" s="3936"/>
      <c r="AF9" s="3936"/>
      <c r="AG9" s="3936"/>
      <c r="AH9" s="3936"/>
      <c r="AI9" s="3936"/>
      <c r="AJ9" s="3936"/>
      <c r="AK9" s="3936"/>
      <c r="AL9" s="3936"/>
      <c r="AM9" s="3936"/>
      <c r="AN9" s="3936"/>
      <c r="AO9" s="3936"/>
      <c r="AP9" s="3936"/>
      <c r="AQ9" s="3936"/>
      <c r="AR9" s="3936"/>
      <c r="AS9" s="3936"/>
      <c r="AT9" s="3936"/>
      <c r="AU9" s="3936"/>
      <c r="AV9" s="3936"/>
      <c r="AW9" s="3936"/>
      <c r="AX9" s="3936"/>
      <c r="AY9" s="3936"/>
      <c r="AZ9" s="3936"/>
      <c r="BA9" s="3936"/>
      <c r="BB9" s="3936"/>
      <c r="BC9" s="3936"/>
      <c r="BD9" s="3936"/>
      <c r="BE9" s="3936"/>
      <c r="BF9" s="3936"/>
      <c r="BG9" s="3936"/>
      <c r="BH9" s="3936"/>
      <c r="BI9" s="3936"/>
      <c r="BJ9" s="3936"/>
      <c r="BK9" s="3936"/>
      <c r="BL9" s="3936"/>
      <c r="BM9" s="3936"/>
      <c r="BN9" s="3936"/>
      <c r="BO9" s="3936"/>
      <c r="BP9" s="3936"/>
      <c r="BQ9" s="3936"/>
      <c r="BR9" s="3936"/>
      <c r="BS9" s="3936"/>
      <c r="BT9" s="3936"/>
      <c r="BU9" s="3936"/>
      <c r="BV9" s="3936"/>
      <c r="BW9" s="3936"/>
      <c r="BX9" s="3936"/>
      <c r="BY9" s="3936"/>
      <c r="BZ9" s="3936"/>
      <c r="CA9" s="3936"/>
      <c r="CB9" s="3936"/>
      <c r="CC9" s="3936"/>
      <c r="CD9" s="3936"/>
      <c r="CE9" s="3936"/>
      <c r="CF9" s="3936"/>
      <c r="CG9" s="3936"/>
      <c r="CH9" s="3936"/>
      <c r="CI9" s="3936"/>
      <c r="CJ9" s="3936"/>
      <c r="CK9" s="3936"/>
      <c r="CL9" s="3936"/>
      <c r="CM9" s="3936"/>
      <c r="CN9" s="3936"/>
      <c r="CO9" s="3936"/>
      <c r="CP9" s="3936"/>
      <c r="CQ9" s="3936"/>
      <c r="CR9" s="3936"/>
      <c r="CS9" s="3936"/>
      <c r="CT9" s="3936"/>
      <c r="CU9" s="3936"/>
      <c r="CV9" s="3936"/>
      <c r="CW9" s="3936"/>
      <c r="CX9" s="3936"/>
      <c r="CY9" s="3936"/>
      <c r="CZ9" s="3936"/>
      <c r="DA9" s="3936"/>
      <c r="DB9" s="3936"/>
      <c r="DC9" s="3936"/>
      <c r="DD9" s="3936"/>
      <c r="DE9" s="3936"/>
      <c r="DF9" s="3936"/>
      <c r="DG9" s="3936"/>
      <c r="DH9" s="3936"/>
      <c r="DI9" s="3936"/>
      <c r="DJ9" s="3936"/>
      <c r="DK9" s="3936"/>
      <c r="DL9" s="3936"/>
      <c r="DM9" s="3936"/>
      <c r="DN9" s="3936"/>
      <c r="DO9" s="3936"/>
      <c r="DP9" s="3936"/>
      <c r="DQ9" s="3936"/>
      <c r="DR9" s="3936"/>
      <c r="DS9" s="3936"/>
      <c r="DT9" s="3936"/>
      <c r="DU9" s="3936"/>
      <c r="DV9" s="3936"/>
      <c r="DW9" s="3936"/>
      <c r="DX9" s="3936"/>
      <c r="DY9" s="3936"/>
      <c r="DZ9" s="3936"/>
      <c r="EA9" s="3936"/>
      <c r="EB9" s="3936"/>
      <c r="EC9" s="3936"/>
      <c r="ED9" s="3936"/>
      <c r="EE9" s="3936"/>
      <c r="EF9" s="3936"/>
      <c r="EG9" s="3936"/>
      <c r="EH9" s="3936"/>
      <c r="EI9" s="3936"/>
      <c r="EJ9" s="3936"/>
      <c r="EK9" s="3936"/>
      <c r="EL9" s="3936"/>
      <c r="EM9" s="3936"/>
      <c r="EN9" s="3936"/>
      <c r="EO9" s="3936"/>
      <c r="EP9" s="3936"/>
      <c r="EQ9" s="3936"/>
      <c r="ER9" s="3936"/>
      <c r="ES9" s="3936"/>
      <c r="ET9" s="3936"/>
      <c r="EU9" s="3936"/>
      <c r="EV9" s="3936"/>
      <c r="EW9" s="3936"/>
      <c r="EX9" s="3936"/>
      <c r="EY9" s="3936"/>
      <c r="EZ9" s="3936"/>
      <c r="FA9" s="3936"/>
      <c r="FB9" s="3936"/>
      <c r="FC9" s="3936"/>
      <c r="FD9" s="3936"/>
      <c r="FE9" s="3936"/>
      <c r="FF9" s="3936"/>
      <c r="FG9" s="3936"/>
      <c r="FH9" s="3936"/>
      <c r="FI9" s="3936"/>
      <c r="FJ9" s="3936"/>
      <c r="FK9" s="3936"/>
      <c r="FL9" s="3936"/>
      <c r="FM9" s="3936"/>
      <c r="FN9" s="3936"/>
      <c r="FO9" s="3936"/>
      <c r="FP9" s="3936"/>
      <c r="FQ9" s="3936"/>
      <c r="FR9" s="3936"/>
      <c r="FS9" s="3936"/>
      <c r="FT9" s="3936"/>
      <c r="FU9" s="3936"/>
      <c r="FV9" s="3936"/>
      <c r="FW9" s="3936"/>
      <c r="FX9" s="3936"/>
      <c r="FY9" s="3936"/>
      <c r="FZ9" s="3936"/>
      <c r="GA9" s="3936"/>
      <c r="GB9" s="3936"/>
      <c r="GC9" s="3936"/>
      <c r="GD9" s="3936"/>
      <c r="GE9" s="3936"/>
      <c r="GF9" s="3936"/>
      <c r="GG9" s="3936"/>
      <c r="GH9" s="3936"/>
      <c r="GI9" s="3936"/>
      <c r="GJ9" s="3936"/>
      <c r="GK9" s="3936"/>
      <c r="GL9" s="3936"/>
      <c r="GM9" s="3936"/>
      <c r="GN9" s="3936"/>
      <c r="GO9" s="3936"/>
      <c r="GP9" s="3936"/>
      <c r="GQ9" s="3936"/>
      <c r="GR9" s="3936"/>
      <c r="GS9" s="3936"/>
      <c r="GT9" s="3936"/>
      <c r="GU9" s="3936"/>
      <c r="GV9" s="3936"/>
      <c r="GW9" s="3936"/>
      <c r="GX9" s="3936"/>
      <c r="GY9" s="3936"/>
      <c r="GZ9" s="3936"/>
      <c r="HA9" s="3936"/>
      <c r="HB9" s="3936"/>
      <c r="HC9" s="3936"/>
      <c r="HD9" s="3936"/>
      <c r="HE9" s="3936"/>
      <c r="HF9" s="3936"/>
      <c r="HG9" s="3936"/>
      <c r="HH9" s="3936"/>
      <c r="HI9" s="3936"/>
      <c r="HJ9" s="3936"/>
      <c r="HK9" s="3936"/>
      <c r="HL9" s="3936"/>
      <c r="HM9" s="3936"/>
      <c r="HN9" s="3936"/>
      <c r="HO9" s="3936"/>
      <c r="HP9" s="3936"/>
      <c r="HQ9" s="3936"/>
      <c r="HR9" s="3936"/>
      <c r="HS9" s="3936"/>
      <c r="HT9" s="3936"/>
      <c r="HU9" s="3936"/>
      <c r="HV9" s="3936"/>
      <c r="HW9" s="3936"/>
      <c r="HX9" s="3936"/>
      <c r="HY9" s="3936"/>
      <c r="HZ9" s="3936" t="s">
        <v>1372</v>
      </c>
      <c r="IA9" s="2517" t="s">
        <v>2246</v>
      </c>
      <c r="IB9" s="2517" t="s">
        <v>2247</v>
      </c>
      <c r="IC9" s="2517" t="s">
        <v>2248</v>
      </c>
      <c r="ID9" s="2517" t="s">
        <v>2249</v>
      </c>
      <c r="IE9" s="3936" t="s">
        <v>2300</v>
      </c>
      <c r="IF9" s="3936" t="s">
        <v>2300</v>
      </c>
      <c r="IG9" s="3936" t="s">
        <v>2300</v>
      </c>
      <c r="IH9" s="3936" t="s">
        <v>2300</v>
      </c>
      <c r="II9" s="3936" t="s">
        <v>2300</v>
      </c>
      <c r="IJ9" s="3936" t="s">
        <v>3002</v>
      </c>
      <c r="IK9" s="3936" t="s">
        <v>3002</v>
      </c>
      <c r="IL9" s="3936" t="s">
        <v>3002</v>
      </c>
      <c r="IM9" s="3936" t="s">
        <v>3002</v>
      </c>
      <c r="IN9" s="3936" t="s">
        <v>3002</v>
      </c>
      <c r="IO9" s="2517" t="s">
        <v>526</v>
      </c>
      <c r="IP9" s="2517" t="s">
        <v>2246</v>
      </c>
      <c r="IQ9" s="2517" t="s">
        <v>2247</v>
      </c>
      <c r="IR9" s="2517" t="s">
        <v>2248</v>
      </c>
      <c r="IS9" s="2517" t="s">
        <v>2249</v>
      </c>
      <c r="IT9" s="2517" t="s">
        <v>526</v>
      </c>
      <c r="IU9" s="2517" t="s">
        <v>2246</v>
      </c>
      <c r="IV9" s="2517" t="s">
        <v>2247</v>
      </c>
      <c r="IW9" s="2517" t="s">
        <v>2248</v>
      </c>
      <c r="IX9" s="2517" t="s">
        <v>2249</v>
      </c>
      <c r="IY9" s="3936" t="s">
        <v>6293</v>
      </c>
      <c r="IZ9" s="3936" t="s">
        <v>6293</v>
      </c>
      <c r="JA9" s="3936" t="s">
        <v>6293</v>
      </c>
      <c r="JB9" s="3936" t="s">
        <v>6293</v>
      </c>
      <c r="JC9" s="3936" t="s">
        <v>6293</v>
      </c>
      <c r="JD9" s="3936" t="s">
        <v>6294</v>
      </c>
      <c r="JE9" s="3936" t="s">
        <v>6294</v>
      </c>
      <c r="JF9" s="3936" t="s">
        <v>6294</v>
      </c>
      <c r="JG9" s="3936" t="s">
        <v>6294</v>
      </c>
      <c r="JH9" s="3936" t="s">
        <v>6294</v>
      </c>
      <c r="JI9" s="3936" t="s">
        <v>6296</v>
      </c>
      <c r="JJ9" s="3936" t="s">
        <v>6296</v>
      </c>
      <c r="JK9" s="3936" t="s">
        <v>6296</v>
      </c>
      <c r="JL9" s="3936" t="s">
        <v>6296</v>
      </c>
      <c r="JM9" s="3936" t="s">
        <v>6296</v>
      </c>
      <c r="JN9" s="3936" t="s">
        <v>6297</v>
      </c>
      <c r="JO9" s="3936" t="s">
        <v>6297</v>
      </c>
      <c r="JP9" s="3936" t="s">
        <v>6297</v>
      </c>
      <c r="JQ9" s="3936" t="s">
        <v>6297</v>
      </c>
      <c r="JR9" s="3936" t="s">
        <v>6297</v>
      </c>
      <c r="JS9" s="3936" t="s">
        <v>6298</v>
      </c>
      <c r="JT9" s="3936" t="s">
        <v>6298</v>
      </c>
      <c r="JU9" s="3936" t="s">
        <v>6298</v>
      </c>
      <c r="JV9" s="3936" t="s">
        <v>6298</v>
      </c>
      <c r="JW9" s="3936" t="s">
        <v>6298</v>
      </c>
      <c r="JX9" s="3936" t="s">
        <v>6489</v>
      </c>
      <c r="JY9" s="3936" t="s">
        <v>6489</v>
      </c>
      <c r="JZ9" s="3936" t="s">
        <v>6489</v>
      </c>
      <c r="KA9" s="3936" t="s">
        <v>6489</v>
      </c>
      <c r="KB9" s="3936" t="s">
        <v>6489</v>
      </c>
      <c r="KC9" s="3936" t="s">
        <v>6657</v>
      </c>
      <c r="KD9" s="3936" t="s">
        <v>6657</v>
      </c>
      <c r="KE9" s="3936" t="s">
        <v>6657</v>
      </c>
      <c r="KF9" s="3936" t="s">
        <v>6657</v>
      </c>
      <c r="KG9" s="3936" t="s">
        <v>6657</v>
      </c>
      <c r="KH9" s="3936" t="s">
        <v>6658</v>
      </c>
      <c r="KI9" s="3936" t="s">
        <v>6658</v>
      </c>
      <c r="KJ9" s="3936" t="s">
        <v>6658</v>
      </c>
      <c r="KK9" s="3936" t="s">
        <v>6658</v>
      </c>
      <c r="KL9" s="3936" t="s">
        <v>6658</v>
      </c>
      <c r="KM9" s="3936" t="s">
        <v>6300</v>
      </c>
      <c r="KN9" s="3936" t="s">
        <v>6300</v>
      </c>
      <c r="KO9" s="3936" t="s">
        <v>6300</v>
      </c>
      <c r="KP9" s="3936" t="s">
        <v>6300</v>
      </c>
      <c r="KQ9" s="3936" t="s">
        <v>6300</v>
      </c>
      <c r="KR9" s="3936" t="s">
        <v>6490</v>
      </c>
      <c r="KS9" s="3936" t="s">
        <v>6490</v>
      </c>
      <c r="KT9" s="3936" t="s">
        <v>6490</v>
      </c>
      <c r="KU9" s="3936" t="s">
        <v>6490</v>
      </c>
      <c r="KV9" s="3936" t="s">
        <v>6490</v>
      </c>
      <c r="KW9" s="3936" t="s">
        <v>6659</v>
      </c>
      <c r="KX9" s="3936" t="s">
        <v>6659</v>
      </c>
      <c r="KY9" s="3936" t="s">
        <v>6659</v>
      </c>
      <c r="KZ9" s="3936" t="s">
        <v>6659</v>
      </c>
      <c r="LA9" s="3936" t="s">
        <v>6659</v>
      </c>
      <c r="LB9" s="3936" t="s">
        <v>6660</v>
      </c>
      <c r="LC9" s="3936" t="s">
        <v>6660</v>
      </c>
      <c r="LD9" s="3936" t="s">
        <v>6660</v>
      </c>
      <c r="LE9" s="3936" t="s">
        <v>6660</v>
      </c>
      <c r="LF9" s="3936" t="s">
        <v>6660</v>
      </c>
      <c r="LG9" s="3936"/>
      <c r="LH9" s="3936"/>
      <c r="LI9" s="3936"/>
      <c r="LJ9" s="3936"/>
      <c r="LK9" s="3936"/>
      <c r="LL9" s="3936"/>
      <c r="LM9" s="3936"/>
      <c r="LN9" s="3936"/>
      <c r="LO9" s="3936"/>
      <c r="LP9" s="3936"/>
      <c r="LQ9" s="3936"/>
      <c r="LR9" s="3936"/>
      <c r="LS9" s="3936"/>
      <c r="LT9" s="3936"/>
      <c r="LU9" s="3936"/>
      <c r="LV9" s="3936"/>
      <c r="LW9" s="3936"/>
      <c r="LX9" s="3936"/>
      <c r="LY9" s="3936"/>
      <c r="LZ9" s="3936"/>
      <c r="MA9" s="3936"/>
      <c r="MB9" s="3936"/>
      <c r="MC9" s="3936"/>
      <c r="MD9" s="3936"/>
      <c r="ME9" s="3936"/>
      <c r="MF9" s="3936"/>
      <c r="MG9" s="3936"/>
      <c r="MH9" s="3936"/>
      <c r="MI9" s="3936"/>
      <c r="MJ9" s="3936"/>
      <c r="MK9" s="3956"/>
      <c r="ML9" s="3956"/>
      <c r="MM9" s="3956"/>
      <c r="MN9" s="3956"/>
      <c r="MO9" s="3956"/>
      <c r="MP9" s="3936"/>
      <c r="MQ9" s="3936"/>
      <c r="MR9" s="3936"/>
      <c r="MS9" s="3936"/>
      <c r="MT9" s="3936"/>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57"/>
      <c r="B10" s="1599" t="s">
        <v>3936</v>
      </c>
      <c r="C10" s="1054" t="s">
        <v>164</v>
      </c>
      <c r="D10" s="1054" t="s">
        <v>166</v>
      </c>
      <c r="E10" s="1054" t="s">
        <v>1384</v>
      </c>
      <c r="F10" s="1054" t="s">
        <v>1204</v>
      </c>
      <c r="G10" s="3963"/>
      <c r="H10" s="1054" t="s">
        <v>6097</v>
      </c>
      <c r="I10" s="3963"/>
      <c r="J10" s="3959"/>
      <c r="K10" s="470" t="s">
        <v>334</v>
      </c>
      <c r="L10" s="1054" t="s">
        <v>1433</v>
      </c>
      <c r="M10" s="1054" t="s">
        <v>504</v>
      </c>
      <c r="N10" s="1054" t="s">
        <v>1383</v>
      </c>
      <c r="O10" s="1054" t="s">
        <v>6502</v>
      </c>
      <c r="P10" s="3961"/>
      <c r="Q10" s="3938"/>
      <c r="R10" s="1054" t="s">
        <v>1385</v>
      </c>
      <c r="S10" s="1054" t="s">
        <v>2457</v>
      </c>
      <c r="T10" s="31" t="s">
        <v>1711</v>
      </c>
      <c r="W10" s="31"/>
      <c r="X10" s="3936"/>
      <c r="Y10" s="3936"/>
      <c r="Z10" s="3936"/>
      <c r="AA10" s="3936"/>
      <c r="AB10" s="3936"/>
      <c r="AC10" s="3936"/>
      <c r="AD10" s="3936"/>
      <c r="AE10" s="3936"/>
      <c r="AF10" s="3936"/>
      <c r="AG10" s="3936"/>
      <c r="AH10" s="3936"/>
      <c r="AI10" s="3936"/>
      <c r="AJ10" s="3936"/>
      <c r="AK10" s="3936"/>
      <c r="AL10" s="3936"/>
      <c r="AM10" s="3936"/>
      <c r="AN10" s="3936"/>
      <c r="AO10" s="3936"/>
      <c r="AP10" s="3936"/>
      <c r="AQ10" s="3936"/>
      <c r="AR10" s="3936"/>
      <c r="AS10" s="3936"/>
      <c r="AT10" s="3936"/>
      <c r="AU10" s="3936"/>
      <c r="AV10" s="3936"/>
      <c r="AW10" s="3936"/>
      <c r="AX10" s="3936"/>
      <c r="AY10" s="3936"/>
      <c r="AZ10" s="3936"/>
      <c r="BA10" s="3936"/>
      <c r="BB10" s="3936"/>
      <c r="BC10" s="3936"/>
      <c r="BD10" s="3936"/>
      <c r="BE10" s="3936"/>
      <c r="BF10" s="3936"/>
      <c r="BG10" s="3936"/>
      <c r="BH10" s="3936"/>
      <c r="BI10" s="3936"/>
      <c r="BJ10" s="3936"/>
      <c r="BK10" s="3936"/>
      <c r="BL10" s="3936"/>
      <c r="BM10" s="3936"/>
      <c r="BN10" s="3936"/>
      <c r="BO10" s="3936"/>
      <c r="BP10" s="3936"/>
      <c r="BQ10" s="3936"/>
      <c r="BR10" s="3936"/>
      <c r="BS10" s="3936"/>
      <c r="BT10" s="3936"/>
      <c r="BU10" s="3936"/>
      <c r="BV10" s="3936"/>
      <c r="BW10" s="3936"/>
      <c r="BX10" s="3936"/>
      <c r="BY10" s="3936"/>
      <c r="BZ10" s="3936"/>
      <c r="CA10" s="3936"/>
      <c r="CB10" s="3936"/>
      <c r="CC10" s="3936"/>
      <c r="CD10" s="3936"/>
      <c r="CE10" s="3936"/>
      <c r="CF10" s="3936"/>
      <c r="CG10" s="3936"/>
      <c r="CH10" s="3936"/>
      <c r="CI10" s="3936"/>
      <c r="CJ10" s="3936"/>
      <c r="CK10" s="3936"/>
      <c r="CL10" s="3936"/>
      <c r="CM10" s="3936"/>
      <c r="CN10" s="3936"/>
      <c r="CO10" s="3936"/>
      <c r="CP10" s="3936"/>
      <c r="CQ10" s="3936"/>
      <c r="CR10" s="3936"/>
      <c r="CS10" s="3936"/>
      <c r="CT10" s="3936"/>
      <c r="CU10" s="3936"/>
      <c r="CV10" s="3936"/>
      <c r="CW10" s="3936"/>
      <c r="CX10" s="3936"/>
      <c r="CY10" s="3936"/>
      <c r="CZ10" s="3936"/>
      <c r="DA10" s="3936"/>
      <c r="DB10" s="3936"/>
      <c r="DC10" s="3936"/>
      <c r="DD10" s="3936"/>
      <c r="DE10" s="3936"/>
      <c r="DF10" s="3936"/>
      <c r="DG10" s="3936"/>
      <c r="DH10" s="3936"/>
      <c r="DI10" s="3936"/>
      <c r="DJ10" s="3936"/>
      <c r="DK10" s="3936"/>
      <c r="DL10" s="3936"/>
      <c r="DM10" s="3936"/>
      <c r="DN10" s="3936"/>
      <c r="DO10" s="3936"/>
      <c r="DP10" s="3936"/>
      <c r="DQ10" s="3936"/>
      <c r="DR10" s="3936"/>
      <c r="DS10" s="3936"/>
      <c r="DT10" s="3936"/>
      <c r="DU10" s="3936"/>
      <c r="DV10" s="3936"/>
      <c r="DW10" s="3936"/>
      <c r="DX10" s="3936"/>
      <c r="DY10" s="3936"/>
      <c r="DZ10" s="3936"/>
      <c r="EA10" s="3936"/>
      <c r="EB10" s="3936"/>
      <c r="EC10" s="3936"/>
      <c r="ED10" s="3936"/>
      <c r="EE10" s="3936"/>
      <c r="EF10" s="3936"/>
      <c r="EG10" s="3936"/>
      <c r="EH10" s="3936"/>
      <c r="EI10" s="3936"/>
      <c r="EJ10" s="3936"/>
      <c r="EK10" s="3936"/>
      <c r="EL10" s="3936"/>
      <c r="EM10" s="3936"/>
      <c r="EN10" s="3936"/>
      <c r="EO10" s="3936"/>
      <c r="EP10" s="3936"/>
      <c r="EQ10" s="3936"/>
      <c r="ER10" s="3936"/>
      <c r="ES10" s="3936"/>
      <c r="ET10" s="3936"/>
      <c r="EU10" s="3936"/>
      <c r="EV10" s="3936"/>
      <c r="EW10" s="3936"/>
      <c r="EX10" s="3936"/>
      <c r="EY10" s="3936"/>
      <c r="EZ10" s="3936"/>
      <c r="FA10" s="3936"/>
      <c r="FB10" s="3936"/>
      <c r="FC10" s="3936"/>
      <c r="FD10" s="3936"/>
      <c r="FE10" s="3936"/>
      <c r="FF10" s="3936"/>
      <c r="FG10" s="3936"/>
      <c r="FH10" s="3936"/>
      <c r="FI10" s="3936"/>
      <c r="FJ10" s="3936"/>
      <c r="FK10" s="3936"/>
      <c r="FL10" s="3936"/>
      <c r="FM10" s="3936"/>
      <c r="FN10" s="3936"/>
      <c r="FO10" s="3936"/>
      <c r="FP10" s="3936"/>
      <c r="FQ10" s="3936"/>
      <c r="FR10" s="3936"/>
      <c r="FS10" s="3936"/>
      <c r="FT10" s="3936"/>
      <c r="FU10" s="3936"/>
      <c r="FV10" s="3936"/>
      <c r="FW10" s="3936"/>
      <c r="FX10" s="3936"/>
      <c r="FY10" s="3936"/>
      <c r="FZ10" s="3936"/>
      <c r="GA10" s="3936"/>
      <c r="GB10" s="3936"/>
      <c r="GC10" s="3936"/>
      <c r="GD10" s="3936"/>
      <c r="GE10" s="3936"/>
      <c r="GF10" s="3936"/>
      <c r="GG10" s="3936"/>
      <c r="GH10" s="3936"/>
      <c r="GI10" s="3936"/>
      <c r="GJ10" s="3936"/>
      <c r="GK10" s="3936"/>
      <c r="GL10" s="3936"/>
      <c r="GM10" s="3936"/>
      <c r="GN10" s="3936"/>
      <c r="GO10" s="3936"/>
      <c r="GP10" s="3936"/>
      <c r="GQ10" s="3936"/>
      <c r="GR10" s="3936"/>
      <c r="GS10" s="3936"/>
      <c r="GT10" s="3936"/>
      <c r="GU10" s="3936"/>
      <c r="GV10" s="3936"/>
      <c r="GW10" s="3936"/>
      <c r="GX10" s="3936"/>
      <c r="GY10" s="3936"/>
      <c r="GZ10" s="3936"/>
      <c r="HA10" s="3936"/>
      <c r="HB10" s="3936"/>
      <c r="HC10" s="3936"/>
      <c r="HD10" s="3936"/>
      <c r="HE10" s="3936"/>
      <c r="HF10" s="3936"/>
      <c r="HG10" s="3936"/>
      <c r="HH10" s="3936"/>
      <c r="HI10" s="3936"/>
      <c r="HJ10" s="3936"/>
      <c r="HK10" s="3936"/>
      <c r="HL10" s="3936"/>
      <c r="HM10" s="3936"/>
      <c r="HN10" s="3936"/>
      <c r="HO10" s="3936"/>
      <c r="HP10" s="3936"/>
      <c r="HQ10" s="3936"/>
      <c r="HR10" s="3936"/>
      <c r="HS10" s="3936"/>
      <c r="HT10" s="3936"/>
      <c r="HU10" s="3936"/>
      <c r="HV10" s="3936"/>
      <c r="HW10" s="3936"/>
      <c r="HX10" s="3936"/>
      <c r="HY10" s="3936"/>
      <c r="HZ10" s="3936"/>
      <c r="IA10" s="2517" t="s">
        <v>2299</v>
      </c>
      <c r="IB10" s="2517" t="s">
        <v>2299</v>
      </c>
      <c r="IC10" s="2517" t="s">
        <v>2299</v>
      </c>
      <c r="ID10" s="2517" t="s">
        <v>2299</v>
      </c>
      <c r="IE10" s="3936"/>
      <c r="IF10" s="3936"/>
      <c r="IG10" s="3936"/>
      <c r="IH10" s="3936"/>
      <c r="II10" s="3936"/>
      <c r="IJ10" s="3936"/>
      <c r="IK10" s="3936"/>
      <c r="IL10" s="3936"/>
      <c r="IM10" s="3936"/>
      <c r="IN10" s="3936"/>
      <c r="IO10" s="2517" t="s">
        <v>2301</v>
      </c>
      <c r="IP10" s="2517" t="s">
        <v>2301</v>
      </c>
      <c r="IQ10" s="2517" t="s">
        <v>2301</v>
      </c>
      <c r="IR10" s="2517" t="s">
        <v>2301</v>
      </c>
      <c r="IS10" s="2517" t="s">
        <v>2301</v>
      </c>
      <c r="IT10" s="2517" t="s">
        <v>3003</v>
      </c>
      <c r="IU10" s="2517" t="s">
        <v>3003</v>
      </c>
      <c r="IV10" s="2517" t="s">
        <v>3003</v>
      </c>
      <c r="IW10" s="2517" t="s">
        <v>3003</v>
      </c>
      <c r="IX10" s="2517" t="s">
        <v>3003</v>
      </c>
      <c r="IY10" s="3936"/>
      <c r="IZ10" s="3936"/>
      <c r="JA10" s="3936"/>
      <c r="JB10" s="3936"/>
      <c r="JC10" s="3936"/>
      <c r="JD10" s="3936"/>
      <c r="JE10" s="3936"/>
      <c r="JF10" s="3936"/>
      <c r="JG10" s="3936"/>
      <c r="JH10" s="3936"/>
      <c r="JI10" s="3936"/>
      <c r="JJ10" s="3936"/>
      <c r="JK10" s="3936"/>
      <c r="JL10" s="3936"/>
      <c r="JM10" s="3936"/>
      <c r="JN10" s="3936"/>
      <c r="JO10" s="3936"/>
      <c r="JP10" s="3936"/>
      <c r="JQ10" s="3936"/>
      <c r="JR10" s="3936"/>
      <c r="JS10" s="3936"/>
      <c r="JT10" s="3936"/>
      <c r="JU10" s="3936"/>
      <c r="JV10" s="3936"/>
      <c r="JW10" s="3936"/>
      <c r="JX10" s="3936"/>
      <c r="JY10" s="3936"/>
      <c r="JZ10" s="3936"/>
      <c r="KA10" s="3936"/>
      <c r="KB10" s="3936"/>
      <c r="KC10" s="3936"/>
      <c r="KD10" s="3936"/>
      <c r="KE10" s="3936"/>
      <c r="KF10" s="3936"/>
      <c r="KG10" s="3936"/>
      <c r="KH10" s="3936"/>
      <c r="KI10" s="3936"/>
      <c r="KJ10" s="3936"/>
      <c r="KK10" s="3936"/>
      <c r="KL10" s="3936"/>
      <c r="KM10" s="3936"/>
      <c r="KN10" s="3936"/>
      <c r="KO10" s="3936"/>
      <c r="KP10" s="3936"/>
      <c r="KQ10" s="3936"/>
      <c r="KR10" s="3936"/>
      <c r="KS10" s="3936"/>
      <c r="KT10" s="3936"/>
      <c r="KU10" s="3936"/>
      <c r="KV10" s="3936"/>
      <c r="KW10" s="3936"/>
      <c r="KX10" s="3936"/>
      <c r="KY10" s="3936"/>
      <c r="KZ10" s="3936"/>
      <c r="LA10" s="3936"/>
      <c r="LB10" s="3936"/>
      <c r="LC10" s="3936"/>
      <c r="LD10" s="3936"/>
      <c r="LE10" s="3936"/>
      <c r="LF10" s="3936"/>
      <c r="LG10" s="3936"/>
      <c r="LH10" s="3936"/>
      <c r="LI10" s="3936"/>
      <c r="LJ10" s="3936"/>
      <c r="LK10" s="3936"/>
      <c r="LL10" s="3936"/>
      <c r="LM10" s="3936"/>
      <c r="LN10" s="3936"/>
      <c r="LO10" s="3936"/>
      <c r="LP10" s="3936"/>
      <c r="LQ10" s="3936"/>
      <c r="LR10" s="3936"/>
      <c r="LS10" s="3936"/>
      <c r="LT10" s="3936"/>
      <c r="LU10" s="3936"/>
      <c r="LV10" s="3936"/>
      <c r="LW10" s="3936"/>
      <c r="LX10" s="3936"/>
      <c r="LY10" s="3936"/>
      <c r="LZ10" s="3936"/>
      <c r="MA10" s="3936"/>
      <c r="MB10" s="3936"/>
      <c r="MC10" s="3936"/>
      <c r="MD10" s="3936"/>
      <c r="ME10" s="3936"/>
      <c r="MF10" s="3936"/>
      <c r="MG10" s="3936"/>
      <c r="MH10" s="3936"/>
      <c r="MI10" s="3936"/>
      <c r="MJ10" s="3936"/>
      <c r="MK10" s="3956"/>
      <c r="ML10" s="3956"/>
      <c r="MM10" s="3956"/>
      <c r="MN10" s="3956"/>
      <c r="MO10" s="3956"/>
      <c r="MP10" s="3936"/>
      <c r="MQ10" s="3936"/>
      <c r="MR10" s="3936"/>
      <c r="MS10" s="3936"/>
      <c r="MT10" s="3936"/>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2"/>
      <c r="U11" s="3883"/>
      <c r="V11" s="3883"/>
      <c r="W11" s="3884"/>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2"/>
      <c r="U12" s="3863"/>
      <c r="V12" s="3863"/>
      <c r="W12" s="3864"/>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2"/>
      <c r="U13" s="3863"/>
      <c r="V13" s="3863"/>
      <c r="W13" s="3864"/>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2"/>
      <c r="U14" s="3863"/>
      <c r="V14" s="3863"/>
      <c r="W14" s="3864"/>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2"/>
      <c r="U15" s="3863"/>
      <c r="V15" s="3863"/>
      <c r="W15" s="3864"/>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2"/>
      <c r="U16" s="3863"/>
      <c r="V16" s="3863"/>
      <c r="W16" s="3864"/>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 customHeight="1" thickBot="1">
      <c r="A17" s="110">
        <f t="shared" si="0"/>
        <v>1</v>
      </c>
      <c r="B17" s="1387" t="s">
        <v>290</v>
      </c>
      <c r="C17" s="1390">
        <v>1</v>
      </c>
      <c r="D17" s="2303">
        <v>1</v>
      </c>
      <c r="E17" s="1391">
        <v>8</v>
      </c>
      <c r="F17" s="1391">
        <v>650</v>
      </c>
      <c r="G17" s="1391" t="s">
        <v>2815</v>
      </c>
      <c r="H17" s="1391">
        <v>1150</v>
      </c>
      <c r="I17" s="1391"/>
      <c r="J17" s="1825"/>
      <c r="K17" s="1410"/>
      <c r="L17" s="1411">
        <f t="shared" si="1"/>
        <v>1150</v>
      </c>
      <c r="M17" s="1411">
        <f t="shared" si="2"/>
        <v>9200</v>
      </c>
      <c r="N17" s="1412" t="s">
        <v>2654</v>
      </c>
      <c r="O17" s="2223" t="s">
        <v>6924</v>
      </c>
      <c r="P17" s="1412" t="s">
        <v>2121</v>
      </c>
      <c r="Q17" s="1413" t="s">
        <v>2654</v>
      </c>
      <c r="R17" s="940"/>
      <c r="S17" s="941"/>
      <c r="T17" s="3862"/>
      <c r="U17" s="3863"/>
      <c r="V17" s="3863"/>
      <c r="W17" s="3864"/>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f t="shared" si="39"/>
        <v>8</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f t="shared" si="154"/>
        <v>5200</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f t="shared" si="174"/>
        <v>8</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f t="shared" si="214"/>
        <v>8</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f t="shared" si="264"/>
        <v>8</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8</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6419</v>
      </c>
    </row>
    <row r="18" spans="1:380" ht="13.9" customHeight="1">
      <c r="A18" s="110">
        <f t="shared" si="0"/>
        <v>1</v>
      </c>
      <c r="B18" s="1423">
        <v>50</v>
      </c>
      <c r="C18" s="1388">
        <v>1</v>
      </c>
      <c r="D18" s="2304">
        <v>1</v>
      </c>
      <c r="E18" s="1389">
        <v>20</v>
      </c>
      <c r="F18" s="1389">
        <v>650</v>
      </c>
      <c r="G18" s="1389">
        <v>808</v>
      </c>
      <c r="H18" s="1389">
        <v>808</v>
      </c>
      <c r="I18" s="1389"/>
      <c r="J18" s="1405">
        <f>IF(C18="",0,HLOOKUP(C18,'Part IV-Utility Allowances'!$I$11:$M$22,12))</f>
        <v>0</v>
      </c>
      <c r="K18" s="1406"/>
      <c r="L18" s="1407">
        <f t="shared" si="1"/>
        <v>808</v>
      </c>
      <c r="M18" s="1407">
        <f t="shared" si="2"/>
        <v>16160</v>
      </c>
      <c r="N18" s="1408" t="s">
        <v>2654</v>
      </c>
      <c r="O18" s="2224" t="s">
        <v>6924</v>
      </c>
      <c r="P18" s="1408" t="s">
        <v>2121</v>
      </c>
      <c r="Q18" s="1409" t="s">
        <v>2654</v>
      </c>
      <c r="R18" s="940"/>
      <c r="S18" s="941"/>
      <c r="T18" s="3862"/>
      <c r="U18" s="3863"/>
      <c r="V18" s="3863"/>
      <c r="W18" s="3864"/>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20</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13000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20</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20</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20</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20</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 customHeight="1">
      <c r="A19" s="110">
        <f t="shared" si="0"/>
        <v>1</v>
      </c>
      <c r="B19" s="1424">
        <v>60</v>
      </c>
      <c r="C19" s="167">
        <v>1</v>
      </c>
      <c r="D19" s="2302">
        <v>1</v>
      </c>
      <c r="E19" s="168">
        <v>32</v>
      </c>
      <c r="F19" s="168">
        <v>650</v>
      </c>
      <c r="G19" s="168">
        <v>970</v>
      </c>
      <c r="H19" s="168">
        <v>970</v>
      </c>
      <c r="I19" s="168"/>
      <c r="J19" s="959">
        <f>IF(C19="",0,HLOOKUP(C19,'Part IV-Utility Allowances'!$I$11:$M$22,12))</f>
        <v>0</v>
      </c>
      <c r="K19" s="826"/>
      <c r="L19" s="601">
        <f t="shared" si="1"/>
        <v>970</v>
      </c>
      <c r="M19" s="601">
        <f t="shared" si="2"/>
        <v>31040</v>
      </c>
      <c r="N19" s="890" t="s">
        <v>2654</v>
      </c>
      <c r="O19" s="2222" t="s">
        <v>6924</v>
      </c>
      <c r="P19" s="890" t="s">
        <v>2121</v>
      </c>
      <c r="Q19" s="169" t="s">
        <v>2654</v>
      </c>
      <c r="R19" s="940"/>
      <c r="S19" s="941"/>
      <c r="T19" s="3862"/>
      <c r="U19" s="3863"/>
      <c r="V19" s="3863"/>
      <c r="W19" s="3864"/>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32</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20800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32</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32</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32</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32</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 customHeight="1">
      <c r="A20" s="110" t="str">
        <f t="shared" si="0"/>
        <v/>
      </c>
      <c r="B20" s="1424"/>
      <c r="C20" s="167"/>
      <c r="D20" s="2302"/>
      <c r="E20" s="168"/>
      <c r="F20" s="168"/>
      <c r="G20" s="168"/>
      <c r="H20" s="168"/>
      <c r="I20" s="168"/>
      <c r="J20" s="959">
        <f>IF(C20="",0,HLOOKUP(C20,'Part IV-Utility Allowances'!$I$11:$M$22,12))</f>
        <v>0</v>
      </c>
      <c r="K20" s="826"/>
      <c r="L20" s="601">
        <f t="shared" si="1"/>
        <v>0</v>
      </c>
      <c r="M20" s="601">
        <f t="shared" si="2"/>
        <v>0</v>
      </c>
      <c r="N20" s="890"/>
      <c r="O20" s="2222"/>
      <c r="P20" s="890"/>
      <c r="Q20" s="169"/>
      <c r="R20" s="940"/>
      <c r="S20" s="941"/>
      <c r="T20" s="3862"/>
      <c r="U20" s="3863"/>
      <c r="V20" s="3863"/>
      <c r="W20" s="3864"/>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6422</v>
      </c>
    </row>
    <row r="21" spans="1:380" ht="13.9" customHeight="1">
      <c r="A21" s="110" t="str">
        <f t="shared" si="0"/>
        <v/>
      </c>
      <c r="B21" s="1424"/>
      <c r="C21" s="167"/>
      <c r="D21" s="2302"/>
      <c r="E21" s="168"/>
      <c r="F21" s="168"/>
      <c r="G21" s="168"/>
      <c r="H21" s="168"/>
      <c r="I21" s="168"/>
      <c r="J21" s="959">
        <f>IF(C21="",0,HLOOKUP(C21,'Part IV-Utility Allowances'!$I$11:$M$22,12))</f>
        <v>0</v>
      </c>
      <c r="K21" s="826"/>
      <c r="L21" s="601">
        <f t="shared" si="1"/>
        <v>0</v>
      </c>
      <c r="M21" s="601">
        <f t="shared" si="2"/>
        <v>0</v>
      </c>
      <c r="N21" s="890"/>
      <c r="O21" s="2222"/>
      <c r="P21" s="890"/>
      <c r="Q21" s="169"/>
      <c r="R21" s="940"/>
      <c r="S21" s="941"/>
      <c r="T21" s="3862"/>
      <c r="U21" s="3863"/>
      <c r="V21" s="3863"/>
      <c r="W21" s="3864"/>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 customHeight="1">
      <c r="A22" s="110" t="str">
        <f t="shared" si="0"/>
        <v/>
      </c>
      <c r="B22" s="1424"/>
      <c r="C22" s="167"/>
      <c r="D22" s="2302"/>
      <c r="E22" s="168"/>
      <c r="F22" s="168"/>
      <c r="G22" s="168"/>
      <c r="H22" s="168"/>
      <c r="I22" s="168"/>
      <c r="J22" s="959">
        <f>IF(C22="",0,HLOOKUP(C22,'Part IV-Utility Allowances'!$I$11:$M$22,12))</f>
        <v>0</v>
      </c>
      <c r="K22" s="826"/>
      <c r="L22" s="601">
        <f t="shared" si="1"/>
        <v>0</v>
      </c>
      <c r="M22" s="601">
        <f t="shared" si="2"/>
        <v>0</v>
      </c>
      <c r="N22" s="890"/>
      <c r="O22" s="2222"/>
      <c r="P22" s="890"/>
      <c r="Q22" s="169"/>
      <c r="R22" s="940"/>
      <c r="S22" s="941"/>
      <c r="T22" s="3862"/>
      <c r="U22" s="3863"/>
      <c r="V22" s="3863"/>
      <c r="W22" s="3864"/>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0</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 customHeight="1">
      <c r="A23" s="110" t="str">
        <f t="shared" si="0"/>
        <v/>
      </c>
      <c r="B23" s="1424"/>
      <c r="C23" s="167"/>
      <c r="D23" s="2302"/>
      <c r="E23" s="168"/>
      <c r="F23" s="168"/>
      <c r="G23" s="168"/>
      <c r="H23" s="168"/>
      <c r="I23" s="168"/>
      <c r="J23" s="959">
        <f>IF(C23="",0,HLOOKUP(C23,'Part IV-Utility Allowances'!$I$11:$M$22,12))</f>
        <v>0</v>
      </c>
      <c r="K23" s="826"/>
      <c r="L23" s="601">
        <f t="shared" si="1"/>
        <v>0</v>
      </c>
      <c r="M23" s="601">
        <f t="shared" si="2"/>
        <v>0</v>
      </c>
      <c r="N23" s="890"/>
      <c r="O23" s="2222"/>
      <c r="P23" s="890"/>
      <c r="Q23" s="169"/>
      <c r="R23" s="940"/>
      <c r="S23" s="941"/>
      <c r="T23" s="3862"/>
      <c r="U23" s="3863"/>
      <c r="V23" s="3863"/>
      <c r="W23" s="3864"/>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6425</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2"/>
      <c r="U24" s="3863"/>
      <c r="V24" s="3863"/>
      <c r="W24" s="3864"/>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2"/>
      <c r="U25" s="3863"/>
      <c r="V25" s="3863"/>
      <c r="W25" s="3864"/>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2"/>
      <c r="U26" s="3863"/>
      <c r="V26" s="3863"/>
      <c r="W26" s="3864"/>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6428</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2"/>
      <c r="U27" s="3863"/>
      <c r="V27" s="3863"/>
      <c r="W27" s="3864"/>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2"/>
      <c r="U28" s="3863"/>
      <c r="V28" s="3863"/>
      <c r="W28" s="3864"/>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2"/>
      <c r="U29" s="3863"/>
      <c r="V29" s="3863"/>
      <c r="W29" s="3864"/>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2"/>
      <c r="U30" s="3863"/>
      <c r="V30" s="3863"/>
      <c r="W30" s="3864"/>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2"/>
      <c r="U31" s="3863"/>
      <c r="V31" s="3863"/>
      <c r="W31" s="3864"/>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2"/>
      <c r="U32" s="3863"/>
      <c r="V32" s="3863"/>
      <c r="W32" s="3864"/>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2"/>
      <c r="U33" s="3863"/>
      <c r="V33" s="3863"/>
      <c r="W33" s="3864"/>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2"/>
      <c r="U34" s="3863"/>
      <c r="V34" s="3863"/>
      <c r="W34" s="3864"/>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2"/>
      <c r="U35" s="3863"/>
      <c r="V35" s="3863"/>
      <c r="W35" s="3864"/>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2"/>
      <c r="U36" s="3863"/>
      <c r="V36" s="3863"/>
      <c r="W36" s="3864"/>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2"/>
      <c r="U37" s="3863"/>
      <c r="V37" s="3863"/>
      <c r="W37" s="3864"/>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2"/>
      <c r="U38" s="3863"/>
      <c r="V38" s="3863"/>
      <c r="W38" s="3864"/>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2"/>
      <c r="U39" s="3863"/>
      <c r="V39" s="3863"/>
      <c r="W39" s="3864"/>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2"/>
      <c r="U40" s="3863"/>
      <c r="V40" s="3863"/>
      <c r="W40" s="3864"/>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2"/>
      <c r="U41" s="3863"/>
      <c r="V41" s="3863"/>
      <c r="W41" s="3864"/>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2"/>
      <c r="U42" s="3863"/>
      <c r="V42" s="3863"/>
      <c r="W42" s="3864"/>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2"/>
      <c r="U43" s="3863"/>
      <c r="V43" s="3863"/>
      <c r="W43" s="3864"/>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2"/>
      <c r="U44" s="3863"/>
      <c r="V44" s="3863"/>
      <c r="W44" s="3864"/>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2"/>
      <c r="U45" s="3863"/>
      <c r="V45" s="3863"/>
      <c r="W45" s="3864"/>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2"/>
      <c r="U46" s="3863"/>
      <c r="V46" s="3863"/>
      <c r="W46" s="3864"/>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2"/>
      <c r="U47" s="3863"/>
      <c r="V47" s="3863"/>
      <c r="W47" s="3864"/>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68"/>
      <c r="U48" s="3869"/>
      <c r="V48" s="3869"/>
      <c r="W48" s="3870"/>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 customHeight="1">
      <c r="A49" s="1826">
        <f>COUNT(A11,A12,A13,A14,A15,A16,A17,A18,A19,A20,A21,A22,A23,A24,A25,A26,A27,A28,A29,A30,A31,A32,A33,A34,A35,A36,A37,A38,A39,A40)</f>
        <v>3</v>
      </c>
      <c r="B49" s="3940" t="s">
        <v>3771</v>
      </c>
      <c r="C49" s="3941"/>
      <c r="D49" s="139" t="s">
        <v>955</v>
      </c>
      <c r="E49" s="1418">
        <f>SUM(E11:E48)</f>
        <v>60</v>
      </c>
      <c r="F49" s="1416">
        <f>(E11*F11+E12*F12+E13*F13+E14*F14+E15*F15+E16*F16+E17*F17+E18*F18+E19*F19+E20*F20+E21*F21+E22*F22+E23*F23+E24*F24+E25*F25+E26*F26+E27*F27+E28*F28+E29*F29+E30*F30+E31*F31+E32*F32+E33*F33+E34*F34+E35*F35+E36*F36+E37*F37+E38*F38+E39*F39+E40*F40+E41*F41+E42*F42+E43*F43+E44*F44+E45*F45+E46*F46+E47*F47+E48*F48)</f>
        <v>39000</v>
      </c>
      <c r="H49" s="3874" t="s">
        <v>3768</v>
      </c>
      <c r="I49" s="1419" t="s">
        <v>3769</v>
      </c>
      <c r="J49" s="1420" t="str">
        <f>IF(P67=0,"",IF(SUM(P58:P62)/P67&gt;=0.4,"Pass","Fail"))</f>
        <v>Pass</v>
      </c>
      <c r="K49" s="585"/>
      <c r="L49" s="894" t="s">
        <v>1226</v>
      </c>
      <c r="M49" s="124">
        <f>SUM(M11:M48)</f>
        <v>56400</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32</v>
      </c>
      <c r="AJ49" s="2300">
        <f t="shared" si="339"/>
        <v>0</v>
      </c>
      <c r="AK49" s="2300">
        <f t="shared" si="339"/>
        <v>0</v>
      </c>
      <c r="AL49" s="2300">
        <f t="shared" si="339"/>
        <v>0</v>
      </c>
      <c r="AM49" s="2300">
        <f>SUM(AM11:AM48)</f>
        <v>0</v>
      </c>
      <c r="AN49" s="2300">
        <f>SUM(AN11:AN48)</f>
        <v>20</v>
      </c>
      <c r="AO49" s="2300">
        <f>SUM(AO11:AO48)</f>
        <v>0</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8</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20800</v>
      </c>
      <c r="EU49" s="2300">
        <f t="shared" si="342"/>
        <v>0</v>
      </c>
      <c r="EV49" s="2300">
        <f t="shared" si="342"/>
        <v>0</v>
      </c>
      <c r="EW49" s="2300">
        <f t="shared" si="342"/>
        <v>0</v>
      </c>
      <c r="EX49" s="2300">
        <f t="shared" si="338"/>
        <v>0</v>
      </c>
      <c r="EY49" s="2300">
        <f t="shared" si="338"/>
        <v>13000</v>
      </c>
      <c r="EZ49" s="2300">
        <f t="shared" si="338"/>
        <v>0</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5200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52</v>
      </c>
      <c r="GI49" s="2300">
        <f t="shared" si="343"/>
        <v>0</v>
      </c>
      <c r="GJ49" s="2300">
        <f t="shared" si="343"/>
        <v>0</v>
      </c>
      <c r="GK49" s="2300">
        <f t="shared" si="343"/>
        <v>0</v>
      </c>
      <c r="GL49" s="2300">
        <f t="shared" si="343"/>
        <v>0</v>
      </c>
      <c r="GM49" s="2300">
        <f t="shared" si="343"/>
        <v>8</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60</v>
      </c>
      <c r="IB49" s="2300">
        <f t="shared" si="344"/>
        <v>0</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60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60</v>
      </c>
      <c r="MM49" s="2300">
        <f t="shared" si="350"/>
        <v>0</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 customHeight="1">
      <c r="B50" s="3944">
        <f>IF(SUM(E18:E48)=0,"",(B18*E18+B19*E19+B20*E20+B21*E21+B22*E22+B23*E23+B24*E24+B25*E25+B26*E26+B27*E27+B28*E28+B29*E29+B30*E30+B31*E31+B32*E32+B33*E33+B34*E34+B35*E35+B36*E36+B37*E37+B38*E38+B39*E39+B40*E40+B41*E41+B42*E42+B43*E43+B44*E44+B45*E45+B46*E46+B47*E47+B48*E48)/SUM(E18:E48))</f>
        <v>56.153846153846153</v>
      </c>
      <c r="C50" s="3945"/>
      <c r="D50" s="1383" t="s">
        <v>3678</v>
      </c>
      <c r="E50" s="1415">
        <f>SUM(E18:E48)</f>
        <v>52</v>
      </c>
      <c r="F50" s="1417">
        <f>(E18*F18+E19*F19+E20*F20+E21*F21+E22*F22+E23*F23+E24*F24+E25*F25+E26*F26+E27*F27+E28*F28+E29*F29+E30*F30+E31*F31+E32*F32+E33*F33+E34*F34+E35*F35+E36*F36+E37*F37+E38*F38+E39*F39+E40*F40+E41*F41+E42*F42+E43*F43+E44*F44+E45*F45+E46*F46+E47*F47+E48*F48)</f>
        <v>33800</v>
      </c>
      <c r="H50" s="3875"/>
      <c r="I50" s="1421" t="s">
        <v>3770</v>
      </c>
      <c r="J50" s="1422" t="str">
        <f>IF(P67=0,"",IF(SUM(P59:P62)/P67&gt;=0.2,"Pass","Fail"))</f>
        <v>Pass</v>
      </c>
      <c r="K50" s="585"/>
      <c r="L50" s="139" t="s">
        <v>757</v>
      </c>
      <c r="M50" s="124">
        <f>M49*12</f>
        <v>676800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971" t="s">
        <v>2409</v>
      </c>
      <c r="B51" s="3972"/>
      <c r="C51" s="3972"/>
      <c r="D51" s="3972"/>
      <c r="E51" s="3972"/>
      <c r="F51" s="3972"/>
      <c r="G51" s="3972"/>
      <c r="H51" s="3972"/>
      <c r="I51" s="3972"/>
      <c r="J51" s="3972"/>
      <c r="K51" s="3972"/>
      <c r="L51" s="3972"/>
      <c r="M51" s="3972"/>
      <c r="N51" s="3972"/>
      <c r="O51" s="3972"/>
      <c r="P51" s="3972"/>
      <c r="Q51" s="3972"/>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2"/>
      <c r="B52" s="3972"/>
      <c r="C52" s="3972"/>
      <c r="D52" s="3972"/>
      <c r="E52" s="3972"/>
      <c r="F52" s="3972"/>
      <c r="G52" s="3972"/>
      <c r="H52" s="3972"/>
      <c r="I52" s="3972"/>
      <c r="J52" s="3972"/>
      <c r="K52" s="3972"/>
      <c r="L52" s="3972"/>
      <c r="M52" s="3972"/>
      <c r="N52" s="3972"/>
      <c r="O52" s="3972"/>
      <c r="P52" s="3972"/>
      <c r="Q52" s="3972"/>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5" customHeight="1">
      <c r="A53" s="13" t="s">
        <v>689</v>
      </c>
      <c r="B53" s="13" t="s">
        <v>499</v>
      </c>
      <c r="K53" s="2539" t="s">
        <v>6650</v>
      </c>
      <c r="O53" s="3946" t="s">
        <v>6925</v>
      </c>
      <c r="P53" s="3947"/>
      <c r="S53" s="3942" t="str">
        <f>B53</f>
        <v>UNIT SUMMARY</v>
      </c>
      <c r="T53" s="3942"/>
      <c r="U53" s="3942"/>
      <c r="V53" s="3942"/>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3876" t="s">
        <v>2654</v>
      </c>
      <c r="P54" s="3877"/>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5" customHeight="1">
      <c r="A55" s="13"/>
      <c r="B55" s="13" t="s">
        <v>6499</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56" t="s">
        <v>4080</v>
      </c>
      <c r="B56" s="3856"/>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969" t="s">
        <v>3187</v>
      </c>
      <c r="R56" s="1156"/>
      <c r="S56" s="3888"/>
      <c r="T56" s="3889"/>
      <c r="U56" s="3889"/>
      <c r="V56" s="3889"/>
      <c r="W56" s="3890"/>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56"/>
      <c r="B57" s="3856"/>
      <c r="C57" s="94"/>
      <c r="D57" s="1"/>
      <c r="E57" s="1"/>
      <c r="F57" s="1"/>
      <c r="G57" s="83"/>
      <c r="H57" s="111" t="s">
        <v>3680</v>
      </c>
      <c r="I57" s="36"/>
      <c r="J57" s="83"/>
      <c r="K57" s="1432">
        <f>AC49</f>
        <v>0</v>
      </c>
      <c r="L57" s="1433">
        <f>AD49</f>
        <v>0</v>
      </c>
      <c r="M57" s="1433">
        <f>AE49</f>
        <v>0</v>
      </c>
      <c r="N57" s="1433">
        <f>AF49</f>
        <v>0</v>
      </c>
      <c r="O57" s="1434">
        <f>AG49</f>
        <v>0</v>
      </c>
      <c r="P57" s="946">
        <f t="shared" si="351"/>
        <v>0</v>
      </c>
      <c r="Q57" s="3969"/>
      <c r="R57" s="1384"/>
      <c r="S57" s="3862"/>
      <c r="T57" s="3863"/>
      <c r="U57" s="3863"/>
      <c r="V57" s="3863"/>
      <c r="W57" s="3864"/>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56"/>
      <c r="B58" s="3856"/>
      <c r="C58" s="94"/>
      <c r="D58" s="1"/>
      <c r="E58" s="1"/>
      <c r="F58" s="1"/>
      <c r="G58" s="83"/>
      <c r="H58" s="111" t="s">
        <v>1082</v>
      </c>
      <c r="I58" s="36"/>
      <c r="J58" s="83"/>
      <c r="K58" s="1432">
        <f>AH49</f>
        <v>0</v>
      </c>
      <c r="L58" s="1433">
        <f>AI49</f>
        <v>32</v>
      </c>
      <c r="M58" s="1433">
        <f>AJ49</f>
        <v>0</v>
      </c>
      <c r="N58" s="1433">
        <f>AK49</f>
        <v>0</v>
      </c>
      <c r="O58" s="1434">
        <f>AL49</f>
        <v>0</v>
      </c>
      <c r="P58" s="946">
        <f t="shared" si="351"/>
        <v>32</v>
      </c>
      <c r="Q58" s="3969"/>
      <c r="R58" s="1384"/>
      <c r="S58" s="3862"/>
      <c r="T58" s="3863"/>
      <c r="U58" s="3863"/>
      <c r="V58" s="3863"/>
      <c r="W58" s="3864"/>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56"/>
      <c r="B59" s="3856"/>
      <c r="C59" s="94"/>
      <c r="D59" s="1"/>
      <c r="E59" s="1"/>
      <c r="F59" s="1"/>
      <c r="G59" s="83"/>
      <c r="H59" s="104" t="s">
        <v>112</v>
      </c>
      <c r="I59" s="52"/>
      <c r="J59" s="1169"/>
      <c r="K59" s="1453">
        <f>AM49</f>
        <v>0</v>
      </c>
      <c r="L59" s="1454">
        <f>AN49</f>
        <v>20</v>
      </c>
      <c r="M59" s="1454">
        <f>AO49</f>
        <v>0</v>
      </c>
      <c r="N59" s="1454">
        <f>AP49</f>
        <v>0</v>
      </c>
      <c r="O59" s="1455">
        <f>AQ49</f>
        <v>0</v>
      </c>
      <c r="P59" s="606">
        <f t="shared" si="351"/>
        <v>20</v>
      </c>
      <c r="Q59" s="3969"/>
      <c r="R59" s="1384"/>
      <c r="S59" s="3862"/>
      <c r="T59" s="3863"/>
      <c r="U59" s="3863"/>
      <c r="V59" s="3863"/>
      <c r="W59" s="3864"/>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56"/>
      <c r="B60" s="3856"/>
      <c r="C60" s="94"/>
      <c r="D60" s="1"/>
      <c r="E60" s="1"/>
      <c r="F60" s="1"/>
      <c r="G60" s="83"/>
      <c r="H60" s="104" t="s">
        <v>3681</v>
      </c>
      <c r="I60" s="52"/>
      <c r="J60" s="1169"/>
      <c r="K60" s="1432">
        <f>AR49</f>
        <v>0</v>
      </c>
      <c r="L60" s="1433">
        <f>AS49</f>
        <v>0</v>
      </c>
      <c r="M60" s="1433">
        <f>AT49</f>
        <v>0</v>
      </c>
      <c r="N60" s="1433">
        <f>AU49</f>
        <v>0</v>
      </c>
      <c r="O60" s="1434">
        <f>AV49</f>
        <v>0</v>
      </c>
      <c r="P60" s="946">
        <f t="shared" si="351"/>
        <v>0</v>
      </c>
      <c r="Q60" s="3969"/>
      <c r="R60" s="1384"/>
      <c r="S60" s="3862"/>
      <c r="T60" s="3863"/>
      <c r="U60" s="3863"/>
      <c r="V60" s="3863"/>
      <c r="W60" s="3864"/>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56"/>
      <c r="B61" s="3856"/>
      <c r="C61" s="94"/>
      <c r="D61" s="1"/>
      <c r="E61" s="1"/>
      <c r="F61" s="1"/>
      <c r="G61" s="83"/>
      <c r="H61" s="111" t="s">
        <v>3682</v>
      </c>
      <c r="I61" s="36"/>
      <c r="J61" s="83"/>
      <c r="K61" s="1432">
        <f>AW49</f>
        <v>0</v>
      </c>
      <c r="L61" s="1433">
        <f>AX49</f>
        <v>0</v>
      </c>
      <c r="M61" s="1433">
        <f>AY49</f>
        <v>0</v>
      </c>
      <c r="N61" s="1433">
        <f>AZ49</f>
        <v>0</v>
      </c>
      <c r="O61" s="1434">
        <f>BA49</f>
        <v>0</v>
      </c>
      <c r="P61" s="946">
        <f t="shared" si="351"/>
        <v>0</v>
      </c>
      <c r="Q61" s="3969"/>
      <c r="R61" s="1384"/>
      <c r="S61" s="3862"/>
      <c r="T61" s="3863"/>
      <c r="U61" s="3863"/>
      <c r="V61" s="3863"/>
      <c r="W61" s="3864"/>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56"/>
      <c r="B62" s="3856"/>
      <c r="C62" s="4"/>
      <c r="D62" s="1"/>
      <c r="E62" s="1"/>
      <c r="F62" s="1"/>
      <c r="G62" s="83"/>
      <c r="H62" s="111" t="s">
        <v>3683</v>
      </c>
      <c r="I62" s="36"/>
      <c r="J62" s="83"/>
      <c r="K62" s="1435">
        <f>BB49</f>
        <v>0</v>
      </c>
      <c r="L62" s="1436">
        <f>BC49</f>
        <v>0</v>
      </c>
      <c r="M62" s="1436">
        <f>BD49</f>
        <v>0</v>
      </c>
      <c r="N62" s="1436">
        <f>BE49</f>
        <v>0</v>
      </c>
      <c r="O62" s="1437">
        <f>BF49</f>
        <v>0</v>
      </c>
      <c r="P62" s="606">
        <f t="shared" si="351"/>
        <v>0</v>
      </c>
      <c r="Q62" s="3969"/>
      <c r="R62" s="1156"/>
      <c r="S62" s="3862"/>
      <c r="T62" s="3863"/>
      <c r="U62" s="3863"/>
      <c r="V62" s="3863"/>
      <c r="W62" s="3864"/>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56"/>
      <c r="B63" s="3856"/>
      <c r="C63" s="111" t="s">
        <v>3765</v>
      </c>
      <c r="D63" s="1"/>
      <c r="E63" s="1"/>
      <c r="F63" s="1"/>
      <c r="G63" s="83"/>
      <c r="H63" s="90"/>
      <c r="I63" s="55"/>
      <c r="J63" s="83"/>
      <c r="K63" s="1397">
        <f>SUM(K56:K62)</f>
        <v>0</v>
      </c>
      <c r="L63" s="1397">
        <f>SUM(L56:L62)</f>
        <v>52</v>
      </c>
      <c r="M63" s="1397">
        <f>SUM(M56:M62)</f>
        <v>0</v>
      </c>
      <c r="N63" s="1397">
        <f>SUM(N56:N62)</f>
        <v>0</v>
      </c>
      <c r="O63" s="1397">
        <f>SUM(O56:O62)</f>
        <v>0</v>
      </c>
      <c r="P63" s="1397">
        <f t="shared" si="351"/>
        <v>52</v>
      </c>
      <c r="Q63" s="3970"/>
      <c r="S63" s="3862"/>
      <c r="T63" s="3863"/>
      <c r="U63" s="3863"/>
      <c r="V63" s="3863"/>
      <c r="W63" s="3864"/>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56"/>
      <c r="B64" s="3856"/>
      <c r="D64" s="1"/>
      <c r="E64" s="1"/>
      <c r="F64" s="1"/>
      <c r="G64" s="83"/>
      <c r="H64" s="111" t="s">
        <v>290</v>
      </c>
      <c r="I64" s="36"/>
      <c r="J64" s="83"/>
      <c r="K64" s="947">
        <f>BG49</f>
        <v>0</v>
      </c>
      <c r="L64" s="947">
        <f>BH49</f>
        <v>8</v>
      </c>
      <c r="M64" s="947">
        <f>BI49</f>
        <v>0</v>
      </c>
      <c r="N64" s="947">
        <f>BJ49</f>
        <v>0</v>
      </c>
      <c r="O64" s="947">
        <f>BK49</f>
        <v>0</v>
      </c>
      <c r="P64" s="947">
        <f t="shared" si="351"/>
        <v>8</v>
      </c>
      <c r="S64" s="3862"/>
      <c r="T64" s="3863"/>
      <c r="U64" s="3863"/>
      <c r="V64" s="3863"/>
      <c r="W64" s="3864"/>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56"/>
      <c r="B65" s="3856"/>
      <c r="C65" s="1402" t="s">
        <v>1071</v>
      </c>
      <c r="D65" s="1402"/>
      <c r="E65" s="1402"/>
      <c r="F65" s="1402"/>
      <c r="G65" s="1403"/>
      <c r="H65" s="1834"/>
      <c r="I65" s="49"/>
      <c r="J65" s="1403"/>
      <c r="K65" s="1404">
        <f>SUM(K63:K64)</f>
        <v>0</v>
      </c>
      <c r="L65" s="1404">
        <f>SUM(L63:L64)</f>
        <v>60</v>
      </c>
      <c r="M65" s="1404">
        <f>SUM(M63:M64)</f>
        <v>0</v>
      </c>
      <c r="N65" s="1404">
        <f>SUM(N63:N64)</f>
        <v>0</v>
      </c>
      <c r="O65" s="1404">
        <f>SUM(O63:O64)</f>
        <v>0</v>
      </c>
      <c r="P65" s="1404">
        <f t="shared" si="351"/>
        <v>60</v>
      </c>
      <c r="S65" s="3862"/>
      <c r="T65" s="3863"/>
      <c r="U65" s="3863"/>
      <c r="V65" s="3863"/>
      <c r="W65" s="3864"/>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56"/>
      <c r="B66" s="3856"/>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2"/>
      <c r="T66" s="3863"/>
      <c r="U66" s="3863"/>
      <c r="V66" s="3863"/>
      <c r="W66" s="3864"/>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56"/>
      <c r="B67" s="3856"/>
      <c r="C67" s="4" t="s">
        <v>1668</v>
      </c>
      <c r="D67" s="1"/>
      <c r="E67" s="1"/>
      <c r="F67" s="1"/>
      <c r="G67" s="83"/>
      <c r="H67" s="111"/>
      <c r="I67" s="36"/>
      <c r="J67" s="83"/>
      <c r="K67" s="1396">
        <f>SUM(K65:K66)</f>
        <v>0</v>
      </c>
      <c r="L67" s="1396">
        <f>SUM(L65:L66)</f>
        <v>60</v>
      </c>
      <c r="M67" s="1396">
        <f>SUM(M65:M66)</f>
        <v>0</v>
      </c>
      <c r="N67" s="1396">
        <f>SUM(N65:N66)</f>
        <v>0</v>
      </c>
      <c r="O67" s="1396">
        <f>SUM(O65:O66)</f>
        <v>0</v>
      </c>
      <c r="P67" s="1396">
        <f t="shared" si="351"/>
        <v>60</v>
      </c>
      <c r="S67" s="3868"/>
      <c r="T67" s="3869"/>
      <c r="U67" s="3869"/>
      <c r="V67" s="3869"/>
      <c r="W67" s="3870"/>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856"/>
      <c r="B68" s="3856"/>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56"/>
      <c r="B69" s="3856"/>
      <c r="C69" s="3939" t="s">
        <v>3774</v>
      </c>
      <c r="D69" s="3939"/>
      <c r="E69" s="3939"/>
      <c r="F69" s="3939"/>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856"/>
      <c r="B70" s="3856"/>
      <c r="C70" s="3939"/>
      <c r="D70" s="3939"/>
      <c r="E70" s="3939"/>
      <c r="F70" s="3939"/>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88"/>
      <c r="T70" s="3889"/>
      <c r="U70" s="3889"/>
      <c r="V70" s="3889"/>
      <c r="W70" s="3890"/>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ht="12.5">
      <c r="A71" s="3856"/>
      <c r="B71" s="3856"/>
      <c r="C71" s="1789"/>
      <c r="D71" s="8"/>
      <c r="E71" s="8"/>
      <c r="F71" s="8"/>
      <c r="G71" s="8"/>
      <c r="H71" s="1836" t="s">
        <v>6492</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2"/>
      <c r="T71" s="3863"/>
      <c r="U71" s="3863"/>
      <c r="V71" s="3863"/>
      <c r="W71" s="3864"/>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ht="12.5">
      <c r="A72" s="3856"/>
      <c r="B72" s="3856"/>
      <c r="C72" s="1789"/>
      <c r="D72" s="8"/>
      <c r="E72" s="8"/>
      <c r="F72" s="8"/>
      <c r="G72" s="1914"/>
      <c r="H72" s="1837" t="s">
        <v>6493</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2"/>
      <c r="T72" s="3863"/>
      <c r="U72" s="3863"/>
      <c r="V72" s="3863"/>
      <c r="W72" s="3864"/>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56"/>
      <c r="B73" s="3856"/>
      <c r="C73" s="1789"/>
      <c r="D73" s="3973" t="s">
        <v>4073</v>
      </c>
      <c r="E73" s="3973"/>
      <c r="F73" s="3973"/>
      <c r="G73" s="8"/>
      <c r="H73" s="1836" t="s">
        <v>3680</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2"/>
      <c r="T73" s="3863"/>
      <c r="U73" s="3863"/>
      <c r="V73" s="3863"/>
      <c r="W73" s="3864"/>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ht="12.5">
      <c r="C74" s="1789"/>
      <c r="D74" s="3973"/>
      <c r="E74" s="3973"/>
      <c r="F74" s="3973"/>
      <c r="G74" s="8"/>
      <c r="H74" s="1836" t="s">
        <v>6492</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2"/>
      <c r="T74" s="3863"/>
      <c r="U74" s="3863"/>
      <c r="V74" s="3863"/>
      <c r="W74" s="3864"/>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ht="12.5">
      <c r="C75" s="1789"/>
      <c r="D75" s="3973"/>
      <c r="E75" s="3973"/>
      <c r="F75" s="3973"/>
      <c r="G75" s="1914"/>
      <c r="H75" s="1837" t="s">
        <v>6493</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2"/>
      <c r="T75" s="3863"/>
      <c r="U75" s="3863"/>
      <c r="V75" s="3863"/>
      <c r="W75" s="3864"/>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973"/>
      <c r="E76" s="3973"/>
      <c r="F76" s="3973"/>
      <c r="G76" s="8"/>
      <c r="H76" s="1836" t="s">
        <v>1082</v>
      </c>
      <c r="I76" s="1790"/>
      <c r="J76" s="1"/>
      <c r="K76" s="1830" t="str">
        <f t="shared" ref="K76:P76" si="356">IF(OR(K58=0,K67=0),"",K58/K67)</f>
        <v/>
      </c>
      <c r="L76" s="1831">
        <f t="shared" si="356"/>
        <v>0.53333333333333333</v>
      </c>
      <c r="M76" s="1831" t="str">
        <f t="shared" si="356"/>
        <v/>
      </c>
      <c r="N76" s="1831" t="str">
        <f t="shared" si="356"/>
        <v/>
      </c>
      <c r="O76" s="1831" t="str">
        <f t="shared" si="356"/>
        <v/>
      </c>
      <c r="P76" s="1832">
        <f t="shared" si="356"/>
        <v>0.53333333333333333</v>
      </c>
      <c r="S76" s="3862"/>
      <c r="T76" s="3863"/>
      <c r="U76" s="3863"/>
      <c r="V76" s="3863"/>
      <c r="W76" s="3864"/>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3"/>
      <c r="E77" s="3973"/>
      <c r="F77" s="3973"/>
      <c r="G77" s="8"/>
      <c r="H77" s="1836" t="s">
        <v>6492</v>
      </c>
      <c r="I77" s="1790"/>
      <c r="J77" s="1"/>
      <c r="K77" s="1921" t="str">
        <f>IF(OR(K58=0,P76="",K67=0),"",P76*K67)</f>
        <v/>
      </c>
      <c r="L77" s="1921">
        <f>IF(OR(L58=0,P76="",L67=0),"",P76*L67)</f>
        <v>32</v>
      </c>
      <c r="M77" s="1921" t="str">
        <f>IF(OR(M58=0,P76="",M67=0),"",P76*M67)</f>
        <v/>
      </c>
      <c r="N77" s="1921" t="str">
        <f>IF(OR(N58=0,P76="",N67=0),"",P76*N67)</f>
        <v/>
      </c>
      <c r="O77" s="1921" t="str">
        <f>IF(OR(O58=0,P76="",O67=0),"",P76*O67)</f>
        <v/>
      </c>
      <c r="P77" s="1922">
        <f>IF(OR(P76="",P67=0),"",P76*P67)</f>
        <v>32</v>
      </c>
      <c r="S77" s="3868"/>
      <c r="T77" s="3869"/>
      <c r="U77" s="3869"/>
      <c r="V77" s="3869"/>
      <c r="W77" s="3870"/>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3"/>
      <c r="E78" s="3973"/>
      <c r="F78" s="3973"/>
      <c r="G78" s="1914"/>
      <c r="H78" s="1837" t="s">
        <v>6493</v>
      </c>
      <c r="I78" s="1792"/>
      <c r="J78" s="1"/>
      <c r="K78" s="1923" t="str">
        <f t="shared" ref="K78:P78" si="357">IF(OR(K77="",K58=0),"", K58-K77)</f>
        <v/>
      </c>
      <c r="L78" s="1923">
        <f t="shared" si="357"/>
        <v>0</v>
      </c>
      <c r="M78" s="1923" t="str">
        <f t="shared" si="357"/>
        <v/>
      </c>
      <c r="N78" s="1923" t="str">
        <f t="shared" si="357"/>
        <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0.33333333333333331</v>
      </c>
      <c r="M79" s="1831" t="str">
        <f t="shared" si="358"/>
        <v/>
      </c>
      <c r="N79" s="1831" t="str">
        <f t="shared" si="358"/>
        <v/>
      </c>
      <c r="O79" s="1831" t="str">
        <f t="shared" si="358"/>
        <v/>
      </c>
      <c r="P79" s="1832">
        <f t="shared" si="358"/>
        <v>0.33333333333333331</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20</v>
      </c>
      <c r="M80" s="1921" t="str">
        <f>IF(OR(M59=0,P79="",M67=0),"",P79*M67)</f>
        <v/>
      </c>
      <c r="N80" s="1921" t="str">
        <f>IF(OR(N59=0,P79="",N67=0),"",P79*N67)</f>
        <v/>
      </c>
      <c r="O80" s="1921" t="str">
        <f>IF(OR(O59=0,P79="",O67=0),"",P79*O67)</f>
        <v/>
      </c>
      <c r="P80" s="1922">
        <f>IF(OR(P79="",P67=0),"",P79*P67)</f>
        <v>20</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0</v>
      </c>
      <c r="M81" s="1923" t="str">
        <f t="shared" si="359"/>
        <v/>
      </c>
      <c r="N81" s="1923" t="str">
        <f t="shared" si="359"/>
        <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88"/>
      <c r="T93" s="3889"/>
      <c r="U93" s="3889"/>
      <c r="V93" s="3889"/>
      <c r="W93" s="3890"/>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2"/>
      <c r="T94" s="3863"/>
      <c r="U94" s="3863"/>
      <c r="V94" s="3863"/>
      <c r="W94" s="3864"/>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2"/>
      <c r="T95" s="3863"/>
      <c r="U95" s="3863"/>
      <c r="V95" s="3863"/>
      <c r="W95" s="3864"/>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2"/>
      <c r="T96" s="3863"/>
      <c r="U96" s="3863"/>
      <c r="V96" s="3863"/>
      <c r="W96" s="3864"/>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2"/>
      <c r="T97" s="3863"/>
      <c r="U97" s="3863"/>
      <c r="V97" s="3863"/>
      <c r="W97" s="3864"/>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2"/>
      <c r="T98" s="3863"/>
      <c r="U98" s="3863"/>
      <c r="V98" s="3863"/>
      <c r="W98" s="3864"/>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2"/>
      <c r="T99" s="3863"/>
      <c r="U99" s="3863"/>
      <c r="V99" s="3863"/>
      <c r="W99" s="3864"/>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68"/>
      <c r="T100" s="3869"/>
      <c r="U100" s="3869"/>
      <c r="V100" s="3869"/>
      <c r="W100" s="3870"/>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5" customHeight="1" thickBot="1">
      <c r="A102" s="13" t="s">
        <v>689</v>
      </c>
      <c r="B102" s="13" t="s">
        <v>3879</v>
      </c>
      <c r="H102" s="90"/>
      <c r="L102" s="3871" t="str">
        <f>$O$53</f>
        <v>40% of Units at 60% of AMI</v>
      </c>
      <c r="M102" s="3872"/>
      <c r="N102" s="3872"/>
      <c r="O102" s="3873"/>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88"/>
      <c r="T104" s="3889"/>
      <c r="U104" s="3889"/>
      <c r="V104" s="3889"/>
      <c r="W104" s="3890"/>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2"/>
      <c r="T105" s="3863"/>
      <c r="U105" s="3863"/>
      <c r="V105" s="3863"/>
      <c r="W105" s="3864"/>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2"/>
      <c r="T106" s="3863"/>
      <c r="U106" s="3863"/>
      <c r="V106" s="3863"/>
      <c r="W106" s="3864"/>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2"/>
      <c r="T107" s="3863"/>
      <c r="U107" s="3863"/>
      <c r="V107" s="3863"/>
      <c r="W107" s="3864"/>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2"/>
      <c r="T108" s="3863"/>
      <c r="U108" s="3863"/>
      <c r="V108" s="3863"/>
      <c r="W108" s="3864"/>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2"/>
      <c r="T109" s="3863"/>
      <c r="U109" s="3863"/>
      <c r="V109" s="3863"/>
      <c r="W109" s="3864"/>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2"/>
      <c r="T110" s="3863"/>
      <c r="U110" s="3863"/>
      <c r="V110" s="3863"/>
      <c r="W110" s="3864"/>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68"/>
      <c r="T111" s="3869"/>
      <c r="U111" s="3869"/>
      <c r="V111" s="3869"/>
      <c r="W111" s="3870"/>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67" t="s">
        <v>35</v>
      </c>
      <c r="D113" s="3867"/>
      <c r="E113" s="104" t="s">
        <v>2121</v>
      </c>
      <c r="F113" s="1"/>
      <c r="G113" s="83"/>
      <c r="H113" s="111" t="s">
        <v>1344</v>
      </c>
      <c r="I113" s="36"/>
      <c r="J113" s="83"/>
      <c r="K113" s="1429">
        <f>GG49</f>
        <v>0</v>
      </c>
      <c r="L113" s="1430">
        <f>GH49</f>
        <v>52</v>
      </c>
      <c r="M113" s="1430">
        <f>GI49</f>
        <v>0</v>
      </c>
      <c r="N113" s="1430">
        <f>GJ49</f>
        <v>0</v>
      </c>
      <c r="O113" s="1431">
        <f>GK49</f>
        <v>0</v>
      </c>
      <c r="P113" s="950">
        <f t="shared" ref="P113:P123" si="368">SUM(K113:O113)</f>
        <v>52</v>
      </c>
      <c r="S113" s="3888"/>
      <c r="T113" s="3889"/>
      <c r="U113" s="3889"/>
      <c r="V113" s="3889"/>
      <c r="W113" s="3890"/>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67"/>
      <c r="D114" s="3867"/>
      <c r="E114" s="111"/>
      <c r="F114" s="1"/>
      <c r="G114" s="83"/>
      <c r="H114" s="111" t="s">
        <v>290</v>
      </c>
      <c r="I114" s="36"/>
      <c r="J114" s="83"/>
      <c r="K114" s="1435">
        <f>GL49</f>
        <v>0</v>
      </c>
      <c r="L114" s="1436">
        <f>GM49</f>
        <v>8</v>
      </c>
      <c r="M114" s="1436">
        <f>GN49</f>
        <v>0</v>
      </c>
      <c r="N114" s="1436">
        <f>GO49</f>
        <v>0</v>
      </c>
      <c r="O114" s="1437">
        <f>GP49</f>
        <v>0</v>
      </c>
      <c r="P114" s="947">
        <f t="shared" si="368"/>
        <v>8</v>
      </c>
      <c r="S114" s="3862"/>
      <c r="T114" s="3863"/>
      <c r="U114" s="3863"/>
      <c r="V114" s="3863"/>
      <c r="W114" s="3864"/>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67"/>
      <c r="D115" s="3867"/>
      <c r="E115" s="111"/>
      <c r="F115" s="1"/>
      <c r="G115" s="83"/>
      <c r="H115" s="177" t="s">
        <v>29</v>
      </c>
      <c r="I115" s="87"/>
      <c r="J115" s="83"/>
      <c r="K115" s="1398">
        <f>SUM(K113:K114)+GQ49</f>
        <v>0</v>
      </c>
      <c r="L115" s="1398">
        <f>SUM(L113:L114)+GR49</f>
        <v>60</v>
      </c>
      <c r="M115" s="1398">
        <f>SUM(M113:M114)+GS49</f>
        <v>0</v>
      </c>
      <c r="N115" s="1398">
        <f>SUM(N113:N114)+GT49</f>
        <v>0</v>
      </c>
      <c r="O115" s="1398">
        <f>SUM(O113:O114)+GU49</f>
        <v>0</v>
      </c>
      <c r="P115" s="1398">
        <f t="shared" si="368"/>
        <v>60</v>
      </c>
      <c r="S115" s="3862"/>
      <c r="T115" s="3863"/>
      <c r="U115" s="3863"/>
      <c r="V115" s="3863"/>
      <c r="W115" s="3864"/>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67"/>
      <c r="D116" s="3867"/>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2"/>
      <c r="T116" s="3863"/>
      <c r="U116" s="3863"/>
      <c r="V116" s="3863"/>
      <c r="W116" s="3864"/>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67"/>
      <c r="D117" s="3867"/>
      <c r="E117" s="111"/>
      <c r="F117" s="1"/>
      <c r="G117" s="83"/>
      <c r="H117" s="111" t="s">
        <v>290</v>
      </c>
      <c r="I117" s="36"/>
      <c r="J117" s="83"/>
      <c r="K117" s="1435">
        <f>HA49</f>
        <v>0</v>
      </c>
      <c r="L117" s="1436">
        <f>HB49</f>
        <v>0</v>
      </c>
      <c r="M117" s="1436">
        <f>HC49</f>
        <v>0</v>
      </c>
      <c r="N117" s="1436">
        <f>HD49</f>
        <v>0</v>
      </c>
      <c r="O117" s="1437">
        <f>HE49</f>
        <v>0</v>
      </c>
      <c r="P117" s="947">
        <f t="shared" si="368"/>
        <v>0</v>
      </c>
      <c r="S117" s="3862"/>
      <c r="T117" s="3863"/>
      <c r="U117" s="3863"/>
      <c r="V117" s="3863"/>
      <c r="W117" s="3864"/>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67"/>
      <c r="D118" s="3867"/>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2"/>
      <c r="T118" s="3863"/>
      <c r="U118" s="3863"/>
      <c r="V118" s="3863"/>
      <c r="W118" s="3864"/>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3" t="s">
        <v>1338</v>
      </c>
      <c r="F119" s="3943"/>
      <c r="G119" s="83"/>
      <c r="H119" s="111" t="s">
        <v>1344</v>
      </c>
      <c r="I119" s="36"/>
      <c r="J119" s="83"/>
      <c r="K119" s="1429">
        <f>HK49</f>
        <v>0</v>
      </c>
      <c r="L119" s="1430">
        <f>HL49</f>
        <v>0</v>
      </c>
      <c r="M119" s="1430">
        <f>HM49</f>
        <v>0</v>
      </c>
      <c r="N119" s="1430">
        <f>HN49</f>
        <v>0</v>
      </c>
      <c r="O119" s="1431">
        <f>HO49</f>
        <v>0</v>
      </c>
      <c r="P119" s="950">
        <f t="shared" si="368"/>
        <v>0</v>
      </c>
      <c r="S119" s="3862"/>
      <c r="T119" s="3863"/>
      <c r="U119" s="3863"/>
      <c r="V119" s="3863"/>
      <c r="W119" s="3864"/>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3"/>
      <c r="F120" s="3943"/>
      <c r="G120" s="83"/>
      <c r="H120" s="111" t="s">
        <v>290</v>
      </c>
      <c r="I120" s="36"/>
      <c r="J120" s="83"/>
      <c r="K120" s="1435">
        <f>HP49</f>
        <v>0</v>
      </c>
      <c r="L120" s="1436">
        <f>HQ49</f>
        <v>0</v>
      </c>
      <c r="M120" s="1436">
        <f>HR49</f>
        <v>0</v>
      </c>
      <c r="N120" s="1436">
        <f>HS49</f>
        <v>0</v>
      </c>
      <c r="O120" s="1437">
        <f>HT49</f>
        <v>0</v>
      </c>
      <c r="P120" s="947">
        <f t="shared" si="368"/>
        <v>0</v>
      </c>
      <c r="S120" s="3862"/>
      <c r="T120" s="3863"/>
      <c r="U120" s="3863"/>
      <c r="V120" s="3863"/>
      <c r="W120" s="3864"/>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2"/>
      <c r="T121" s="3863"/>
      <c r="U121" s="3863"/>
      <c r="V121" s="3863"/>
      <c r="W121" s="3864"/>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2"/>
      <c r="T122" s="3863"/>
      <c r="U122" s="3863"/>
      <c r="V122" s="3863"/>
      <c r="W122" s="3864"/>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66" t="str">
        <f>IF(AND('Part III-A-Uses of Funds'!$T$179="Yes",'Part VIII Scoring Criteria'!$O$377&gt;0,P123&lt;1),"SHOW HISTORIC UNITS HERE &gt;&gt;&gt;&gt;","")</f>
        <v/>
      </c>
      <c r="B123" s="3866"/>
      <c r="C123" s="3866"/>
      <c r="D123" s="3866"/>
      <c r="E123" s="503" t="s">
        <v>3022</v>
      </c>
      <c r="F123" s="1"/>
      <c r="G123" s="185"/>
      <c r="H123" s="112"/>
      <c r="I123" s="83"/>
      <c r="J123" s="83"/>
      <c r="K123" s="608"/>
      <c r="L123" s="608"/>
      <c r="M123" s="608"/>
      <c r="N123" s="608"/>
      <c r="O123" s="608"/>
      <c r="P123" s="604">
        <f t="shared" si="368"/>
        <v>0</v>
      </c>
      <c r="S123" s="3862"/>
      <c r="T123" s="3863"/>
      <c r="U123" s="3863"/>
      <c r="V123" s="3863"/>
      <c r="W123" s="3864"/>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2"/>
      <c r="T124" s="3863"/>
      <c r="U124" s="3863"/>
      <c r="V124" s="3863"/>
      <c r="W124" s="3864"/>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68"/>
      <c r="T125" s="3869"/>
      <c r="U125" s="3869"/>
      <c r="V125" s="3869"/>
      <c r="W125" s="3870"/>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48" t="s">
        <v>6497</v>
      </c>
      <c r="D127" s="3948"/>
      <c r="E127" s="1165" t="s">
        <v>36</v>
      </c>
      <c r="F127" s="973"/>
      <c r="G127" s="1166"/>
      <c r="H127" s="1839"/>
      <c r="I127" s="1167"/>
      <c r="J127" s="1168"/>
      <c r="K127" s="1450">
        <f t="shared" ref="K127:P127" si="369">SUM(K128:K135)</f>
        <v>0</v>
      </c>
      <c r="L127" s="1451">
        <f t="shared" si="369"/>
        <v>60</v>
      </c>
      <c r="M127" s="1451">
        <f t="shared" si="369"/>
        <v>0</v>
      </c>
      <c r="N127" s="1451">
        <f t="shared" si="369"/>
        <v>0</v>
      </c>
      <c r="O127" s="1452">
        <f t="shared" si="369"/>
        <v>0</v>
      </c>
      <c r="P127" s="1401">
        <f t="shared" si="369"/>
        <v>60</v>
      </c>
      <c r="S127" s="3888"/>
      <c r="T127" s="3889"/>
      <c r="U127" s="3889"/>
      <c r="V127" s="3889"/>
      <c r="W127" s="3890"/>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49"/>
      <c r="D128" s="3949"/>
      <c r="E128" s="104"/>
      <c r="F128" s="5"/>
      <c r="G128" s="153"/>
      <c r="H128" s="1833" t="s">
        <v>6299</v>
      </c>
      <c r="I128" s="878"/>
      <c r="J128" s="1169"/>
      <c r="K128" s="1432">
        <f>JS49</f>
        <v>0</v>
      </c>
      <c r="L128" s="1433">
        <f>JT49</f>
        <v>0</v>
      </c>
      <c r="M128" s="1433">
        <f>JU49</f>
        <v>0</v>
      </c>
      <c r="N128" s="1433">
        <f>JV49</f>
        <v>0</v>
      </c>
      <c r="O128" s="1434">
        <f>JW49</f>
        <v>0</v>
      </c>
      <c r="P128" s="946">
        <f t="shared" ref="P128:P143" si="370">SUM(K128:O128)</f>
        <v>0</v>
      </c>
      <c r="S128" s="3862"/>
      <c r="T128" s="3863"/>
      <c r="U128" s="3863"/>
      <c r="V128" s="3863"/>
      <c r="W128" s="3864"/>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49"/>
      <c r="D129" s="3949"/>
      <c r="E129" s="104"/>
      <c r="F129" s="5"/>
      <c r="G129" s="153"/>
      <c r="H129" s="1840" t="s">
        <v>2999</v>
      </c>
      <c r="I129" s="95"/>
      <c r="J129" s="1169"/>
      <c r="K129" s="2230">
        <f>KC49</f>
        <v>0</v>
      </c>
      <c r="L129" s="2231">
        <f>KD49</f>
        <v>0</v>
      </c>
      <c r="M129" s="2231">
        <f>KE49</f>
        <v>0</v>
      </c>
      <c r="N129" s="2231">
        <f>KF49</f>
        <v>0</v>
      </c>
      <c r="O129" s="2232">
        <f>KG49</f>
        <v>0</v>
      </c>
      <c r="P129" s="2242">
        <f t="shared" si="370"/>
        <v>0</v>
      </c>
      <c r="S129" s="3862"/>
      <c r="T129" s="3863"/>
      <c r="U129" s="3863"/>
      <c r="V129" s="3863"/>
      <c r="W129" s="3864"/>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49"/>
      <c r="D130" s="3949"/>
      <c r="E130" s="104"/>
      <c r="F130" s="5"/>
      <c r="G130" s="153"/>
      <c r="H130" s="1833" t="s">
        <v>6484</v>
      </c>
      <c r="I130" s="878"/>
      <c r="J130" s="1169"/>
      <c r="K130" s="1432">
        <f>JX49</f>
        <v>0</v>
      </c>
      <c r="L130" s="1433">
        <f>JY49</f>
        <v>60</v>
      </c>
      <c r="M130" s="1433">
        <f>JZ49</f>
        <v>0</v>
      </c>
      <c r="N130" s="1433">
        <f>KA49</f>
        <v>0</v>
      </c>
      <c r="O130" s="1434">
        <f>KB49</f>
        <v>0</v>
      </c>
      <c r="P130" s="946">
        <f t="shared" ref="P130:P135" si="371">SUM(K130:O130)</f>
        <v>60</v>
      </c>
      <c r="S130" s="3862"/>
      <c r="T130" s="3863"/>
      <c r="U130" s="3863"/>
      <c r="V130" s="3863"/>
      <c r="W130" s="3864"/>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49"/>
      <c r="D131" s="3949"/>
      <c r="E131" s="104"/>
      <c r="F131" s="5"/>
      <c r="G131" s="153"/>
      <c r="H131" s="1840" t="s">
        <v>2999</v>
      </c>
      <c r="I131" s="95"/>
      <c r="J131" s="1169"/>
      <c r="K131" s="2230">
        <f>KH49</f>
        <v>0</v>
      </c>
      <c r="L131" s="2231">
        <f>KI49</f>
        <v>0</v>
      </c>
      <c r="M131" s="2231">
        <f>KJ49</f>
        <v>0</v>
      </c>
      <c r="N131" s="2231">
        <f>KK49</f>
        <v>0</v>
      </c>
      <c r="O131" s="2232">
        <f>KL49</f>
        <v>0</v>
      </c>
      <c r="P131" s="2242">
        <f t="shared" si="371"/>
        <v>0</v>
      </c>
      <c r="S131" s="3862"/>
      <c r="T131" s="3863"/>
      <c r="U131" s="3863"/>
      <c r="V131" s="3863"/>
      <c r="W131" s="3864"/>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49"/>
      <c r="D132" s="3949"/>
      <c r="E132" s="104"/>
      <c r="F132" s="1"/>
      <c r="G132" s="83"/>
      <c r="H132" s="1785" t="s">
        <v>6301</v>
      </c>
      <c r="I132" s="40"/>
      <c r="J132" s="83"/>
      <c r="K132" s="1456">
        <f>KM49</f>
        <v>0</v>
      </c>
      <c r="L132" s="1457">
        <f>KN49</f>
        <v>0</v>
      </c>
      <c r="M132" s="1457">
        <f>KO49</f>
        <v>0</v>
      </c>
      <c r="N132" s="1457">
        <f>KP49</f>
        <v>0</v>
      </c>
      <c r="O132" s="1458">
        <f>KQ49</f>
        <v>0</v>
      </c>
      <c r="P132" s="609">
        <f t="shared" si="371"/>
        <v>0</v>
      </c>
      <c r="S132" s="3862"/>
      <c r="T132" s="3863"/>
      <c r="U132" s="3863"/>
      <c r="V132" s="3863"/>
      <c r="W132" s="3864"/>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49"/>
      <c r="D133" s="3949"/>
      <c r="E133" s="104"/>
      <c r="F133" s="1"/>
      <c r="G133" s="83"/>
      <c r="H133" s="1841" t="s">
        <v>2999</v>
      </c>
      <c r="I133" s="875"/>
      <c r="J133" s="83"/>
      <c r="K133" s="2238">
        <f>KW49</f>
        <v>0</v>
      </c>
      <c r="L133" s="2239">
        <f>KX49</f>
        <v>0</v>
      </c>
      <c r="M133" s="2239">
        <f>KY49</f>
        <v>0</v>
      </c>
      <c r="N133" s="2239">
        <f>KZ49</f>
        <v>0</v>
      </c>
      <c r="O133" s="2240">
        <f>LA49</f>
        <v>0</v>
      </c>
      <c r="P133" s="2241">
        <f t="shared" si="371"/>
        <v>0</v>
      </c>
      <c r="S133" s="3862"/>
      <c r="T133" s="3863"/>
      <c r="U133" s="3863"/>
      <c r="V133" s="3863"/>
      <c r="W133" s="3864"/>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49"/>
      <c r="D134" s="3949"/>
      <c r="E134" s="104"/>
      <c r="F134" s="1"/>
      <c r="G134" s="83"/>
      <c r="H134" s="1785" t="s">
        <v>6491</v>
      </c>
      <c r="I134" s="40"/>
      <c r="J134" s="83"/>
      <c r="K134" s="1456">
        <f>KR49</f>
        <v>0</v>
      </c>
      <c r="L134" s="1457">
        <f>KS49</f>
        <v>0</v>
      </c>
      <c r="M134" s="1457">
        <f>KT49</f>
        <v>0</v>
      </c>
      <c r="N134" s="1457">
        <f>KU49</f>
        <v>0</v>
      </c>
      <c r="O134" s="1458">
        <f>KV49</f>
        <v>0</v>
      </c>
      <c r="P134" s="609">
        <f t="shared" si="371"/>
        <v>0</v>
      </c>
      <c r="S134" s="3862"/>
      <c r="T134" s="3863"/>
      <c r="U134" s="3863"/>
      <c r="V134" s="3863"/>
      <c r="W134" s="3864"/>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49"/>
      <c r="D135" s="3949"/>
      <c r="E135" s="104"/>
      <c r="F135" s="1"/>
      <c r="G135" s="83"/>
      <c r="H135" s="1841" t="s">
        <v>2999</v>
      </c>
      <c r="I135" s="875"/>
      <c r="J135" s="83"/>
      <c r="K135" s="2238">
        <f>LB49</f>
        <v>0</v>
      </c>
      <c r="L135" s="2239">
        <f>LC49</f>
        <v>0</v>
      </c>
      <c r="M135" s="2239">
        <f>LD49</f>
        <v>0</v>
      </c>
      <c r="N135" s="2239">
        <f>LE49</f>
        <v>0</v>
      </c>
      <c r="O135" s="2240">
        <f>LF49</f>
        <v>0</v>
      </c>
      <c r="P135" s="2241">
        <f t="shared" si="371"/>
        <v>0</v>
      </c>
      <c r="S135" s="3862"/>
      <c r="T135" s="3863"/>
      <c r="U135" s="3863"/>
      <c r="V135" s="3863"/>
      <c r="W135" s="3864"/>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49"/>
      <c r="D136" s="3949"/>
      <c r="E136" s="104" t="s">
        <v>6486</v>
      </c>
      <c r="F136" s="1"/>
      <c r="G136" s="83"/>
      <c r="H136" s="1785"/>
      <c r="I136" s="40"/>
      <c r="J136" s="83"/>
      <c r="K136" s="1429">
        <f>IE49</f>
        <v>0</v>
      </c>
      <c r="L136" s="1430">
        <f>IF49</f>
        <v>0</v>
      </c>
      <c r="M136" s="1430">
        <f>IG49</f>
        <v>0</v>
      </c>
      <c r="N136" s="1430">
        <f>IH49</f>
        <v>0</v>
      </c>
      <c r="O136" s="1431">
        <f>II49</f>
        <v>0</v>
      </c>
      <c r="P136" s="2226">
        <f t="shared" si="370"/>
        <v>0</v>
      </c>
      <c r="S136" s="3862"/>
      <c r="T136" s="3863"/>
      <c r="U136" s="3863"/>
      <c r="V136" s="3863"/>
      <c r="W136" s="3864"/>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49"/>
      <c r="D137" s="3949"/>
      <c r="E137" s="104"/>
      <c r="F137" s="1"/>
      <c r="G137" s="83"/>
      <c r="H137" s="1841" t="s">
        <v>2999</v>
      </c>
      <c r="I137" s="875"/>
      <c r="J137" s="83"/>
      <c r="K137" s="2230">
        <f>IJ49</f>
        <v>0</v>
      </c>
      <c r="L137" s="2231">
        <f>IK49</f>
        <v>0</v>
      </c>
      <c r="M137" s="2231">
        <f>IL49</f>
        <v>0</v>
      </c>
      <c r="N137" s="2231">
        <f>IM49</f>
        <v>0</v>
      </c>
      <c r="O137" s="2232">
        <f>IN49</f>
        <v>0</v>
      </c>
      <c r="P137" s="2233">
        <f t="shared" si="370"/>
        <v>0</v>
      </c>
      <c r="S137" s="3862"/>
      <c r="T137" s="3863"/>
      <c r="U137" s="3863"/>
      <c r="V137" s="3863"/>
      <c r="W137" s="3864"/>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49"/>
      <c r="D138" s="3949"/>
      <c r="E138" s="104" t="s">
        <v>6487</v>
      </c>
      <c r="F138" s="1"/>
      <c r="G138" s="83"/>
      <c r="H138" s="1785"/>
      <c r="I138" s="40"/>
      <c r="J138" s="83"/>
      <c r="K138" s="1456">
        <f>JI49</f>
        <v>0</v>
      </c>
      <c r="L138" s="1457">
        <f>JJ49</f>
        <v>0</v>
      </c>
      <c r="M138" s="1457">
        <f>JK49</f>
        <v>0</v>
      </c>
      <c r="N138" s="1457">
        <f>JL49</f>
        <v>0</v>
      </c>
      <c r="O138" s="1458">
        <f>JM49</f>
        <v>0</v>
      </c>
      <c r="P138" s="2227">
        <f t="shared" si="370"/>
        <v>0</v>
      </c>
      <c r="S138" s="3862"/>
      <c r="T138" s="3863"/>
      <c r="U138" s="3863"/>
      <c r="V138" s="3863"/>
      <c r="W138" s="3864"/>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49"/>
      <c r="D139" s="3949"/>
      <c r="E139" s="104"/>
      <c r="F139" s="1"/>
      <c r="G139" s="83"/>
      <c r="H139" s="1841" t="s">
        <v>2999</v>
      </c>
      <c r="I139" s="875"/>
      <c r="J139" s="83"/>
      <c r="K139" s="2230">
        <f>JN49</f>
        <v>0</v>
      </c>
      <c r="L139" s="2231">
        <f>JO49</f>
        <v>0</v>
      </c>
      <c r="M139" s="2231">
        <f>JP49</f>
        <v>0</v>
      </c>
      <c r="N139" s="2231">
        <f>JQ49</f>
        <v>0</v>
      </c>
      <c r="O139" s="2232">
        <f>JR49</f>
        <v>0</v>
      </c>
      <c r="P139" s="2233">
        <f t="shared" si="370"/>
        <v>0</v>
      </c>
      <c r="S139" s="3862"/>
      <c r="T139" s="3863"/>
      <c r="U139" s="3863"/>
      <c r="V139" s="3863"/>
      <c r="W139" s="3864"/>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49"/>
      <c r="D140" s="3949"/>
      <c r="E140" s="111" t="s">
        <v>6295</v>
      </c>
      <c r="F140" s="1"/>
      <c r="G140" s="83"/>
      <c r="H140" s="1785"/>
      <c r="I140" s="40"/>
      <c r="J140" s="83"/>
      <c r="K140" s="1456">
        <f>IY49</f>
        <v>0</v>
      </c>
      <c r="L140" s="1457">
        <f>IZ49</f>
        <v>0</v>
      </c>
      <c r="M140" s="1457">
        <f>JA49</f>
        <v>0</v>
      </c>
      <c r="N140" s="1457">
        <f>JB49</f>
        <v>0</v>
      </c>
      <c r="O140" s="1458">
        <f>JC49</f>
        <v>0</v>
      </c>
      <c r="P140" s="2227">
        <f t="shared" si="370"/>
        <v>0</v>
      </c>
      <c r="S140" s="3862"/>
      <c r="T140" s="3863"/>
      <c r="U140" s="3863"/>
      <c r="V140" s="3863"/>
      <c r="W140" s="3864"/>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49"/>
      <c r="D141" s="3949"/>
      <c r="E141" s="111"/>
      <c r="F141" s="1"/>
      <c r="G141" s="83"/>
      <c r="H141" s="1841" t="s">
        <v>2999</v>
      </c>
      <c r="I141" s="875"/>
      <c r="J141" s="83"/>
      <c r="K141" s="2238">
        <f>JD49</f>
        <v>0</v>
      </c>
      <c r="L141" s="2239">
        <f>JE49</f>
        <v>0</v>
      </c>
      <c r="M141" s="2239">
        <f>JF49</f>
        <v>0</v>
      </c>
      <c r="N141" s="2239">
        <f>JG49</f>
        <v>0</v>
      </c>
      <c r="O141" s="2240">
        <f>JH49</f>
        <v>0</v>
      </c>
      <c r="P141" s="2233">
        <f t="shared" si="370"/>
        <v>0</v>
      </c>
      <c r="S141" s="3862"/>
      <c r="T141" s="3863"/>
      <c r="U141" s="3863"/>
      <c r="V141" s="3863"/>
      <c r="W141" s="3864"/>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49"/>
      <c r="D142" s="3949"/>
      <c r="E142" s="90" t="s">
        <v>525</v>
      </c>
      <c r="F142" s="1"/>
      <c r="G142" s="83"/>
      <c r="H142" s="1785"/>
      <c r="I142" s="40"/>
      <c r="J142" s="83"/>
      <c r="K142" s="1456">
        <f>IO49</f>
        <v>0</v>
      </c>
      <c r="L142" s="1457">
        <f>IP49</f>
        <v>0</v>
      </c>
      <c r="M142" s="1457">
        <f>IQ49</f>
        <v>0</v>
      </c>
      <c r="N142" s="1457">
        <f>IR49</f>
        <v>0</v>
      </c>
      <c r="O142" s="1458">
        <f>IS49</f>
        <v>0</v>
      </c>
      <c r="P142" s="2227">
        <f t="shared" si="370"/>
        <v>0</v>
      </c>
      <c r="S142" s="3862"/>
      <c r="T142" s="3863"/>
      <c r="U142" s="3863"/>
      <c r="V142" s="3863"/>
      <c r="W142" s="3864"/>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68"/>
      <c r="T143" s="3869"/>
      <c r="U143" s="3869"/>
      <c r="V143" s="3869"/>
      <c r="W143" s="3870"/>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5" customHeight="1" thickBot="1">
      <c r="A145" s="13" t="s">
        <v>689</v>
      </c>
      <c r="B145" s="13" t="s">
        <v>3879</v>
      </c>
      <c r="H145" s="90"/>
      <c r="L145" s="3871" t="str">
        <f>$O$53</f>
        <v>40% of Units at 60% of AMI</v>
      </c>
      <c r="M145" s="3872"/>
      <c r="N145" s="3872"/>
      <c r="O145" s="3873"/>
      <c r="P145" s="83"/>
      <c r="S145" s="3942" t="str">
        <f>B145</f>
        <v>UNIT SUMMARY (Continued)</v>
      </c>
      <c r="T145" s="3942"/>
      <c r="U145" s="3942"/>
      <c r="V145" s="3942"/>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48" t="s">
        <v>6498</v>
      </c>
      <c r="D147" s="3948"/>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88"/>
      <c r="T147" s="3889"/>
      <c r="U147" s="3889"/>
      <c r="V147" s="3889"/>
      <c r="W147" s="3890"/>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49"/>
      <c r="D148" s="3949"/>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2"/>
      <c r="T148" s="3863"/>
      <c r="U148" s="3863"/>
      <c r="V148" s="3863"/>
      <c r="W148" s="3864"/>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49"/>
      <c r="D149" s="3949"/>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2"/>
      <c r="T149" s="3863"/>
      <c r="U149" s="3863"/>
      <c r="V149" s="3863"/>
      <c r="W149" s="3864"/>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49"/>
      <c r="D150" s="3949"/>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2"/>
      <c r="T150" s="3863"/>
      <c r="U150" s="3863"/>
      <c r="V150" s="3863"/>
      <c r="W150" s="3864"/>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49"/>
      <c r="D151" s="3949"/>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2"/>
      <c r="T151" s="3863"/>
      <c r="U151" s="3863"/>
      <c r="V151" s="3863"/>
      <c r="W151" s="3864"/>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49"/>
      <c r="D152" s="3949"/>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2"/>
      <c r="T152" s="3863"/>
      <c r="U152" s="3863"/>
      <c r="V152" s="3863"/>
      <c r="W152" s="3864"/>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49"/>
      <c r="D153" s="3949"/>
      <c r="E153" s="104" t="s">
        <v>2997</v>
      </c>
      <c r="F153" s="509"/>
      <c r="G153" s="153"/>
      <c r="H153" s="1833"/>
      <c r="I153" s="878"/>
      <c r="J153" s="1169"/>
      <c r="K153" s="1465">
        <f>K130+K134</f>
        <v>0</v>
      </c>
      <c r="L153" s="1466">
        <f t="shared" ref="L153:O153" si="377">L130+L134</f>
        <v>60</v>
      </c>
      <c r="M153" s="1466">
        <f t="shared" si="377"/>
        <v>0</v>
      </c>
      <c r="N153" s="1466">
        <f t="shared" si="377"/>
        <v>0</v>
      </c>
      <c r="O153" s="1467">
        <f t="shared" si="377"/>
        <v>0</v>
      </c>
      <c r="P153" s="2227">
        <f t="shared" si="373"/>
        <v>60</v>
      </c>
      <c r="S153" s="3862"/>
      <c r="T153" s="3863"/>
      <c r="U153" s="3863"/>
      <c r="V153" s="3863"/>
      <c r="W153" s="3864"/>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68" t="s">
        <v>3895</v>
      </c>
      <c r="S154" s="3868"/>
      <c r="T154" s="3869"/>
      <c r="U154" s="3869"/>
      <c r="V154" s="3869"/>
      <c r="W154" s="3870"/>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68"/>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968"/>
      <c r="S156" s="3611" t="str">
        <f>B156</f>
        <v>UNIT SQUARE FOOTAGE</v>
      </c>
      <c r="T156" s="3611"/>
      <c r="U156" s="3611"/>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88"/>
      <c r="T157" s="3889"/>
      <c r="U157" s="3889"/>
      <c r="V157" s="3889"/>
      <c r="W157" s="3890"/>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0</v>
      </c>
      <c r="M158" s="1469">
        <f>EP49</f>
        <v>0</v>
      </c>
      <c r="N158" s="1469">
        <f>EQ49</f>
        <v>0</v>
      </c>
      <c r="O158" s="1470">
        <f>ER49</f>
        <v>0</v>
      </c>
      <c r="P158" s="1393">
        <f t="shared" si="379"/>
        <v>0</v>
      </c>
      <c r="Q158" s="1626" t="str">
        <f t="shared" si="380"/>
        <v/>
      </c>
      <c r="S158" s="3862"/>
      <c r="T158" s="3863"/>
      <c r="U158" s="3863"/>
      <c r="V158" s="3863"/>
      <c r="W158" s="3864"/>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20800</v>
      </c>
      <c r="M159" s="1469">
        <f>EU49</f>
        <v>0</v>
      </c>
      <c r="N159" s="1469">
        <f>EV49</f>
        <v>0</v>
      </c>
      <c r="O159" s="1470">
        <f>EW49</f>
        <v>0</v>
      </c>
      <c r="P159" s="1393">
        <f t="shared" si="379"/>
        <v>20800</v>
      </c>
      <c r="Q159" s="1626">
        <f t="shared" si="380"/>
        <v>650</v>
      </c>
      <c r="S159" s="3862"/>
      <c r="T159" s="3863"/>
      <c r="U159" s="3863"/>
      <c r="V159" s="3863"/>
      <c r="W159" s="3864"/>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13000</v>
      </c>
      <c r="M160" s="1550">
        <f>EZ49</f>
        <v>0</v>
      </c>
      <c r="N160" s="1550">
        <f>FA49</f>
        <v>0</v>
      </c>
      <c r="O160" s="1551">
        <f>FB49</f>
        <v>0</v>
      </c>
      <c r="P160" s="1552">
        <f t="shared" si="379"/>
        <v>13000</v>
      </c>
      <c r="Q160" s="1626">
        <f t="shared" si="380"/>
        <v>650</v>
      </c>
      <c r="S160" s="3862"/>
      <c r="T160" s="3863"/>
      <c r="U160" s="3863"/>
      <c r="V160" s="3863"/>
      <c r="W160" s="3864"/>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2"/>
      <c r="T161" s="3863"/>
      <c r="U161" s="3863"/>
      <c r="V161" s="3863"/>
      <c r="W161" s="3864"/>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2"/>
      <c r="T162" s="3863"/>
      <c r="U162" s="3863"/>
      <c r="V162" s="3863"/>
      <c r="W162" s="3864"/>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2"/>
      <c r="T163" s="3863"/>
      <c r="U163" s="3863"/>
      <c r="V163" s="3863"/>
      <c r="W163" s="3864"/>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33800</v>
      </c>
      <c r="M164" s="2229">
        <f>SUM(M157:M163)</f>
        <v>0</v>
      </c>
      <c r="N164" s="2229">
        <f>SUM(N157:N163)</f>
        <v>0</v>
      </c>
      <c r="O164" s="2229">
        <f>SUM(O157:O163)</f>
        <v>0</v>
      </c>
      <c r="P164" s="2229">
        <f>SUM(K164:O164)</f>
        <v>33800</v>
      </c>
      <c r="S164" s="3862"/>
      <c r="T164" s="3863"/>
      <c r="U164" s="3863"/>
      <c r="V164" s="3863"/>
      <c r="W164" s="3864"/>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5200</v>
      </c>
      <c r="M165" s="1472">
        <f>FT49</f>
        <v>0</v>
      </c>
      <c r="N165" s="1472">
        <f>FU49</f>
        <v>0</v>
      </c>
      <c r="O165" s="1473">
        <f>FV49</f>
        <v>0</v>
      </c>
      <c r="P165" s="1400">
        <f>SUM(K165:O165)</f>
        <v>5200</v>
      </c>
      <c r="Q165" s="1562">
        <f>IF(OR(P64=0,P64=""),"",P165/P64)</f>
        <v>650</v>
      </c>
      <c r="S165" s="3862"/>
      <c r="T165" s="3863"/>
      <c r="U165" s="3863"/>
      <c r="V165" s="3863"/>
      <c r="W165" s="3864"/>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39000</v>
      </c>
      <c r="M166" s="2228">
        <f>SUM(M164:M165)</f>
        <v>0</v>
      </c>
      <c r="N166" s="2228">
        <f>SUM(N164:N165)</f>
        <v>0</v>
      </c>
      <c r="O166" s="2228">
        <f>SUM(O164:O165)</f>
        <v>0</v>
      </c>
      <c r="P166" s="2228">
        <f>SUM(K166:O166)</f>
        <v>39000</v>
      </c>
      <c r="S166" s="3862"/>
      <c r="T166" s="3863"/>
      <c r="U166" s="3863"/>
      <c r="V166" s="3863"/>
      <c r="W166" s="3864"/>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2"/>
      <c r="T167" s="3863"/>
      <c r="U167" s="3863"/>
      <c r="V167" s="3863"/>
      <c r="W167" s="3864"/>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39000</v>
      </c>
      <c r="M168" s="1399">
        <f>SUM(M166:M167)</f>
        <v>0</v>
      </c>
      <c r="N168" s="1399">
        <f>SUM(N166:N167)</f>
        <v>0</v>
      </c>
      <c r="O168" s="1399">
        <f>SUM(O166:O167)</f>
        <v>0</v>
      </c>
      <c r="P168" s="1399">
        <f>SUM(K168:O168)</f>
        <v>39000</v>
      </c>
      <c r="S168" s="3868"/>
      <c r="T168" s="3869"/>
      <c r="U168" s="3869"/>
      <c r="V168" s="3869"/>
      <c r="W168" s="3870"/>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5" customHeight="1"/>
    <row r="170" spans="1:493" s="91" customFormat="1" ht="14.15"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650</v>
      </c>
      <c r="M171" s="1625" t="str">
        <f>IF(OR(M67="",M67=0),"",M168/M67)</f>
        <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5"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5"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6651</v>
      </c>
      <c r="K174" s="3880">
        <v>11700</v>
      </c>
      <c r="L174" s="3881"/>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4" customHeight="1">
      <c r="A175" s="495"/>
      <c r="C175" s="333" t="s">
        <v>242</v>
      </c>
      <c r="K175" s="3878">
        <f>P168+K174</f>
        <v>50700</v>
      </c>
      <c r="L175" s="3879"/>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5"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5"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5" customHeight="1">
      <c r="A179" s="1"/>
      <c r="B179" s="177" t="s">
        <v>953</v>
      </c>
      <c r="C179" s="111"/>
      <c r="D179" s="111"/>
      <c r="E179" s="111"/>
      <c r="F179" s="111"/>
      <c r="G179" s="111"/>
      <c r="H179" s="3950">
        <f>'Part VI-Pro Forma'!B10*M50</f>
        <v>13536</v>
      </c>
      <c r="I179" s="3951"/>
      <c r="J179" s="3952"/>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5" customHeight="1">
      <c r="B180" s="895"/>
      <c r="C180" s="90"/>
      <c r="D180" s="111"/>
      <c r="E180" s="896"/>
      <c r="F180" s="90"/>
      <c r="G180" s="90"/>
      <c r="H180" s="90"/>
      <c r="I180" s="90"/>
      <c r="J180" s="109"/>
      <c r="K180" s="90"/>
      <c r="L180" s="90"/>
      <c r="M180" s="90"/>
      <c r="N180" s="90"/>
      <c r="O180" s="90"/>
      <c r="P180" s="90"/>
      <c r="Q180" s="402"/>
      <c r="R180" s="402"/>
      <c r="NP180" s="2260"/>
    </row>
    <row r="181" spans="1:493" ht="15.65"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5"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5" customHeight="1">
      <c r="B183" s="111" t="s">
        <v>954</v>
      </c>
      <c r="C183" s="111"/>
      <c r="D183" s="111"/>
      <c r="E183" s="111"/>
      <c r="F183" s="111"/>
      <c r="H183" s="901"/>
      <c r="I183" s="901"/>
      <c r="J183" s="901"/>
      <c r="K183" s="901"/>
      <c r="L183" s="901"/>
      <c r="M183" s="901"/>
      <c r="N183" s="901"/>
      <c r="O183" s="901"/>
      <c r="P183" s="901"/>
      <c r="Q183" s="901"/>
      <c r="R183" s="859"/>
      <c r="S183" s="3888"/>
      <c r="T183" s="3889"/>
      <c r="U183" s="3889"/>
      <c r="V183" s="3889"/>
      <c r="W183" s="3890"/>
    </row>
    <row r="184" spans="1:493" ht="15.65" customHeight="1">
      <c r="B184" s="111" t="s">
        <v>690</v>
      </c>
      <c r="C184" s="3893"/>
      <c r="D184" s="3894"/>
      <c r="E184" s="3894"/>
      <c r="F184" s="3895"/>
      <c r="H184" s="903"/>
      <c r="I184" s="903"/>
      <c r="J184" s="903"/>
      <c r="K184" s="903"/>
      <c r="L184" s="904"/>
      <c r="M184" s="903"/>
      <c r="N184" s="903"/>
      <c r="O184" s="903"/>
      <c r="P184" s="903"/>
      <c r="Q184" s="903"/>
      <c r="R184" s="859"/>
      <c r="S184" s="3862"/>
      <c r="T184" s="3863"/>
      <c r="U184" s="3863"/>
      <c r="V184" s="3863"/>
      <c r="W184" s="3864"/>
    </row>
    <row r="185" spans="1:493" ht="15.65"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68"/>
      <c r="T185" s="3869"/>
      <c r="U185" s="3869"/>
      <c r="V185" s="3869"/>
      <c r="W185" s="3870"/>
      <c r="NP185" s="2260"/>
    </row>
    <row r="186" spans="1:493" ht="15.65"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5" customHeight="1">
      <c r="B187" s="111" t="s">
        <v>498</v>
      </c>
      <c r="C187" s="111"/>
      <c r="D187" s="111"/>
      <c r="E187" s="111"/>
      <c r="F187" s="111"/>
      <c r="H187" s="901"/>
      <c r="I187" s="901"/>
      <c r="J187" s="901"/>
      <c r="K187" s="901"/>
      <c r="L187" s="901"/>
      <c r="M187" s="901"/>
      <c r="N187" s="901"/>
      <c r="O187" s="901"/>
      <c r="P187" s="901"/>
      <c r="Q187" s="901"/>
      <c r="R187" s="859"/>
      <c r="S187" s="3888"/>
      <c r="T187" s="3889"/>
      <c r="U187" s="3889"/>
      <c r="V187" s="3889"/>
      <c r="W187" s="3890"/>
    </row>
    <row r="188" spans="1:493" ht="15.65" customHeight="1">
      <c r="B188" s="111" t="s">
        <v>690</v>
      </c>
      <c r="C188" s="3893"/>
      <c r="D188" s="3894"/>
      <c r="E188" s="3894"/>
      <c r="F188" s="3895"/>
      <c r="H188" s="903"/>
      <c r="I188" s="903"/>
      <c r="J188" s="903"/>
      <c r="K188" s="903"/>
      <c r="L188" s="904"/>
      <c r="M188" s="903"/>
      <c r="N188" s="903"/>
      <c r="O188" s="903"/>
      <c r="P188" s="903"/>
      <c r="Q188" s="903"/>
      <c r="R188" s="859"/>
      <c r="S188" s="3862"/>
      <c r="T188" s="3863"/>
      <c r="U188" s="3863"/>
      <c r="V188" s="3863"/>
      <c r="W188" s="3864"/>
    </row>
    <row r="189" spans="1:493" ht="15.65"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68"/>
      <c r="T189" s="3869"/>
      <c r="U189" s="3869"/>
      <c r="V189" s="3869"/>
      <c r="W189" s="3870"/>
    </row>
    <row r="190" spans="1:493" ht="15.65" customHeight="1">
      <c r="B190" s="895"/>
      <c r="C190" s="90"/>
      <c r="D190" s="90"/>
      <c r="E190" s="90"/>
      <c r="F190" s="90"/>
      <c r="H190" s="907"/>
      <c r="I190" s="90"/>
      <c r="J190" s="90"/>
      <c r="K190" s="90"/>
      <c r="L190" s="90"/>
      <c r="M190" s="90"/>
      <c r="N190" s="90"/>
      <c r="O190" s="90"/>
      <c r="P190" s="90"/>
      <c r="Q190" s="90"/>
      <c r="R190" s="8"/>
    </row>
    <row r="191" spans="1:493" ht="15.65"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5" customHeight="1">
      <c r="A192" s="83"/>
      <c r="B192" s="111" t="s">
        <v>954</v>
      </c>
      <c r="C192" s="111"/>
      <c r="D192" s="111"/>
      <c r="E192" s="111"/>
      <c r="F192" s="111"/>
      <c r="H192" s="901"/>
      <c r="I192" s="901"/>
      <c r="J192" s="901"/>
      <c r="K192" s="901"/>
      <c r="L192" s="902"/>
      <c r="M192" s="901"/>
      <c r="N192" s="901"/>
      <c r="O192" s="901"/>
      <c r="P192" s="901"/>
      <c r="Q192" s="901"/>
      <c r="R192" s="859"/>
      <c r="S192" s="3888"/>
      <c r="T192" s="3889"/>
      <c r="U192" s="3889"/>
      <c r="V192" s="3889"/>
      <c r="W192" s="3890"/>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5" customHeight="1">
      <c r="A193" s="83"/>
      <c r="B193" s="111" t="s">
        <v>690</v>
      </c>
      <c r="C193" s="3893"/>
      <c r="D193" s="3894"/>
      <c r="E193" s="3894"/>
      <c r="F193" s="3895"/>
      <c r="H193" s="903"/>
      <c r="I193" s="903"/>
      <c r="J193" s="903"/>
      <c r="K193" s="903"/>
      <c r="L193" s="904"/>
      <c r="M193" s="903"/>
      <c r="N193" s="903"/>
      <c r="O193" s="903"/>
      <c r="P193" s="903"/>
      <c r="Q193" s="903"/>
      <c r="R193" s="859"/>
      <c r="S193" s="3862"/>
      <c r="T193" s="3863"/>
      <c r="U193" s="3863"/>
      <c r="V193" s="3863"/>
      <c r="W193" s="3864"/>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5"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68"/>
      <c r="T194" s="3869"/>
      <c r="U194" s="3869"/>
      <c r="V194" s="3869"/>
      <c r="W194" s="3870"/>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5"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5" customHeight="1">
      <c r="A196" s="83"/>
      <c r="B196" s="111" t="s">
        <v>498</v>
      </c>
      <c r="C196" s="111"/>
      <c r="D196" s="111"/>
      <c r="E196" s="111"/>
      <c r="F196" s="111"/>
      <c r="H196" s="901"/>
      <c r="I196" s="901"/>
      <c r="J196" s="901"/>
      <c r="K196" s="901"/>
      <c r="L196" s="902"/>
      <c r="M196" s="901"/>
      <c r="N196" s="901"/>
      <c r="O196" s="901"/>
      <c r="P196" s="901"/>
      <c r="Q196" s="901"/>
      <c r="R196" s="859"/>
      <c r="S196" s="3888"/>
      <c r="T196" s="3889"/>
      <c r="U196" s="3889"/>
      <c r="V196" s="3889"/>
      <c r="W196" s="3890"/>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5" customHeight="1">
      <c r="A197" s="83"/>
      <c r="B197" s="111" t="s">
        <v>690</v>
      </c>
      <c r="C197" s="3893"/>
      <c r="D197" s="3894"/>
      <c r="E197" s="3894"/>
      <c r="F197" s="3895"/>
      <c r="H197" s="903"/>
      <c r="I197" s="903"/>
      <c r="J197" s="903"/>
      <c r="K197" s="903"/>
      <c r="L197" s="904"/>
      <c r="M197" s="903"/>
      <c r="N197" s="903"/>
      <c r="O197" s="903"/>
      <c r="P197" s="903"/>
      <c r="Q197" s="903"/>
      <c r="R197" s="859"/>
      <c r="S197" s="3862"/>
      <c r="T197" s="3863"/>
      <c r="U197" s="3863"/>
      <c r="V197" s="3863"/>
      <c r="W197" s="3864"/>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5"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68"/>
      <c r="T198" s="3869"/>
      <c r="U198" s="3869"/>
      <c r="V198" s="3869"/>
      <c r="W198" s="3870"/>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5"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5"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5" customHeight="1">
      <c r="A201" s="83"/>
      <c r="B201" s="111" t="s">
        <v>954</v>
      </c>
      <c r="C201" s="111"/>
      <c r="D201" s="111"/>
      <c r="E201" s="111"/>
      <c r="F201" s="111"/>
      <c r="H201" s="901"/>
      <c r="I201" s="901"/>
      <c r="J201" s="901"/>
      <c r="K201" s="901"/>
      <c r="L201" s="902"/>
      <c r="M201" s="901"/>
      <c r="N201" s="901"/>
      <c r="O201" s="901"/>
      <c r="P201" s="901"/>
      <c r="Q201" s="901"/>
      <c r="R201" s="859"/>
      <c r="S201" s="3888"/>
      <c r="T201" s="3889"/>
      <c r="U201" s="3889"/>
      <c r="V201" s="3889"/>
      <c r="W201" s="3890"/>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5" customHeight="1">
      <c r="A202" s="83"/>
      <c r="B202" s="111" t="s">
        <v>690</v>
      </c>
      <c r="C202" s="3893"/>
      <c r="D202" s="3894"/>
      <c r="E202" s="3894"/>
      <c r="F202" s="3895"/>
      <c r="H202" s="903"/>
      <c r="I202" s="903"/>
      <c r="J202" s="903"/>
      <c r="K202" s="903"/>
      <c r="L202" s="904"/>
      <c r="M202" s="903"/>
      <c r="N202" s="903"/>
      <c r="O202" s="903"/>
      <c r="P202" s="903"/>
      <c r="Q202" s="903"/>
      <c r="R202" s="859"/>
      <c r="S202" s="3862"/>
      <c r="T202" s="3863"/>
      <c r="U202" s="3863"/>
      <c r="V202" s="3863"/>
      <c r="W202" s="3864"/>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5"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68"/>
      <c r="T203" s="3869"/>
      <c r="U203" s="3869"/>
      <c r="V203" s="3869"/>
      <c r="W203" s="3870"/>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5"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5" customHeight="1">
      <c r="A205" s="83"/>
      <c r="B205" s="111" t="s">
        <v>498</v>
      </c>
      <c r="C205" s="111"/>
      <c r="D205" s="111"/>
      <c r="E205" s="111"/>
      <c r="F205" s="111"/>
      <c r="H205" s="901"/>
      <c r="I205" s="901"/>
      <c r="J205" s="901"/>
      <c r="K205" s="901"/>
      <c r="L205" s="902"/>
      <c r="M205" s="901"/>
      <c r="N205" s="901"/>
      <c r="O205" s="901"/>
      <c r="P205" s="901"/>
      <c r="Q205" s="901"/>
      <c r="R205" s="859"/>
      <c r="S205" s="3888"/>
      <c r="T205" s="3889"/>
      <c r="U205" s="3889"/>
      <c r="V205" s="3889"/>
      <c r="W205" s="3890"/>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5" customHeight="1">
      <c r="A206" s="83"/>
      <c r="B206" s="111" t="s">
        <v>690</v>
      </c>
      <c r="C206" s="3893"/>
      <c r="D206" s="3894"/>
      <c r="E206" s="3894"/>
      <c r="F206" s="3895"/>
      <c r="H206" s="903"/>
      <c r="I206" s="903"/>
      <c r="J206" s="903"/>
      <c r="K206" s="903"/>
      <c r="L206" s="904"/>
      <c r="M206" s="903"/>
      <c r="N206" s="903"/>
      <c r="O206" s="903"/>
      <c r="P206" s="903"/>
      <c r="Q206" s="903"/>
      <c r="R206" s="859"/>
      <c r="S206" s="3862"/>
      <c r="T206" s="3863"/>
      <c r="U206" s="3863"/>
      <c r="V206" s="3863"/>
      <c r="W206" s="3864"/>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5"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68"/>
      <c r="T207" s="3869"/>
      <c r="U207" s="3869"/>
      <c r="V207" s="3869"/>
      <c r="W207" s="3870"/>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5" customHeight="1">
      <c r="B208" s="895"/>
      <c r="C208" s="90"/>
      <c r="D208" s="90"/>
      <c r="E208" s="90"/>
      <c r="F208" s="90"/>
      <c r="H208" s="907"/>
      <c r="I208" s="90"/>
      <c r="J208" s="90"/>
      <c r="K208" s="90"/>
      <c r="L208" s="90"/>
      <c r="M208" s="90"/>
      <c r="N208" s="90"/>
      <c r="O208" s="90"/>
      <c r="P208" s="90"/>
      <c r="Q208" s="90"/>
      <c r="R208" s="8"/>
    </row>
    <row r="209" spans="1:493" ht="15.65"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5" customHeight="1">
      <c r="B210" s="111" t="s">
        <v>954</v>
      </c>
      <c r="C210" s="111"/>
      <c r="D210" s="111"/>
      <c r="E210" s="111"/>
      <c r="F210" s="111"/>
      <c r="H210" s="901"/>
      <c r="I210" s="901"/>
      <c r="J210" s="901"/>
      <c r="K210" s="901"/>
      <c r="L210" s="902"/>
      <c r="M210" s="90"/>
      <c r="N210" s="90"/>
      <c r="O210" s="90"/>
      <c r="P210" s="90"/>
      <c r="Q210" s="90"/>
      <c r="R210" s="8"/>
      <c r="S210" s="3888"/>
      <c r="T210" s="3889"/>
      <c r="U210" s="3889"/>
      <c r="V210" s="3889"/>
      <c r="W210" s="3890"/>
    </row>
    <row r="211" spans="1:493" ht="15.65" customHeight="1">
      <c r="B211" s="111" t="s">
        <v>690</v>
      </c>
      <c r="C211" s="3893"/>
      <c r="D211" s="3894"/>
      <c r="E211" s="3894"/>
      <c r="F211" s="3895"/>
      <c r="H211" s="903"/>
      <c r="I211" s="903"/>
      <c r="J211" s="903"/>
      <c r="K211" s="903"/>
      <c r="L211" s="904"/>
      <c r="M211" s="90"/>
      <c r="N211" s="90"/>
      <c r="O211" s="90"/>
      <c r="P211" s="90"/>
      <c r="Q211" s="90"/>
      <c r="R211" s="8"/>
      <c r="S211" s="3862"/>
      <c r="T211" s="3863"/>
      <c r="U211" s="3863"/>
      <c r="V211" s="3863"/>
      <c r="W211" s="3864"/>
    </row>
    <row r="212" spans="1:493" ht="15.65"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68"/>
      <c r="T212" s="3869"/>
      <c r="U212" s="3869"/>
      <c r="V212" s="3869"/>
      <c r="W212" s="3870"/>
    </row>
    <row r="213" spans="1:493" ht="15.65"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5" customHeight="1">
      <c r="B214" s="111" t="s">
        <v>498</v>
      </c>
      <c r="C214" s="111"/>
      <c r="D214" s="111"/>
      <c r="E214" s="111"/>
      <c r="F214" s="111"/>
      <c r="H214" s="901"/>
      <c r="I214" s="901"/>
      <c r="J214" s="901"/>
      <c r="K214" s="901"/>
      <c r="L214" s="902"/>
      <c r="M214" s="90"/>
      <c r="N214" s="90"/>
      <c r="O214" s="90"/>
      <c r="P214" s="90"/>
      <c r="Q214" s="90"/>
      <c r="R214" s="8"/>
      <c r="S214" s="3888"/>
      <c r="T214" s="3889"/>
      <c r="U214" s="3889"/>
      <c r="V214" s="3889"/>
      <c r="W214" s="3890"/>
    </row>
    <row r="215" spans="1:493" ht="15.65" customHeight="1">
      <c r="B215" s="111" t="s">
        <v>690</v>
      </c>
      <c r="C215" s="3893"/>
      <c r="D215" s="3894"/>
      <c r="E215" s="3894"/>
      <c r="F215" s="3895"/>
      <c r="H215" s="903"/>
      <c r="I215" s="903"/>
      <c r="J215" s="903"/>
      <c r="K215" s="903"/>
      <c r="L215" s="904"/>
      <c r="M215" s="90"/>
      <c r="N215" s="90"/>
      <c r="O215" s="90"/>
      <c r="P215" s="90"/>
      <c r="Q215" s="90"/>
      <c r="R215" s="8"/>
      <c r="S215" s="3862"/>
      <c r="T215" s="3863"/>
      <c r="U215" s="3863"/>
      <c r="V215" s="3863"/>
      <c r="W215" s="3864"/>
    </row>
    <row r="216" spans="1:493" ht="15.65"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68"/>
      <c r="T216" s="3869"/>
      <c r="U216" s="3869"/>
      <c r="V216" s="3869"/>
      <c r="W216" s="3870"/>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29316</v>
      </c>
      <c r="R220" s="1"/>
      <c r="S220" s="3888"/>
      <c r="T220" s="3889"/>
      <c r="U220" s="3889"/>
      <c r="V220" s="3889"/>
      <c r="W220" s="3890"/>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896">
        <v>46500</v>
      </c>
      <c r="G221" s="3897"/>
      <c r="H221" s="1"/>
      <c r="I221" s="1" t="s">
        <v>1301</v>
      </c>
      <c r="K221" s="1"/>
      <c r="L221" s="3896">
        <v>6785</v>
      </c>
      <c r="M221" s="3897"/>
      <c r="N221" s="1"/>
      <c r="O221" s="418">
        <f>+Q220/(P67*0.93)</f>
        <v>525.3763440860215</v>
      </c>
      <c r="P221" s="66" t="s">
        <v>2486</v>
      </c>
      <c r="Q221" s="1"/>
      <c r="R221" s="859"/>
      <c r="S221" s="3862"/>
      <c r="T221" s="3863"/>
      <c r="U221" s="3863"/>
      <c r="V221" s="3863"/>
      <c r="W221" s="3864"/>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0">
        <v>36600</v>
      </c>
      <c r="G222" s="3921"/>
      <c r="H222" s="1"/>
      <c r="I222" s="1" t="s">
        <v>1302</v>
      </c>
      <c r="K222" s="1"/>
      <c r="L222" s="3891"/>
      <c r="M222" s="3892"/>
      <c r="N222" s="1"/>
      <c r="O222" s="418">
        <f>+Q220/(P67*0.93)/12</f>
        <v>43.781362007168461</v>
      </c>
      <c r="P222" s="66" t="s">
        <v>2487</v>
      </c>
      <c r="Q222" s="1"/>
      <c r="R222" s="859"/>
      <c r="S222" s="3862"/>
      <c r="T222" s="3863"/>
      <c r="U222" s="3863"/>
      <c r="V222" s="3863"/>
      <c r="W222" s="3864"/>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0">
        <v>22000</v>
      </c>
      <c r="G223" s="3921"/>
      <c r="H223" s="1"/>
      <c r="I223" s="1"/>
      <c r="K223" s="123" t="s">
        <v>184</v>
      </c>
      <c r="L223" s="3910">
        <f>SUM(L221:M222)</f>
        <v>6785</v>
      </c>
      <c r="M223" s="3911"/>
      <c r="N223" s="1"/>
      <c r="O223" s="36" t="s">
        <v>3225</v>
      </c>
      <c r="P223" s="961"/>
      <c r="Q223" s="961"/>
      <c r="R223" s="859"/>
      <c r="S223" s="3862"/>
      <c r="T223" s="3863"/>
      <c r="U223" s="3863"/>
      <c r="V223" s="3863"/>
      <c r="W223" s="3864"/>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6640</v>
      </c>
      <c r="F224" s="3920"/>
      <c r="G224" s="3921"/>
      <c r="H224" s="1"/>
      <c r="I224" s="1"/>
      <c r="K224" s="1"/>
      <c r="L224" s="1"/>
      <c r="M224" s="1"/>
      <c r="N224" s="1"/>
      <c r="R224" s="856"/>
      <c r="S224" s="3862"/>
      <c r="T224" s="3863"/>
      <c r="U224" s="3863"/>
      <c r="V224" s="3863"/>
      <c r="W224" s="3864"/>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20"/>
      <c r="G225" s="3921"/>
      <c r="H225" s="1"/>
      <c r="I225" s="1"/>
      <c r="K225" s="1"/>
      <c r="L225" s="1"/>
      <c r="M225" s="1"/>
      <c r="N225" s="1"/>
      <c r="R225" s="856"/>
      <c r="S225" s="3862"/>
      <c r="T225" s="3863"/>
      <c r="U225" s="3863"/>
      <c r="V225" s="3863"/>
      <c r="W225" s="3864"/>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5" t="s">
        <v>6928</v>
      </c>
      <c r="C226" s="3926"/>
      <c r="D226" s="3926"/>
      <c r="E226" s="3927"/>
      <c r="F226" s="3891">
        <v>5625</v>
      </c>
      <c r="G226" s="3892"/>
      <c r="H226" s="1"/>
      <c r="I226" s="10" t="s">
        <v>1216</v>
      </c>
      <c r="K226" s="1"/>
      <c r="L226" s="1"/>
      <c r="M226" s="1"/>
      <c r="N226" s="1"/>
      <c r="R226" s="856"/>
      <c r="S226" s="3862"/>
      <c r="T226" s="3863"/>
      <c r="U226" s="3863"/>
      <c r="V226" s="3863"/>
      <c r="W226" s="3864"/>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0">
        <f>SUM(F221:G226)</f>
        <v>110725</v>
      </c>
      <c r="G227" s="3911"/>
      <c r="H227" s="1"/>
      <c r="I227" s="1" t="s">
        <v>1498</v>
      </c>
      <c r="K227" s="1"/>
      <c r="L227" s="3914">
        <v>500</v>
      </c>
      <c r="M227" s="3915"/>
      <c r="N227" s="1"/>
      <c r="R227" s="1"/>
      <c r="S227" s="3862"/>
      <c r="T227" s="3863"/>
      <c r="U227" s="3863"/>
      <c r="V227" s="3863"/>
      <c r="W227" s="3864"/>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18">
        <f>6500+7798+2454</f>
        <v>16752</v>
      </c>
      <c r="M228" s="3919"/>
      <c r="N228" s="3924" t="str">
        <f>IF(Q230="","",IF(Q228&lt;Q230, "WARNING! OE below required minimum.",""))</f>
        <v/>
      </c>
      <c r="O228" s="10" t="s">
        <v>2030</v>
      </c>
      <c r="P228" s="5"/>
      <c r="Q228" s="427">
        <f>F227+F236+F247+L223+L231+L241+L247+Q220</f>
        <v>435809</v>
      </c>
      <c r="R228" s="5"/>
      <c r="S228" s="3862"/>
      <c r="T228" s="3863"/>
      <c r="U228" s="3863"/>
      <c r="V228" s="3863"/>
      <c r="W228" s="3864"/>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18">
        <v>3795</v>
      </c>
      <c r="M229" s="3919"/>
      <c r="N229" s="3924"/>
      <c r="O229" s="66" t="s">
        <v>2488</v>
      </c>
      <c r="P229" s="418">
        <f>+Q228/P67</f>
        <v>7263.4833333333336</v>
      </c>
      <c r="R229" s="857"/>
      <c r="S229" s="3862"/>
      <c r="T229" s="3863"/>
      <c r="U229" s="3863"/>
      <c r="V229" s="3863"/>
      <c r="W229" s="3864"/>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896">
        <v>2000</v>
      </c>
      <c r="G230" s="3897"/>
      <c r="H230" s="1"/>
      <c r="I230" s="3929" t="s">
        <v>46</v>
      </c>
      <c r="J230" s="3930"/>
      <c r="K230" s="3931"/>
      <c r="L230" s="3922"/>
      <c r="M230" s="3923"/>
      <c r="N230" s="3924"/>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225000</v>
      </c>
      <c r="R230" s="1"/>
      <c r="S230" s="3862"/>
      <c r="T230" s="3863"/>
      <c r="U230" s="3863"/>
      <c r="V230" s="3863"/>
      <c r="W230" s="3864"/>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0">
        <v>7000</v>
      </c>
      <c r="G231" s="3921"/>
      <c r="H231" s="1"/>
      <c r="I231" s="10"/>
      <c r="K231" s="11" t="s">
        <v>184</v>
      </c>
      <c r="L231" s="3901">
        <f>SUM(L227:L230)</f>
        <v>21047</v>
      </c>
      <c r="M231" s="3928"/>
      <c r="N231" s="3924"/>
      <c r="O231" s="3900" t="s">
        <v>6730</v>
      </c>
      <c r="P231" s="3900"/>
      <c r="Q231" s="3900"/>
      <c r="R231" s="1"/>
      <c r="S231" s="3862"/>
      <c r="T231" s="3863"/>
      <c r="U231" s="3863"/>
      <c r="V231" s="3863"/>
      <c r="W231" s="3864"/>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0">
        <v>2508</v>
      </c>
      <c r="G232" s="3921"/>
      <c r="H232" s="1"/>
      <c r="N232" s="1"/>
      <c r="O232" s="3900"/>
      <c r="P232" s="3900"/>
      <c r="Q232" s="3900"/>
      <c r="R232" s="1163"/>
      <c r="S232" s="3862"/>
      <c r="T232" s="3863"/>
      <c r="U232" s="3863"/>
      <c r="V232" s="3863"/>
      <c r="W232" s="3864"/>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0">
        <v>2500</v>
      </c>
      <c r="G233" s="3921"/>
      <c r="H233" s="1"/>
      <c r="L233" s="1"/>
      <c r="M233" s="1"/>
      <c r="N233" s="1"/>
      <c r="R233" s="1163"/>
      <c r="S233" s="3862"/>
      <c r="T233" s="3863"/>
      <c r="U233" s="3863"/>
      <c r="V233" s="3863"/>
      <c r="W233" s="3864"/>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0">
        <v>5000</v>
      </c>
      <c r="G234" s="3921"/>
      <c r="H234" s="1"/>
      <c r="I234" s="10" t="s">
        <v>1298</v>
      </c>
      <c r="K234" s="1036" t="s">
        <v>3888</v>
      </c>
      <c r="O234" s="1658" t="s">
        <v>3088</v>
      </c>
      <c r="P234" s="10"/>
      <c r="Q234" s="1176">
        <f>Q243</f>
        <v>15000</v>
      </c>
      <c r="S234" s="3862"/>
      <c r="T234" s="3863"/>
      <c r="U234" s="3863"/>
      <c r="V234" s="3863"/>
      <c r="W234" s="3864"/>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5" t="s">
        <v>6929</v>
      </c>
      <c r="C235" s="3926"/>
      <c r="D235" s="3926"/>
      <c r="E235" s="3927"/>
      <c r="F235" s="3891">
        <v>1309</v>
      </c>
      <c r="G235" s="3892"/>
      <c r="H235" s="1"/>
      <c r="I235" s="1" t="s">
        <v>1291</v>
      </c>
      <c r="K235" s="477">
        <f>L235/12/P67</f>
        <v>50</v>
      </c>
      <c r="L235" s="3914">
        <v>36000</v>
      </c>
      <c r="M235" s="3915"/>
      <c r="N235" s="3905" t="str">
        <f>IF(Q234&lt;Q243, "WARNING! RR proposed is below the DCA required minimum.","")</f>
        <v/>
      </c>
      <c r="O235" s="978" t="s">
        <v>3887</v>
      </c>
      <c r="P235" s="973"/>
      <c r="Q235" s="979">
        <f>Q234/P243</f>
        <v>250</v>
      </c>
      <c r="R235" s="856"/>
      <c r="S235" s="3862"/>
      <c r="T235" s="3863"/>
      <c r="U235" s="3863"/>
      <c r="V235" s="3863"/>
      <c r="W235" s="3864"/>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0">
        <f>SUM(F230:G235)</f>
        <v>20317</v>
      </c>
      <c r="G236" s="3911"/>
      <c r="H236" s="1"/>
      <c r="I236" s="1" t="s">
        <v>1292</v>
      </c>
      <c r="K236" s="477">
        <f>L236/12/P67</f>
        <v>0</v>
      </c>
      <c r="L236" s="3918">
        <v>0</v>
      </c>
      <c r="M236" s="3919"/>
      <c r="N236" s="3906"/>
      <c r="O236" s="3907" t="s">
        <v>3232</v>
      </c>
      <c r="P236" s="3908"/>
      <c r="Q236" s="3909"/>
      <c r="S236" s="3862"/>
      <c r="T236" s="3863"/>
      <c r="U236" s="3863"/>
      <c r="V236" s="3863"/>
      <c r="W236" s="3864"/>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50</v>
      </c>
      <c r="L237" s="3918">
        <f>12000+24000</f>
        <v>36000</v>
      </c>
      <c r="M237" s="3919"/>
      <c r="N237" s="3906"/>
      <c r="O237" s="972" t="s">
        <v>2465</v>
      </c>
      <c r="P237" s="853" t="s">
        <v>3285</v>
      </c>
      <c r="Q237" s="974" t="s">
        <v>3056</v>
      </c>
      <c r="R237" s="5"/>
      <c r="S237" s="3862"/>
      <c r="T237" s="3863"/>
      <c r="U237" s="3863"/>
      <c r="V237" s="3863"/>
      <c r="W237" s="3864"/>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0</v>
      </c>
      <c r="L238" s="3918"/>
      <c r="M238" s="3919"/>
      <c r="N238" s="3906"/>
      <c r="O238" s="644" t="s">
        <v>36</v>
      </c>
      <c r="P238" s="645"/>
      <c r="Q238" s="646"/>
      <c r="R238" s="857"/>
      <c r="S238" s="3862"/>
      <c r="T238" s="3863"/>
      <c r="U238" s="3863"/>
      <c r="V238" s="3863"/>
      <c r="W238" s="3864"/>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2">
        <f>4500+3500</f>
        <v>8000</v>
      </c>
      <c r="G239" s="3913"/>
      <c r="H239" s="1"/>
      <c r="I239" s="94" t="s">
        <v>6690</v>
      </c>
      <c r="K239" s="477">
        <f>L239/12/P67</f>
        <v>7</v>
      </c>
      <c r="L239" s="3918">
        <v>5040</v>
      </c>
      <c r="M239" s="3919"/>
      <c r="N239" s="3906"/>
      <c r="O239" s="508" t="s">
        <v>3054</v>
      </c>
      <c r="P239" s="858" t="str">
        <f>CONCATENATE(SUM(MF49:MJ49)," units x $",'DCA Underwriting Assumptions'!$Q$28," =")</f>
        <v>0 units x $350 =</v>
      </c>
      <c r="Q239" s="647">
        <f>SUM(MF49:MJ49)*'DCA Underwriting Assumptions'!$Q$28</f>
        <v>0</v>
      </c>
      <c r="R239" s="860"/>
      <c r="S239" s="3862"/>
      <c r="T239" s="3863"/>
      <c r="U239" s="3863"/>
      <c r="V239" s="3863"/>
      <c r="W239" s="3864"/>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16"/>
      <c r="G240" s="3917"/>
      <c r="H240" s="1"/>
      <c r="I240" s="3934" t="s">
        <v>46</v>
      </c>
      <c r="J240" s="3935"/>
      <c r="K240" s="477">
        <f>L240/12/P67</f>
        <v>0</v>
      </c>
      <c r="L240" s="3922"/>
      <c r="M240" s="3923"/>
      <c r="N240" s="3906"/>
      <c r="O240" s="508" t="s">
        <v>3053</v>
      </c>
      <c r="P240" s="858" t="str">
        <f>CONCATENATE(SUM(MK49:MO49)," units x $",'DCA Underwriting Assumptions'!$Q$29," =")</f>
        <v>60 units x $250 =</v>
      </c>
      <c r="Q240" s="647">
        <f>SUM(MK49:MO49)*'DCA Underwriting Assumptions'!$Q$29</f>
        <v>15000</v>
      </c>
      <c r="S240" s="3862"/>
      <c r="T240" s="3863"/>
      <c r="U240" s="3863"/>
      <c r="V240" s="3863"/>
      <c r="W240" s="3864"/>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16">
        <v>7500</v>
      </c>
      <c r="G241" s="3917"/>
      <c r="H241" s="1"/>
      <c r="K241" s="11" t="s">
        <v>184</v>
      </c>
      <c r="L241" s="3901">
        <f>SUM(L235:L240)</f>
        <v>77040</v>
      </c>
      <c r="M241" s="3928"/>
      <c r="N241" s="3906"/>
      <c r="O241" s="648" t="s">
        <v>6504</v>
      </c>
      <c r="P241" s="858" t="str">
        <f>CONCATENATE(SUM(MP49:MT49)," units x $",'DCA Underwriting Assumptions'!$Q$30," =")</f>
        <v>0 units x $420 =</v>
      </c>
      <c r="Q241" s="647">
        <f>SUM(MP49:MT49)*'DCA Underwriting Assumptions'!$Q$30</f>
        <v>0</v>
      </c>
      <c r="R241" s="853"/>
      <c r="S241" s="3862"/>
      <c r="T241" s="3863"/>
      <c r="U241" s="3863"/>
      <c r="V241" s="3863"/>
      <c r="W241" s="3864"/>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0">
        <v>3500</v>
      </c>
      <c r="G242" s="3921"/>
      <c r="H242" s="1"/>
      <c r="O242" s="648" t="s">
        <v>3052</v>
      </c>
      <c r="P242" s="858" t="str">
        <f>CONCATENATE(P125," units x $",'DCA Underwriting Assumptions'!$Q$31," =")</f>
        <v>0 units x $420 =</v>
      </c>
      <c r="Q242" s="647">
        <f>P125*'DCA Underwriting Assumptions'!$Q$31</f>
        <v>0</v>
      </c>
      <c r="R242" s="645"/>
      <c r="S242" s="3862"/>
      <c r="T242" s="3863"/>
      <c r="U242" s="3863"/>
      <c r="V242" s="3863"/>
      <c r="W242" s="3864"/>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0">
        <v>5000</v>
      </c>
      <c r="G243" s="3921"/>
      <c r="H243" s="1"/>
      <c r="I243" s="10" t="s">
        <v>1299</v>
      </c>
      <c r="O243" s="975" t="s">
        <v>2468</v>
      </c>
      <c r="P243" s="976">
        <f>SUM(MF49:MJ49)+SUM(MK49:MO49)+SUM(MP49:MT49)+P125</f>
        <v>60</v>
      </c>
      <c r="Q243" s="977">
        <f>SUM(Q239:Q242)</f>
        <v>15000</v>
      </c>
      <c r="R243" s="858"/>
      <c r="S243" s="3862"/>
      <c r="T243" s="3863"/>
      <c r="U243" s="3863"/>
      <c r="V243" s="3863"/>
      <c r="W243" s="3864"/>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0">
        <v>2000</v>
      </c>
      <c r="G244" s="3921"/>
      <c r="H244" s="1"/>
      <c r="I244" s="94" t="s">
        <v>3934</v>
      </c>
      <c r="K244" s="1"/>
      <c r="L244" s="3914">
        <v>46175</v>
      </c>
      <c r="M244" s="3915"/>
      <c r="R244" s="858"/>
      <c r="S244" s="3862"/>
      <c r="T244" s="3863"/>
      <c r="U244" s="3863"/>
      <c r="V244" s="3863"/>
      <c r="W244" s="3864"/>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0">
        <v>3000</v>
      </c>
      <c r="G245" s="3921"/>
      <c r="H245" s="1"/>
      <c r="I245" s="1" t="s">
        <v>140</v>
      </c>
      <c r="K245" s="1"/>
      <c r="L245" s="3918">
        <v>64077</v>
      </c>
      <c r="M245" s="3919"/>
      <c r="R245" s="858"/>
      <c r="S245" s="3862"/>
      <c r="T245" s="3863"/>
      <c r="U245" s="3863"/>
      <c r="V245" s="3863"/>
      <c r="W245" s="3864"/>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23.25" customHeight="1" thickBot="1">
      <c r="A246" s="1"/>
      <c r="B246" s="3925" t="s">
        <v>6927</v>
      </c>
      <c r="C246" s="3926"/>
      <c r="D246" s="3926"/>
      <c r="E246" s="3927"/>
      <c r="F246" s="3891">
        <f>7500+350</f>
        <v>7850</v>
      </c>
      <c r="G246" s="3892"/>
      <c r="H246" s="1"/>
      <c r="I246" s="3929" t="s">
        <v>6926</v>
      </c>
      <c r="J246" s="3930"/>
      <c r="K246" s="3931"/>
      <c r="L246" s="3932">
        <f>6357+500+16620</f>
        <v>23477</v>
      </c>
      <c r="M246" s="3933"/>
      <c r="N246" s="1"/>
      <c r="R246" s="858"/>
      <c r="S246" s="3862"/>
      <c r="T246" s="3863"/>
      <c r="U246" s="3863"/>
      <c r="V246" s="3863"/>
      <c r="W246" s="3864"/>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3">
        <f>SUM(F239:G246)</f>
        <v>36850</v>
      </c>
      <c r="G247" s="3904"/>
      <c r="H247" s="1"/>
      <c r="K247" s="11" t="s">
        <v>184</v>
      </c>
      <c r="L247" s="3901">
        <f>SUM(L243:L246)</f>
        <v>133729</v>
      </c>
      <c r="M247" s="3902"/>
      <c r="N247" s="1"/>
      <c r="O247" s="10" t="s">
        <v>2031</v>
      </c>
      <c r="P247" s="1"/>
      <c r="Q247" s="427">
        <f>Q228+Q234</f>
        <v>450809</v>
      </c>
      <c r="R247" s="858"/>
      <c r="S247" s="3868"/>
      <c r="T247" s="3869"/>
      <c r="U247" s="3869"/>
      <c r="V247" s="3869"/>
      <c r="W247" s="3870"/>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5"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966"/>
      <c r="L251" s="3967"/>
      <c r="M251" s="1619" t="s">
        <v>3905</v>
      </c>
      <c r="N251" s="1548"/>
      <c r="O251" s="10" t="s">
        <v>3880</v>
      </c>
      <c r="P251" s="1"/>
      <c r="Q251" s="1570">
        <f>K251*N251</f>
        <v>0</v>
      </c>
      <c r="R251" s="856"/>
      <c r="S251" s="3885"/>
      <c r="T251" s="3886"/>
      <c r="U251" s="3886"/>
      <c r="V251" s="3886"/>
      <c r="W251" s="3887"/>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2654</v>
      </c>
      <c r="K253" s="1547" t="s">
        <v>3908</v>
      </c>
      <c r="L253" s="1600" t="s">
        <v>2654</v>
      </c>
      <c r="M253" s="72" t="s">
        <v>3909</v>
      </c>
      <c r="N253" s="1548"/>
      <c r="O253" s="484" t="s">
        <v>3907</v>
      </c>
      <c r="P253" s="1"/>
      <c r="Q253" s="1620"/>
      <c r="R253" s="856"/>
      <c r="S253" s="3885"/>
      <c r="T253" s="3886"/>
      <c r="U253" s="3886"/>
      <c r="V253" s="3886"/>
      <c r="W253" s="3887"/>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6656</v>
      </c>
      <c r="O255" s="13"/>
      <c r="NP255" s="2260"/>
    </row>
    <row r="256" spans="1:493" ht="409.5" customHeight="1">
      <c r="A256" s="3899" t="s">
        <v>7010</v>
      </c>
      <c r="B256" s="3899"/>
      <c r="C256" s="3899"/>
      <c r="D256" s="3899"/>
      <c r="E256" s="3899"/>
      <c r="F256" s="3899"/>
      <c r="G256" s="3899"/>
      <c r="H256" s="3899"/>
      <c r="I256" s="3899"/>
      <c r="J256" s="3899"/>
      <c r="K256" s="3899"/>
      <c r="L256" s="3899"/>
      <c r="M256" s="3899"/>
      <c r="N256" s="3898"/>
      <c r="O256" s="3898"/>
      <c r="P256" s="3898"/>
      <c r="Q256" s="3898"/>
      <c r="R256" s="3298" t="s">
        <v>3376</v>
      </c>
      <c r="S256" s="3297"/>
      <c r="T256" s="3297"/>
      <c r="U256" s="3297"/>
      <c r="NP256" s="2260"/>
    </row>
    <row r="257" spans="1:493" ht="11.25" customHeight="1">
      <c r="NP257" s="2260"/>
    </row>
    <row r="258" spans="1:493" ht="12" customHeight="1">
      <c r="NP258" s="2260"/>
    </row>
    <row r="259" spans="1:493" ht="12" customHeight="1">
      <c r="NP259" s="2260"/>
    </row>
    <row r="260" spans="1:493" ht="14.15" customHeight="1">
      <c r="NP260" s="2260"/>
    </row>
    <row r="261" spans="1:493" s="91" customFormat="1" ht="14.15"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5"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5"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5"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5"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5"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5"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5" customHeight="1">
      <c r="NP268" s="2260"/>
    </row>
    <row r="269" spans="1:493" ht="14.15" customHeight="1">
      <c r="NP269" s="2260"/>
    </row>
    <row r="270" spans="1:493" ht="14.15" customHeight="1">
      <c r="NP270" s="2260"/>
    </row>
    <row r="271" spans="1:493" ht="14.15" customHeight="1">
      <c r="NP271" s="2260"/>
    </row>
    <row r="272" spans="1:493" s="91" customFormat="1" ht="14.15"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5"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5"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5"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5"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5" customHeight="1"/>
    <row r="278" spans="1:493" ht="14.15" customHeight="1">
      <c r="A278" s="13"/>
      <c r="NP278" s="2260"/>
    </row>
    <row r="279" spans="1:493" ht="14.15" customHeight="1">
      <c r="NP279" s="2260"/>
    </row>
    <row r="280" spans="1:493" ht="14.15" customHeight="1">
      <c r="NP280" s="2260"/>
    </row>
    <row r="281" spans="1:493" ht="14.15" customHeight="1">
      <c r="NP281" s="2260"/>
    </row>
    <row r="282" spans="1:493" ht="14.15" customHeight="1">
      <c r="NP282" s="2260"/>
    </row>
    <row r="283" spans="1:493" ht="14.15" customHeight="1"/>
    <row r="284" spans="1:493" s="91" customFormat="1" ht="14.15"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5"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5"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5"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5"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5" customHeight="1"/>
    <row r="290" spans="1:380" ht="14.15" customHeight="1">
      <c r="A290" s="13"/>
      <c r="NP290" s="2260"/>
    </row>
    <row r="291" spans="1:380" ht="14.15" customHeight="1">
      <c r="NP291" s="2260"/>
    </row>
    <row r="292" spans="1:380" ht="14.15" customHeight="1">
      <c r="NP292" s="2260"/>
    </row>
    <row r="293" spans="1:380" ht="14.15" customHeight="1">
      <c r="NP293" s="2260"/>
    </row>
    <row r="294" spans="1:380" ht="14.15" customHeight="1">
      <c r="NP294" s="2260"/>
    </row>
    <row r="295" spans="1:380" ht="14.15" customHeight="1"/>
    <row r="296" spans="1:380" ht="14.15" customHeight="1"/>
    <row r="297" spans="1:380" ht="14.15" customHeight="1"/>
    <row r="298" spans="1:380" ht="14.15" customHeight="1"/>
    <row r="299" spans="1:380" ht="14.15"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40" zoomScaleNormal="100" workbookViewId="0">
      <selection activeCell="A140" sqref="A140:F140"/>
    </sheetView>
  </sheetViews>
  <sheetFormatPr defaultColWidth="8.81640625" defaultRowHeight="13"/>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25" width="8.81640625" style="8"/>
    <col min="26" max="26" width="10.81640625" style="2259" bestFit="1" customWidth="1"/>
    <col min="27" max="27" width="8.81640625" style="2263"/>
    <col min="28" max="16384" width="8.8164062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5" customHeight="1">
      <c r="A2" s="3984" t="str">
        <f>CONCATENATE("PART SIX - OPERATING PRO FORMA","  -  ",'Part I-Project Identification'!$O$7," ",'Part I-Project Identification'!$F$29,", ",'Part I-Project Identification'!F30,", ",'Part I-Project Identification'!J30," County")</f>
        <v>PART SIX - OPERATING PRO FORMA  -  2022-0 Villa Rica Senior, Villa Rica, Carroll County</v>
      </c>
      <c r="B2" s="3985"/>
      <c r="C2" s="3985"/>
      <c r="D2" s="3985"/>
      <c r="E2" s="3985"/>
      <c r="F2" s="3985"/>
      <c r="G2" s="3985"/>
      <c r="H2" s="3985"/>
      <c r="I2" s="3985"/>
      <c r="J2" s="3985"/>
      <c r="K2" s="3986"/>
      <c r="L2" s="10"/>
      <c r="M2" s="10"/>
      <c r="N2" s="3987" t="str">
        <f>A2</f>
        <v>PART SIX - OPERATING PRO FORMA  -  2022-0 Villa Rica Senior, Villa Rica, Carroll County</v>
      </c>
      <c r="O2" s="3987"/>
      <c r="P2" s="10"/>
      <c r="Z2" s="2259"/>
      <c r="AA2" s="2262">
        <v>2</v>
      </c>
    </row>
    <row r="3" spans="1:27" ht="13.5" customHeight="1">
      <c r="A3" s="502"/>
      <c r="B3" s="502"/>
      <c r="C3" s="502"/>
      <c r="D3" s="502"/>
      <c r="E3" s="502"/>
      <c r="F3" s="502"/>
      <c r="G3" s="502"/>
      <c r="H3" s="502"/>
      <c r="I3" s="502"/>
      <c r="J3" s="502"/>
      <c r="K3" s="502"/>
      <c r="N3" s="3988" t="s">
        <v>1711</v>
      </c>
      <c r="O3" s="3988"/>
      <c r="AA3" s="2263">
        <v>3</v>
      </c>
    </row>
    <row r="4" spans="1:27" ht="13.5" customHeight="1">
      <c r="A4" s="13" t="s">
        <v>85</v>
      </c>
      <c r="C4" s="3989" t="str">
        <f>'Part I-Project Identification'!$A$6</f>
        <v>May 12 2022 Core Application</v>
      </c>
      <c r="D4" s="1211" t="s">
        <v>75</v>
      </c>
      <c r="E4" s="235"/>
      <c r="F4" s="1212" t="s">
        <v>3405</v>
      </c>
      <c r="N4" s="13" t="str">
        <f>A4</f>
        <v>I.  OPERATING ASSUMPTIONS</v>
      </c>
      <c r="O4" s="31"/>
      <c r="AA4" s="2263">
        <v>4</v>
      </c>
    </row>
    <row r="5" spans="1:27" ht="2.5" customHeight="1">
      <c r="A5" s="16"/>
      <c r="B5" s="16"/>
      <c r="C5" s="3989"/>
      <c r="H5" s="16"/>
      <c r="I5" s="16"/>
      <c r="AA5" s="2263">
        <v>5</v>
      </c>
    </row>
    <row r="6" spans="1:27" ht="13.5" customHeight="1">
      <c r="A6" s="16" t="s">
        <v>2032</v>
      </c>
      <c r="B6" s="77">
        <v>0.02</v>
      </c>
      <c r="C6" s="3989"/>
      <c r="D6" s="3949" t="s">
        <v>3406</v>
      </c>
      <c r="E6" s="3949"/>
      <c r="F6" s="3949"/>
      <c r="G6" s="80">
        <v>6000</v>
      </c>
      <c r="H6" s="97" t="s">
        <v>1768</v>
      </c>
      <c r="K6" s="102">
        <f>IF(($B$15+$B$16+$B$17+$B$18)=0,"",B31/($B$15+$B$16+$B$17+$B$18))</f>
        <v>-9.3456127207994458E-3</v>
      </c>
      <c r="N6" s="3888"/>
      <c r="O6" s="3890"/>
      <c r="AA6" s="2263">
        <v>6</v>
      </c>
    </row>
    <row r="7" spans="1:27">
      <c r="A7" s="16" t="s">
        <v>2033</v>
      </c>
      <c r="B7" s="77">
        <v>0.03</v>
      </c>
      <c r="C7" s="3989"/>
      <c r="D7" s="3949"/>
      <c r="E7" s="3949"/>
      <c r="F7" s="3949"/>
      <c r="G7" s="1213">
        <f>IF(OR('Part II-Sources of Funds'!E6="Yes",'Part II-Sources of Funds'!I6&gt;0),'DCA Underwriting Assumptions'!$Q$61,0)</f>
        <v>0</v>
      </c>
      <c r="H7" s="16"/>
      <c r="I7" s="16"/>
      <c r="J7" s="16"/>
      <c r="K7" s="16"/>
      <c r="N7" s="3862"/>
      <c r="O7" s="3864"/>
      <c r="AA7" s="2263">
        <v>7</v>
      </c>
    </row>
    <row r="8" spans="1:27">
      <c r="A8" s="16" t="s">
        <v>2035</v>
      </c>
      <c r="B8" s="77">
        <v>0.03</v>
      </c>
      <c r="C8" s="3989"/>
      <c r="D8" s="79" t="s">
        <v>258</v>
      </c>
      <c r="G8" s="82"/>
      <c r="H8" s="97" t="s">
        <v>2192</v>
      </c>
      <c r="K8" s="102">
        <f>IF(($B$15+$B$16+$B$17+$B$18)=0,"",-B22/($B$15+$B$16+$B$17+$B$18))</f>
        <v>4.5662663753826098E-2</v>
      </c>
      <c r="N8" s="3862"/>
      <c r="O8" s="3864"/>
      <c r="AA8" s="2263">
        <v>8</v>
      </c>
    </row>
    <row r="9" spans="1:27" ht="13.4" customHeight="1">
      <c r="A9" s="16" t="s">
        <v>2034</v>
      </c>
      <c r="B9" s="241">
        <v>7.0000000000000007E-2</v>
      </c>
      <c r="C9" s="1534" t="str">
        <f>IF(B9&lt;0.07, "Must be &gt;= 7%!","")</f>
        <v/>
      </c>
      <c r="D9" s="78" t="s">
        <v>2308</v>
      </c>
      <c r="G9" s="1554" t="s">
        <v>2654</v>
      </c>
      <c r="H9" s="175" t="s">
        <v>1356</v>
      </c>
      <c r="K9" s="1556">
        <v>0</v>
      </c>
      <c r="N9" s="3862"/>
      <c r="O9" s="3864"/>
      <c r="AA9" s="2263">
        <v>9</v>
      </c>
    </row>
    <row r="10" spans="1:27">
      <c r="A10" s="16" t="s">
        <v>1337</v>
      </c>
      <c r="B10" s="77">
        <v>0.02</v>
      </c>
      <c r="D10" s="78" t="s">
        <v>1598</v>
      </c>
      <c r="G10" s="1555" t="s">
        <v>2651</v>
      </c>
      <c r="H10" s="175" t="s">
        <v>2175</v>
      </c>
      <c r="K10" s="1557">
        <v>4.5663000000000002E-2</v>
      </c>
      <c r="N10" s="3868"/>
      <c r="O10" s="3870"/>
      <c r="AA10" s="2261">
        <v>10</v>
      </c>
    </row>
    <row r="11" spans="1:27" ht="9" customHeight="1">
      <c r="AA11" s="2262">
        <v>11</v>
      </c>
    </row>
    <row r="12" spans="1:27">
      <c r="A12" s="13" t="s">
        <v>86</v>
      </c>
      <c r="D12" s="1101"/>
      <c r="N12" s="13" t="str">
        <f>A12</f>
        <v>II.  OPERATING PRO FORMA</v>
      </c>
      <c r="AA12" s="2263">
        <v>12</v>
      </c>
    </row>
    <row r="13" spans="1:27" ht="2.5" customHeight="1">
      <c r="AA13" s="2263">
        <v>13</v>
      </c>
    </row>
    <row r="14" spans="1:27" ht="1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46" t="s">
        <v>2412</v>
      </c>
      <c r="O14" s="3546"/>
      <c r="AA14" s="2263">
        <v>14</v>
      </c>
    </row>
    <row r="15" spans="1:27" ht="13.4" customHeight="1">
      <c r="A15" s="18" t="s">
        <v>2216</v>
      </c>
      <c r="B15" s="19">
        <f>'Part V-Revenues &amp; Expenses'!$M$50</f>
        <v>676800</v>
      </c>
      <c r="C15" s="19">
        <f t="shared" ref="C15:K15" si="1">$B$15*(1+$B$6)^(C14-1)</f>
        <v>690336</v>
      </c>
      <c r="D15" s="19">
        <f t="shared" si="1"/>
        <v>704142.72</v>
      </c>
      <c r="E15" s="19">
        <f t="shared" si="1"/>
        <v>718225.57439999992</v>
      </c>
      <c r="F15" s="19">
        <f t="shared" si="1"/>
        <v>732590.08588799997</v>
      </c>
      <c r="G15" s="19">
        <f t="shared" si="1"/>
        <v>747241.88760576001</v>
      </c>
      <c r="H15" s="19">
        <f t="shared" si="1"/>
        <v>762186.72535787523</v>
      </c>
      <c r="I15" s="19">
        <f t="shared" si="1"/>
        <v>777430.45986503258</v>
      </c>
      <c r="J15" s="19">
        <f t="shared" si="1"/>
        <v>792979.06906233332</v>
      </c>
      <c r="K15" s="20">
        <f t="shared" si="1"/>
        <v>808838.65044358</v>
      </c>
      <c r="N15" s="3888"/>
      <c r="O15" s="3890"/>
      <c r="S15" s="3980" t="s">
        <v>3411</v>
      </c>
      <c r="Z15" s="2259" t="s">
        <v>6468</v>
      </c>
      <c r="AA15" s="2263">
        <v>15</v>
      </c>
    </row>
    <row r="16" spans="1:27" ht="13.4" customHeight="1">
      <c r="A16" s="21" t="s">
        <v>953</v>
      </c>
      <c r="B16" s="22">
        <f>MIN(B15*B10,'Part V-Revenues &amp; Expenses'!$H$179)</f>
        <v>13536</v>
      </c>
      <c r="C16" s="22">
        <f t="shared" ref="C16:K16" si="2">$B$16*(1+$B$6)^(C14-1)</f>
        <v>13806.72</v>
      </c>
      <c r="D16" s="22">
        <f t="shared" si="2"/>
        <v>14082.8544</v>
      </c>
      <c r="E16" s="22">
        <f t="shared" si="2"/>
        <v>14364.511487999998</v>
      </c>
      <c r="F16" s="22">
        <f t="shared" si="2"/>
        <v>14651.80171776</v>
      </c>
      <c r="G16" s="22">
        <f t="shared" si="2"/>
        <v>14944.8377521152</v>
      </c>
      <c r="H16" s="22">
        <f t="shared" si="2"/>
        <v>15243.734507157506</v>
      </c>
      <c r="I16" s="22">
        <f t="shared" si="2"/>
        <v>15548.609197300651</v>
      </c>
      <c r="J16" s="22">
        <f t="shared" si="2"/>
        <v>15859.581381246666</v>
      </c>
      <c r="K16" s="23">
        <f t="shared" si="2"/>
        <v>16176.7730088716</v>
      </c>
      <c r="N16" s="3862"/>
      <c r="O16" s="3864"/>
      <c r="S16" s="3981"/>
      <c r="Z16" s="2259" t="s">
        <v>6468</v>
      </c>
      <c r="AA16" s="2263">
        <v>16</v>
      </c>
    </row>
    <row r="17" spans="1:27" ht="13.4" customHeight="1">
      <c r="A17" s="21" t="s">
        <v>2217</v>
      </c>
      <c r="B17" s="22">
        <f t="shared" ref="B17:K17" si="3">-(B15+B16)*$B$9</f>
        <v>-48323.520000000004</v>
      </c>
      <c r="C17" s="22">
        <f t="shared" si="3"/>
        <v>-49289.990400000002</v>
      </c>
      <c r="D17" s="22">
        <f t="shared" si="3"/>
        <v>-50275.790207999999</v>
      </c>
      <c r="E17" s="22">
        <f t="shared" si="3"/>
        <v>-51281.306012160007</v>
      </c>
      <c r="F17" s="22">
        <f t="shared" si="3"/>
        <v>-52306.932132403206</v>
      </c>
      <c r="G17" s="22">
        <f t="shared" si="3"/>
        <v>-53353.070775051274</v>
      </c>
      <c r="H17" s="22">
        <f t="shared" si="3"/>
        <v>-54420.132190552293</v>
      </c>
      <c r="I17" s="22">
        <f t="shared" si="3"/>
        <v>-55508.53483436333</v>
      </c>
      <c r="J17" s="22">
        <f t="shared" si="3"/>
        <v>-56618.705531050604</v>
      </c>
      <c r="K17" s="23">
        <f t="shared" si="3"/>
        <v>-57751.079641671618</v>
      </c>
      <c r="N17" s="3862"/>
      <c r="O17" s="3864"/>
      <c r="Q17" s="3983" t="s">
        <v>3301</v>
      </c>
      <c r="R17" s="3983" t="s">
        <v>3410</v>
      </c>
      <c r="S17" s="3981"/>
      <c r="Z17" s="2259" t="s">
        <v>6468</v>
      </c>
      <c r="AA17" s="2263">
        <v>17</v>
      </c>
    </row>
    <row r="18" spans="1:27" ht="13.4"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2"/>
      <c r="O18" s="3864"/>
      <c r="Q18" s="3983"/>
      <c r="R18" s="3983"/>
      <c r="S18" s="3982"/>
      <c r="Z18" s="2259" t="s">
        <v>6468</v>
      </c>
      <c r="AA18" s="2263">
        <v>18</v>
      </c>
    </row>
    <row r="19" spans="1:27" ht="13.4"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2"/>
      <c r="O19" s="3864"/>
      <c r="Z19" s="2259" t="s">
        <v>6468</v>
      </c>
      <c r="AA19" s="2261">
        <v>19</v>
      </c>
    </row>
    <row r="20" spans="1:27" ht="13.4" customHeight="1">
      <c r="A20" s="447" t="s">
        <v>3842</v>
      </c>
      <c r="B20" s="22">
        <f>SUM(B15:B19)</f>
        <v>642012.48</v>
      </c>
      <c r="C20" s="22">
        <f t="shared" ref="C20:K20" si="4">SUM(C15:C19)</f>
        <v>654852.72959999996</v>
      </c>
      <c r="D20" s="22">
        <f t="shared" si="4"/>
        <v>667949.78419199993</v>
      </c>
      <c r="E20" s="22">
        <f t="shared" si="4"/>
        <v>681308.77987583994</v>
      </c>
      <c r="F20" s="22">
        <f t="shared" si="4"/>
        <v>694934.95547335676</v>
      </c>
      <c r="G20" s="22">
        <f t="shared" si="4"/>
        <v>708833.65458282398</v>
      </c>
      <c r="H20" s="22">
        <f t="shared" si="4"/>
        <v>723010.32767448039</v>
      </c>
      <c r="I20" s="22">
        <f t="shared" si="4"/>
        <v>737470.53422796982</v>
      </c>
      <c r="J20" s="22">
        <f t="shared" si="4"/>
        <v>752219.94491252943</v>
      </c>
      <c r="K20" s="23">
        <f t="shared" si="4"/>
        <v>767264.34381077997</v>
      </c>
      <c r="N20" s="3862"/>
      <c r="O20" s="3864"/>
      <c r="Z20" s="2259" t="s">
        <v>6468</v>
      </c>
      <c r="AA20" s="2262">
        <v>20</v>
      </c>
    </row>
    <row r="21" spans="1:27" ht="13.4" customHeight="1">
      <c r="A21" s="21" t="s">
        <v>572</v>
      </c>
      <c r="B21" s="22">
        <f>-('Part V-Revenues &amp; Expenses'!$Q$228-'Part V-Revenues &amp; Expenses'!$Q$220)</f>
        <v>-406493</v>
      </c>
      <c r="C21" s="22">
        <f t="shared" ref="C21:K21" si="5">$B$21*(1+$B$7)^(C14-1)</f>
        <v>-418687.79000000004</v>
      </c>
      <c r="D21" s="22">
        <f t="shared" si="5"/>
        <v>-431248.42369999998</v>
      </c>
      <c r="E21" s="22">
        <f t="shared" si="5"/>
        <v>-444185.87641099998</v>
      </c>
      <c r="F21" s="22">
        <f t="shared" si="5"/>
        <v>-457511.45270332997</v>
      </c>
      <c r="G21" s="22">
        <f t="shared" si="5"/>
        <v>-471236.79628442985</v>
      </c>
      <c r="H21" s="22">
        <f t="shared" si="5"/>
        <v>-485373.90017296275</v>
      </c>
      <c r="I21" s="22">
        <f t="shared" si="5"/>
        <v>-499935.11717815168</v>
      </c>
      <c r="J21" s="22">
        <f t="shared" si="5"/>
        <v>-514933.17069349618</v>
      </c>
      <c r="K21" s="23">
        <f t="shared" si="5"/>
        <v>-530381.16581430112</v>
      </c>
      <c r="N21" s="3862"/>
      <c r="O21" s="3864"/>
      <c r="Q21" s="62">
        <v>1</v>
      </c>
      <c r="R21" s="1105">
        <f>-B32</f>
        <v>48421.201392934774</v>
      </c>
      <c r="S21" s="1105">
        <f>B33+R21</f>
        <v>48421.201392934774</v>
      </c>
      <c r="Z21" s="2259" t="s">
        <v>6468</v>
      </c>
      <c r="AA21" s="2263">
        <v>21</v>
      </c>
    </row>
    <row r="22" spans="1:27" ht="13.4" customHeight="1">
      <c r="A22" s="21" t="s">
        <v>1051</v>
      </c>
      <c r="B22" s="22">
        <f>IF(AND('Part VI-Pro Forma'!$G$9="Yes",'Part VI-Pro Forma'!$G$10="Yes"),"Choose One!",IF('Part VI-Pro Forma'!$G$9="Yes",ROUND((-$K$9*(1+'Part VI-Pro Forma'!$B$7)^('Part VI-Pro Forma'!B14-1)),),IF('Part VI-Pro Forma'!$G$10="Yes",ROUND((-(SUM(B15:B18)*'Part VI-Pro Forma'!$K$10)),),"Choose mgt fee")))</f>
        <v>-29316</v>
      </c>
      <c r="C22" s="22">
        <f>IF(AND('Part VI-Pro Forma'!$G$9="Yes",'Part VI-Pro Forma'!$G$10="Yes"),"Choose One!",IF('Part VI-Pro Forma'!$G$9="Yes",ROUND((-$K$9*(1+'Part VI-Pro Forma'!$B$7)^('Part VI-Pro Forma'!C14-1)),),IF('Part VI-Pro Forma'!$G$10="Yes",ROUND((-(SUM(C15:C18)*'Part VI-Pro Forma'!$K$10)),),"Choose mgt fee")))</f>
        <v>-29903</v>
      </c>
      <c r="D22" s="22">
        <f>IF(AND('Part VI-Pro Forma'!$G$9="Yes",'Part VI-Pro Forma'!$G$10="Yes"),"Choose One!",IF('Part VI-Pro Forma'!$G$9="Yes",ROUND((-$K$9*(1+'Part VI-Pro Forma'!$B$7)^('Part VI-Pro Forma'!D14-1)),),IF('Part VI-Pro Forma'!$G$10="Yes",ROUND((-(SUM(D15:D18)*'Part VI-Pro Forma'!$K$10)),),"Choose mgt fee")))</f>
        <v>-30501</v>
      </c>
      <c r="E22" s="22">
        <f>IF(AND('Part VI-Pro Forma'!$G$9="Yes",'Part VI-Pro Forma'!$G$10="Yes"),"Choose One!",IF('Part VI-Pro Forma'!$G$9="Yes",ROUND((-$K$9*(1+'Part VI-Pro Forma'!$B$7)^('Part VI-Pro Forma'!E14-1)),),IF('Part VI-Pro Forma'!$G$10="Yes",ROUND((-(SUM(E15:E18)*'Part VI-Pro Forma'!$K$10)),),"Choose mgt fee")))</f>
        <v>-31111</v>
      </c>
      <c r="F22" s="22">
        <f>IF(AND('Part VI-Pro Forma'!$G$9="Yes",'Part VI-Pro Forma'!$G$10="Yes"),"Choose One!",IF('Part VI-Pro Forma'!$G$9="Yes",ROUND((-$K$9*(1+'Part VI-Pro Forma'!$B$7)^('Part VI-Pro Forma'!F14-1)),),IF('Part VI-Pro Forma'!$G$10="Yes",ROUND((-(SUM(F15:F18)*'Part VI-Pro Forma'!$K$10)),),"Choose mgt fee")))</f>
        <v>-31733</v>
      </c>
      <c r="G22" s="22">
        <f>IF(AND('Part VI-Pro Forma'!$G$9="Yes",'Part VI-Pro Forma'!$G$10="Yes"),"Choose One!",IF('Part VI-Pro Forma'!$G$9="Yes",ROUND((-$K$9*(1+'Part VI-Pro Forma'!$B$7)^('Part VI-Pro Forma'!G14-1)),),IF('Part VI-Pro Forma'!$G$10="Yes",ROUND((-(SUM(G15:G18)*'Part VI-Pro Forma'!$K$10)),),"Choose mgt fee")))</f>
        <v>-32367</v>
      </c>
      <c r="H22" s="22">
        <f>IF(AND('Part VI-Pro Forma'!$G$9="Yes",'Part VI-Pro Forma'!$G$10="Yes"),"Choose One!",IF('Part VI-Pro Forma'!$G$9="Yes",ROUND((-$K$9*(1+'Part VI-Pro Forma'!$B$7)^('Part VI-Pro Forma'!H14-1)),),IF('Part VI-Pro Forma'!$G$10="Yes",ROUND((-(SUM(H15:H18)*'Part VI-Pro Forma'!$K$10)),),"Choose mgt fee")))</f>
        <v>-33015</v>
      </c>
      <c r="I22" s="22">
        <f>IF(AND('Part VI-Pro Forma'!$G$9="Yes",'Part VI-Pro Forma'!$G$10="Yes"),"Choose One!",IF('Part VI-Pro Forma'!$G$9="Yes",ROUND((-$K$9*(1+'Part VI-Pro Forma'!$B$7)^('Part VI-Pro Forma'!I14-1)),),IF('Part VI-Pro Forma'!$G$10="Yes",ROUND((-(SUM(I15:I18)*'Part VI-Pro Forma'!$K$10)),),"Choose mgt fee")))</f>
        <v>-33675</v>
      </c>
      <c r="J22" s="22">
        <f>IF(AND('Part VI-Pro Forma'!$G$9="Yes",'Part VI-Pro Forma'!$G$10="Yes"),"Choose One!",IF('Part VI-Pro Forma'!$G$9="Yes",ROUND((-$K$9*(1+'Part VI-Pro Forma'!$B$7)^('Part VI-Pro Forma'!J14-1)),),IF('Part VI-Pro Forma'!$G$10="Yes",ROUND((-(SUM(J15:J18)*'Part VI-Pro Forma'!$K$10)),),"Choose mgt fee")))</f>
        <v>-34349</v>
      </c>
      <c r="K22" s="23">
        <f>IF(AND('Part VI-Pro Forma'!$G$9="Yes",'Part VI-Pro Forma'!$G$10="Yes"),"Choose One!",IF('Part VI-Pro Forma'!$G$9="Yes",ROUND((-$K$9*(1+'Part VI-Pro Forma'!$B$7)^('Part VI-Pro Forma'!K14-1)),),IF('Part VI-Pro Forma'!$G$10="Yes",ROUND((-(SUM(K15:K18)*'Part VI-Pro Forma'!$K$10)),),"Choose mgt fee")))</f>
        <v>-35036</v>
      </c>
      <c r="N22" s="3862"/>
      <c r="O22" s="3864"/>
      <c r="Q22" s="62">
        <v>2</v>
      </c>
      <c r="R22" s="1105">
        <f>-SUM(B32:C32)</f>
        <v>96450.862385869492</v>
      </c>
      <c r="S22" s="1105">
        <f>SUM(B33:C33)+R22</f>
        <v>96450.862385869492</v>
      </c>
      <c r="Z22" s="2259" t="s">
        <v>6468</v>
      </c>
      <c r="AA22" s="2263">
        <v>22</v>
      </c>
    </row>
    <row r="23" spans="1:27" ht="13.4" customHeight="1">
      <c r="A23" s="21" t="s">
        <v>1129</v>
      </c>
      <c r="B23" s="22">
        <f>-('Part V-Revenues &amp; Expenses'!$Q$234)</f>
        <v>-15000</v>
      </c>
      <c r="C23" s="22">
        <f t="shared" ref="C23:K23" si="6">$B$23*(1+$B$8)^(C14-1)</f>
        <v>-15450</v>
      </c>
      <c r="D23" s="22">
        <f t="shared" si="6"/>
        <v>-15913.5</v>
      </c>
      <c r="E23" s="22">
        <f t="shared" si="6"/>
        <v>-16390.904999999999</v>
      </c>
      <c r="F23" s="22">
        <f t="shared" si="6"/>
        <v>-16882.632149999998</v>
      </c>
      <c r="G23" s="22">
        <f t="shared" si="6"/>
        <v>-17389.111114499996</v>
      </c>
      <c r="H23" s="22">
        <f t="shared" si="6"/>
        <v>-17910.784447934999</v>
      </c>
      <c r="I23" s="22">
        <f t="shared" si="6"/>
        <v>-18448.10798137305</v>
      </c>
      <c r="J23" s="22">
        <f t="shared" si="6"/>
        <v>-19001.551220814239</v>
      </c>
      <c r="K23" s="23">
        <f t="shared" si="6"/>
        <v>-19571.597757438667</v>
      </c>
      <c r="N23" s="3862"/>
      <c r="O23" s="3864"/>
      <c r="Q23" s="62">
        <v>3</v>
      </c>
      <c r="R23" s="1105">
        <f>-SUM(B32:D32)</f>
        <v>143955.44427080423</v>
      </c>
      <c r="S23" s="1105">
        <f>SUM(B33:D33)+R23</f>
        <v>143955.44427080423</v>
      </c>
      <c r="Z23" s="2259" t="s">
        <v>6468</v>
      </c>
      <c r="AA23" s="2263">
        <v>23</v>
      </c>
    </row>
    <row r="24" spans="1:27" ht="13.4"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2"/>
      <c r="O24" s="3864"/>
      <c r="Q24" s="958">
        <v>4</v>
      </c>
      <c r="R24" s="1105">
        <f>-SUM(B32:E32)</f>
        <v>190794.164128579</v>
      </c>
      <c r="S24" s="1105">
        <f>SUM(B33:E33)+R24</f>
        <v>190794.164128579</v>
      </c>
      <c r="Z24" s="2259" t="s">
        <v>6468</v>
      </c>
      <c r="AA24" s="2261">
        <v>24</v>
      </c>
    </row>
    <row r="25" spans="1:27" ht="13.4" customHeight="1">
      <c r="A25" s="21" t="s">
        <v>1130</v>
      </c>
      <c r="B25" s="22">
        <f>SUM(B20:B24)</f>
        <v>191203.47999999998</v>
      </c>
      <c r="C25" s="22">
        <f t="shared" ref="C25:J25" si="7">SUM(C20:C24)</f>
        <v>190811.93959999993</v>
      </c>
      <c r="D25" s="22">
        <f t="shared" si="7"/>
        <v>190286.86049199995</v>
      </c>
      <c r="E25" s="22">
        <f t="shared" si="7"/>
        <v>189620.99846483997</v>
      </c>
      <c r="F25" s="22">
        <f t="shared" si="7"/>
        <v>188807.87062002681</v>
      </c>
      <c r="G25" s="22">
        <f t="shared" si="7"/>
        <v>187840.74718389413</v>
      </c>
      <c r="H25" s="22">
        <f t="shared" si="7"/>
        <v>186710.64305358264</v>
      </c>
      <c r="I25" s="22">
        <f t="shared" si="7"/>
        <v>185412.30906844509</v>
      </c>
      <c r="J25" s="22">
        <f t="shared" si="7"/>
        <v>183936.22299821902</v>
      </c>
      <c r="K25" s="1538">
        <f>SUM(K20:K24)</f>
        <v>182275.5802390402</v>
      </c>
      <c r="N25" s="3862"/>
      <c r="O25" s="3864"/>
      <c r="Q25" s="958">
        <v>5</v>
      </c>
      <c r="R25" s="1105">
        <f>-SUM(B32:F32)</f>
        <v>236819.75614154059</v>
      </c>
      <c r="S25" s="1105">
        <f>SUM(B33:F33)+R25</f>
        <v>236819.75614154059</v>
      </c>
      <c r="Z25" s="2259" t="s">
        <v>6468</v>
      </c>
      <c r="AA25" s="2262">
        <v>25</v>
      </c>
    </row>
    <row r="26" spans="1:27" ht="13.4" customHeight="1">
      <c r="A26" s="447" t="s">
        <v>1487</v>
      </c>
      <c r="B26" s="448">
        <f>IF('Part II-Sources of Funds'!$P$40="", 0,-'Part II-Sources of Funds'!$P$40)</f>
        <v>-136782.27860706521</v>
      </c>
      <c r="C26" s="448">
        <f>IF('Part II-Sources of Funds'!$P$40="", 0,-'Part II-Sources of Funds'!$P$40)</f>
        <v>-136782.27860706521</v>
      </c>
      <c r="D26" s="448">
        <f>IF('Part II-Sources of Funds'!$P$40="", 0,-'Part II-Sources of Funds'!$P$40)</f>
        <v>-136782.27860706521</v>
      </c>
      <c r="E26" s="448">
        <f>IF('Part II-Sources of Funds'!$P$40="", 0,-'Part II-Sources of Funds'!$P$40)</f>
        <v>-136782.27860706521</v>
      </c>
      <c r="F26" s="448">
        <f>IF('Part II-Sources of Funds'!$P$40="", 0,-'Part II-Sources of Funds'!$P$40)</f>
        <v>-136782.27860706521</v>
      </c>
      <c r="G26" s="448">
        <f>IF('Part II-Sources of Funds'!$P$40="", 0,-'Part II-Sources of Funds'!$P$40)</f>
        <v>-136782.27860706521</v>
      </c>
      <c r="H26" s="448">
        <f>IF('Part II-Sources of Funds'!$P$40="", 0,-'Part II-Sources of Funds'!$P$40)</f>
        <v>-136782.27860706521</v>
      </c>
      <c r="I26" s="448">
        <f>IF('Part II-Sources of Funds'!$P$40="", 0,-'Part II-Sources of Funds'!$P$40)</f>
        <v>-136782.27860706521</v>
      </c>
      <c r="J26" s="448">
        <f>IF('Part II-Sources of Funds'!$P$40="", 0,-'Part II-Sources of Funds'!$P$40)</f>
        <v>-136782.27860706521</v>
      </c>
      <c r="K26" s="448">
        <f>IF('Part II-Sources of Funds'!$P$40="", 0,-'Part II-Sources of Funds'!$P$40)</f>
        <v>-136782.27860706521</v>
      </c>
      <c r="N26" s="3862"/>
      <c r="O26" s="3864"/>
      <c r="Q26" s="958">
        <v>6</v>
      </c>
      <c r="R26" s="1105">
        <f>-SUM(B32:G32)</f>
        <v>281878.22471836954</v>
      </c>
      <c r="S26" s="1105">
        <f>SUM(B33:G33)+R26</f>
        <v>281878.22471836954</v>
      </c>
      <c r="Z26" s="2259" t="s">
        <v>6468</v>
      </c>
      <c r="AA26" s="2263">
        <v>26</v>
      </c>
    </row>
    <row r="27" spans="1:27" ht="13.4"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2"/>
      <c r="O27" s="3864"/>
      <c r="Q27" s="958">
        <v>7</v>
      </c>
      <c r="R27" s="1105">
        <f>-SUM(B32:H32)</f>
        <v>325806.58916488697</v>
      </c>
      <c r="S27" s="1105">
        <f>SUM(B33:H33)+R27</f>
        <v>325806.58916488697</v>
      </c>
      <c r="Z27" s="2259" t="s">
        <v>6468</v>
      </c>
      <c r="AA27" s="2263">
        <v>27</v>
      </c>
    </row>
    <row r="28" spans="1:27" ht="13.4"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2"/>
      <c r="O28" s="3864"/>
      <c r="Q28" s="958">
        <v>8</v>
      </c>
      <c r="R28" s="1105">
        <f>-SUM(B32:I32)</f>
        <v>368436.61962626688</v>
      </c>
      <c r="S28" s="1105">
        <f>SUM(B33:I33)+R28</f>
        <v>368436.61962626688</v>
      </c>
      <c r="Z28" s="2259" t="s">
        <v>6468</v>
      </c>
      <c r="AA28" s="2263">
        <v>28</v>
      </c>
    </row>
    <row r="29" spans="1:27" ht="13.4"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2"/>
      <c r="O29" s="3864"/>
      <c r="Q29" s="958">
        <v>9</v>
      </c>
      <c r="R29" s="1105">
        <f>-SUM(B32:J32)</f>
        <v>399484.61962626688</v>
      </c>
      <c r="S29" s="1105">
        <f>SUM(B33:J33)+R29</f>
        <v>409590.56401742069</v>
      </c>
      <c r="Z29" s="2259" t="s">
        <v>6468</v>
      </c>
      <c r="AA29" s="2263">
        <v>29</v>
      </c>
    </row>
    <row r="30" spans="1:27" ht="13.4" customHeight="1">
      <c r="A30" s="21" t="s">
        <v>711</v>
      </c>
      <c r="B30" s="173"/>
      <c r="C30" s="173"/>
      <c r="D30" s="173"/>
      <c r="E30" s="173"/>
      <c r="F30" s="173"/>
      <c r="G30" s="173"/>
      <c r="H30" s="173"/>
      <c r="I30" s="173"/>
      <c r="J30" s="173"/>
      <c r="K30" s="173"/>
      <c r="N30" s="3862"/>
      <c r="O30" s="3864"/>
      <c r="Q30" s="958">
        <v>10</v>
      </c>
      <c r="R30" s="1105">
        <f>-SUM(B32:K32)</f>
        <v>399484.61962626688</v>
      </c>
      <c r="S30" s="1105">
        <f>SUM(B33:K33)+R30</f>
        <v>449083.86564939568</v>
      </c>
      <c r="Z30" s="2259" t="s">
        <v>6468</v>
      </c>
      <c r="AA30" s="2263">
        <v>30</v>
      </c>
    </row>
    <row r="31" spans="1:27" ht="13.4" customHeight="1">
      <c r="A31" s="447" t="s">
        <v>1096</v>
      </c>
      <c r="B31" s="1164">
        <f>-$G$6</f>
        <v>-6000</v>
      </c>
      <c r="C31" s="1164">
        <f t="shared" ref="C31:K31" si="8">+B31</f>
        <v>-6000</v>
      </c>
      <c r="D31" s="1164">
        <f t="shared" si="8"/>
        <v>-6000</v>
      </c>
      <c r="E31" s="1164">
        <f>+D31</f>
        <v>-6000</v>
      </c>
      <c r="F31" s="1164">
        <f t="shared" si="8"/>
        <v>-6000</v>
      </c>
      <c r="G31" s="1164">
        <f t="shared" si="8"/>
        <v>-6000</v>
      </c>
      <c r="H31" s="1164">
        <f t="shared" si="8"/>
        <v>-6000</v>
      </c>
      <c r="I31" s="1164">
        <f t="shared" si="8"/>
        <v>-6000</v>
      </c>
      <c r="J31" s="1164">
        <f t="shared" si="8"/>
        <v>-6000</v>
      </c>
      <c r="K31" s="1164">
        <f t="shared" si="8"/>
        <v>-6000</v>
      </c>
      <c r="N31" s="3862"/>
      <c r="O31" s="3864"/>
      <c r="Q31" s="958">
        <v>11</v>
      </c>
      <c r="R31" s="1105">
        <f>-SUM(B32:K32)-B64</f>
        <v>399484.61962626688</v>
      </c>
      <c r="S31" s="1105">
        <f>SUM(B33:K33)+B65+R31</f>
        <v>486723.87125043414</v>
      </c>
      <c r="Z31" s="2259" t="s">
        <v>6468</v>
      </c>
      <c r="AA31" s="2263">
        <v>31</v>
      </c>
    </row>
    <row r="32" spans="1:27" ht="13.4" customHeight="1">
      <c r="A32" s="447" t="s">
        <v>3364</v>
      </c>
      <c r="B32" s="234">
        <f t="shared" ref="B32:I32" si="9">-B25-B26-B31</f>
        <v>-48421.201392934774</v>
      </c>
      <c r="C32" s="234">
        <f t="shared" si="9"/>
        <v>-48029.660992934718</v>
      </c>
      <c r="D32" s="234">
        <f t="shared" si="9"/>
        <v>-47504.581884934742</v>
      </c>
      <c r="E32" s="234">
        <f t="shared" si="9"/>
        <v>-46838.719857774762</v>
      </c>
      <c r="F32" s="234">
        <f t="shared" si="9"/>
        <v>-46025.592012961599</v>
      </c>
      <c r="G32" s="234">
        <f t="shared" si="9"/>
        <v>-45058.46857682892</v>
      </c>
      <c r="H32" s="234">
        <f t="shared" si="9"/>
        <v>-43928.364446517429</v>
      </c>
      <c r="I32" s="234">
        <f t="shared" si="9"/>
        <v>-42630.03046137988</v>
      </c>
      <c r="J32" s="234">
        <v>-31048</v>
      </c>
      <c r="K32" s="234"/>
      <c r="N32" s="3862"/>
      <c r="O32" s="3864"/>
      <c r="Q32" s="958">
        <v>12</v>
      </c>
      <c r="R32" s="1105">
        <f>-SUM(B32:K32) - SUM(B64:C64)</f>
        <v>399484.61962626688</v>
      </c>
      <c r="S32" s="1105">
        <f>SUM(B33:K33) + SUM(B65:C65)+R32</f>
        <v>522307.52907084569</v>
      </c>
      <c r="Z32" s="2259" t="s">
        <v>6468</v>
      </c>
      <c r="AA32" s="2263">
        <v>32</v>
      </c>
    </row>
    <row r="33" spans="1:27" ht="13.4" customHeight="1">
      <c r="A33" s="21" t="s">
        <v>1097</v>
      </c>
      <c r="B33" s="22">
        <f t="shared" ref="B33:K33" si="10">SUM(B25:B32)</f>
        <v>0</v>
      </c>
      <c r="C33" s="22">
        <f t="shared" si="10"/>
        <v>0</v>
      </c>
      <c r="D33" s="22">
        <f t="shared" si="10"/>
        <v>0</v>
      </c>
      <c r="E33" s="22">
        <f t="shared" si="10"/>
        <v>0</v>
      </c>
      <c r="F33" s="22">
        <f t="shared" si="10"/>
        <v>0</v>
      </c>
      <c r="G33" s="22">
        <f t="shared" si="10"/>
        <v>0</v>
      </c>
      <c r="H33" s="22">
        <f t="shared" si="10"/>
        <v>0</v>
      </c>
      <c r="I33" s="22">
        <f t="shared" si="10"/>
        <v>0</v>
      </c>
      <c r="J33" s="22">
        <f t="shared" si="10"/>
        <v>10105.944391153811</v>
      </c>
      <c r="K33" s="23">
        <f t="shared" si="10"/>
        <v>39493.301631974988</v>
      </c>
      <c r="N33" s="3862"/>
      <c r="O33" s="3864"/>
      <c r="Q33" s="958">
        <v>13</v>
      </c>
      <c r="R33" s="1105">
        <f>-SUM(B32:K32) - SUM(B64:D64)</f>
        <v>399484.61962626688</v>
      </c>
      <c r="S33" s="1105">
        <f>SUM(B33:K33) + SUM(B65:D65)+R33</f>
        <v>555624.07675107429</v>
      </c>
      <c r="Z33" s="2259" t="s">
        <v>6468</v>
      </c>
      <c r="AA33" s="2261">
        <v>33</v>
      </c>
    </row>
    <row r="34" spans="1:27" ht="13.4" customHeight="1">
      <c r="A34" s="21" t="str">
        <f>IF('Part II-Sources of Funds'!$E$40 = "Neither", "", "DCR Mortgage A")</f>
        <v>DCR Mortgage A</v>
      </c>
      <c r="B34" s="24">
        <f t="shared" ref="B34:K34" si="11">IF(B26=0,"",-B25/B26)</f>
        <v>1.3978673403246242</v>
      </c>
      <c r="C34" s="24">
        <f t="shared" si="11"/>
        <v>1.3950048320816899</v>
      </c>
      <c r="D34" s="24">
        <f t="shared" si="11"/>
        <v>1.3911660372220986</v>
      </c>
      <c r="E34" s="24">
        <f t="shared" si="11"/>
        <v>1.3862979941251359</v>
      </c>
      <c r="F34" s="24">
        <f t="shared" si="11"/>
        <v>1.3803533070421765</v>
      </c>
      <c r="G34" s="24">
        <f t="shared" si="11"/>
        <v>1.3732827753477095</v>
      </c>
      <c r="H34" s="24">
        <f t="shared" si="11"/>
        <v>1.3650207099557594</v>
      </c>
      <c r="I34" s="24">
        <f t="shared" si="11"/>
        <v>1.3555287348376428</v>
      </c>
      <c r="J34" s="24">
        <f t="shared" si="11"/>
        <v>1.3447372340287813</v>
      </c>
      <c r="K34" s="25">
        <f t="shared" si="11"/>
        <v>1.3325964598284235</v>
      </c>
      <c r="N34" s="3862"/>
      <c r="O34" s="3864"/>
      <c r="Q34" s="958">
        <v>14</v>
      </c>
      <c r="R34" s="1105">
        <f>-SUM(B32:K32) - SUM(B64:E64)</f>
        <v>399484.61962626688</v>
      </c>
      <c r="S34" s="1105">
        <f>SUM(B33:K33) + SUM(B65:E65)+R34</f>
        <v>586452.71862225409</v>
      </c>
      <c r="Z34" s="2259" t="s">
        <v>6468</v>
      </c>
      <c r="AA34" s="2262">
        <v>34</v>
      </c>
    </row>
    <row r="35" spans="1:27" ht="13.4" customHeight="1">
      <c r="A35" s="21" t="str">
        <f>IF('Part II-Sources of Funds'!$E$40 = "Neither", "", "DCR Mortgage B")</f>
        <v>DCR Mortgage B</v>
      </c>
      <c r="B35" s="24" t="str">
        <f t="shared" ref="B35:K35" si="12">IF(B27=0,"",-(B25+B26)/B27)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862"/>
      <c r="O35" s="3864"/>
      <c r="Q35" s="958">
        <v>15</v>
      </c>
      <c r="R35" s="1105">
        <f>-SUM(B32:K32) - SUM(B64:F64)</f>
        <v>399484.61962626688</v>
      </c>
      <c r="S35" s="1105">
        <f>SUM(B33:K33) + SUM(B65:F65)+R35</f>
        <v>614564.29209816048</v>
      </c>
      <c r="Z35" s="2259" t="s">
        <v>6468</v>
      </c>
      <c r="AA35" s="2263">
        <v>35</v>
      </c>
    </row>
    <row r="36" spans="1:27" ht="13.4" customHeight="1">
      <c r="A36" s="21" t="str">
        <f>IF('Part II-Sources of Funds'!$E$40 = "Neither", "DCR First Mortgage", "DCR Mortgage C")</f>
        <v>DCR Mortgage C</v>
      </c>
      <c r="B36" s="24" t="str">
        <f t="shared" ref="B36:K36" si="13">IF(B28=0,"",-(B25+B26+B27)/B28)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862"/>
      <c r="O36" s="3864"/>
      <c r="Q36" s="62">
        <v>16</v>
      </c>
      <c r="R36" s="1105">
        <f>-SUM(B32:K32) - SUM(B64:G64)</f>
        <v>399484.61962626688</v>
      </c>
      <c r="S36" s="1105">
        <f>SUM(B33:K33) + SUM(B65:G65)+R36</f>
        <v>639717.92280674237</v>
      </c>
      <c r="Z36" s="2259" t="s">
        <v>6468</v>
      </c>
      <c r="AA36" s="2263">
        <v>36</v>
      </c>
    </row>
    <row r="37" spans="1:27" ht="13.4" customHeight="1">
      <c r="A37" s="21" t="s">
        <v>729</v>
      </c>
      <c r="B37" s="24" t="str">
        <f t="shared" ref="B37:K37" si="14">IF(B29=0,"",-(B25+B26+B27+B28)/B29)</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862"/>
      <c r="O37" s="3864"/>
      <c r="Q37" s="62">
        <v>17</v>
      </c>
      <c r="R37" s="1105">
        <f>-SUM(B32:K32) - SUM(B64:H64)</f>
        <v>399484.61962626688</v>
      </c>
      <c r="S37" s="1105">
        <f>SUM(B33:K33) + SUM(B65:H65)+R37</f>
        <v>661663.66809838463</v>
      </c>
      <c r="Z37" s="2259" t="s">
        <v>6468</v>
      </c>
      <c r="AA37" s="2263">
        <v>37</v>
      </c>
    </row>
    <row r="38" spans="1:27" ht="13.4" customHeight="1">
      <c r="A38" s="447" t="s">
        <v>3216</v>
      </c>
      <c r="B38" s="24">
        <f t="shared" ref="B38:K38" si="15">IF(AND(B26=0,B27=0,B28=0,B29=0),"",-B25/(B26+B27+B28+B29))</f>
        <v>1.3978673403246242</v>
      </c>
      <c r="C38" s="24">
        <f t="shared" si="15"/>
        <v>1.3950048320816899</v>
      </c>
      <c r="D38" s="24">
        <f t="shared" si="15"/>
        <v>1.3911660372220986</v>
      </c>
      <c r="E38" s="24">
        <f t="shared" si="15"/>
        <v>1.3862979941251359</v>
      </c>
      <c r="F38" s="24">
        <f t="shared" si="15"/>
        <v>1.3803533070421765</v>
      </c>
      <c r="G38" s="24">
        <f t="shared" si="15"/>
        <v>1.3732827753477095</v>
      </c>
      <c r="H38" s="24">
        <f t="shared" si="15"/>
        <v>1.3650207099557594</v>
      </c>
      <c r="I38" s="24">
        <f t="shared" si="15"/>
        <v>1.3555287348376428</v>
      </c>
      <c r="J38" s="24">
        <f t="shared" si="15"/>
        <v>1.3447372340287813</v>
      </c>
      <c r="K38" s="25">
        <f t="shared" si="15"/>
        <v>1.3325964598284235</v>
      </c>
      <c r="N38" s="3862"/>
      <c r="O38" s="3864"/>
      <c r="Q38" s="62">
        <v>18</v>
      </c>
      <c r="R38" s="1105">
        <f>-SUM(B32:K32) - SUM(B64:I64)</f>
        <v>399484.61962626688</v>
      </c>
      <c r="S38" s="1105">
        <f>SUM(B33:K33) + SUM(B65:I65)+R38</f>
        <v>680140.1485566505</v>
      </c>
      <c r="Z38" s="2259" t="s">
        <v>6468</v>
      </c>
      <c r="AA38" s="2263">
        <v>38</v>
      </c>
    </row>
    <row r="39" spans="1:27" ht="13.4" customHeight="1">
      <c r="A39" s="21" t="s">
        <v>718</v>
      </c>
      <c r="B39" s="288">
        <f t="shared" ref="B39:K39" si="16">IF(OR(B22="Choose mgt fee",B22="Choose One!"),"",(B15+B16+B17+B18+B19) / -(B21+B22+B23))</f>
        <v>1.4241341233205194</v>
      </c>
      <c r="C39" s="288">
        <f t="shared" si="16"/>
        <v>1.4111964803783734</v>
      </c>
      <c r="D39" s="288">
        <f t="shared" si="16"/>
        <v>1.3983705894902387</v>
      </c>
      <c r="E39" s="288">
        <f t="shared" si="16"/>
        <v>1.3856532654130296</v>
      </c>
      <c r="F39" s="288">
        <f t="shared" si="16"/>
        <v>1.3730443919529445</v>
      </c>
      <c r="G39" s="288">
        <f t="shared" si="16"/>
        <v>1.3605437703973626</v>
      </c>
      <c r="H39" s="288">
        <f t="shared" si="16"/>
        <v>1.3481460989214744</v>
      </c>
      <c r="I39" s="288">
        <f t="shared" si="16"/>
        <v>1.3358564379959519</v>
      </c>
      <c r="J39" s="288">
        <f t="shared" si="16"/>
        <v>1.3236697021315598</v>
      </c>
      <c r="K39" s="289">
        <f t="shared" si="16"/>
        <v>1.3115881732943524</v>
      </c>
      <c r="N39" s="3862"/>
      <c r="O39" s="3864"/>
      <c r="Q39" s="958">
        <v>19</v>
      </c>
      <c r="R39" s="1105">
        <f>-SUM(B32:K32) - SUM(B64:J64)</f>
        <v>399484.61962626688</v>
      </c>
      <c r="S39" s="1105">
        <f>SUM(B33:K33) + SUM(B65:J65)+R39</f>
        <v>694875.16712553171</v>
      </c>
      <c r="Z39" s="2259" t="s">
        <v>6468</v>
      </c>
      <c r="AA39" s="2263">
        <v>39</v>
      </c>
    </row>
    <row r="40" spans="1:27" ht="13.4" customHeight="1">
      <c r="A40" s="447" t="s">
        <v>2406</v>
      </c>
      <c r="B40" s="232">
        <f>IF('Part II-Sources of Funds'!$I$40="","",-FV('Part II-Sources of Funds'!$K$40/12,12,B26/12,'Part II-Sources of Funds'!$I$40))</f>
        <v>2194377.8137268922</v>
      </c>
      <c r="C40" s="232">
        <f>IF('Part II-Sources of Funds'!$I$40="","",-FV('Part II-Sources of Funds'!$K$40/12,12,C26/12,B40))</f>
        <v>2177874.4133515744</v>
      </c>
      <c r="D40" s="232">
        <f>IF('Part II-Sources of Funds'!$I$40="","",-FV('Part II-Sources of Funds'!$K$40/12,12,D26/12,C40))</f>
        <v>2160440.091471999</v>
      </c>
      <c r="E40" s="232">
        <f>IF('Part II-Sources of Funds'!$I$40="","",-FV('Part II-Sources of Funds'!$K$40/12,12,E26/12,D40))</f>
        <v>2142022.3367979238</v>
      </c>
      <c r="F40" s="232">
        <f>IF('Part II-Sources of Funds'!$I$40="","",-FV('Part II-Sources of Funds'!$K$40/12,12,F26/12,E40))</f>
        <v>2122565.6759895785</v>
      </c>
      <c r="G40" s="232">
        <f>IF('Part II-Sources of Funds'!$I$40="","",-FV('Part II-Sources of Funds'!$K$40/12,12,G26/12,F40))</f>
        <v>2102011.5065747872</v>
      </c>
      <c r="H40" s="232">
        <f>IF('Part II-Sources of Funds'!$I$40="","",-FV('Part II-Sources of Funds'!$K$40/12,12,H26/12,G40))</f>
        <v>2080297.920441306</v>
      </c>
      <c r="I40" s="232">
        <f>IF('Part II-Sources of Funds'!$I$40="","",-FV('Part II-Sources of Funds'!$K$40/12,12,I26/12,H40))</f>
        <v>2057359.5173727379</v>
      </c>
      <c r="J40" s="232">
        <f>IF('Part II-Sources of Funds'!$I$40="","",-FV('Part II-Sources of Funds'!$K$40/12,12,J26/12,I40))</f>
        <v>2033127.2080664111</v>
      </c>
      <c r="K40" s="232">
        <f>IF('Part II-Sources of Funds'!$I$40="","",-FV('Part II-Sources of Funds'!$K$40/12,12,K26/12,J40))</f>
        <v>2007528.006039914</v>
      </c>
      <c r="N40" s="3862"/>
      <c r="O40" s="3864"/>
      <c r="Q40" s="958">
        <v>20</v>
      </c>
      <c r="R40" s="1105">
        <f>-SUM(B32:K32) - SUM(B64:K64)</f>
        <v>399484.61962626688</v>
      </c>
      <c r="S40" s="1105">
        <f>SUM(B33:K33) + SUM(B65:K65)+R40</f>
        <v>705585.31545511971</v>
      </c>
      <c r="Z40" s="2259" t="s">
        <v>6468</v>
      </c>
      <c r="AA40" s="2263">
        <v>40</v>
      </c>
    </row>
    <row r="41" spans="1:27" ht="13.4"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2"/>
      <c r="O41" s="3864"/>
      <c r="Z41" s="2259" t="s">
        <v>6468</v>
      </c>
      <c r="AA41" s="2263">
        <v>41</v>
      </c>
    </row>
    <row r="42" spans="1:27" ht="13.4"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2"/>
      <c r="O42" s="3864"/>
      <c r="Z42" s="2259" t="s">
        <v>6468</v>
      </c>
      <c r="AA42" s="2261">
        <v>42</v>
      </c>
    </row>
    <row r="43" spans="1:27" ht="13.4"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2"/>
      <c r="O43" s="3864"/>
      <c r="Z43" s="2259" t="s">
        <v>6468</v>
      </c>
      <c r="AA43" s="2262">
        <v>43</v>
      </c>
    </row>
    <row r="44" spans="1:27" ht="13.4" customHeight="1">
      <c r="A44" s="447" t="s">
        <v>3365</v>
      </c>
      <c r="B44" s="234">
        <f>IF('Part II-Sources of Funds'!$I$45="","",-FV('Part II-Sources of Funds'!$K$45/12,12,B32/12,'Part II-Sources of Funds'!$I$45))</f>
        <v>305124.55314291501</v>
      </c>
      <c r="C44" s="234">
        <f>IF('Part II-Sources of Funds'!$I$45="","",IF(-FV('Part II-Sources of Funds'!$K$45/12,12,C32/12,B44)&gt;0,-FV('Part II-Sources of Funds'!$K$45/12,12,C32/12,B44),0))</f>
        <v>274571.22801627219</v>
      </c>
      <c r="D44" s="234">
        <f>IF('Part II-Sources of Funds'!$I$45="","",IF(-FV('Part II-Sources of Funds'!$K$45/12,12,D32/12,C44)&gt;0,-FV('Part II-Sources of Funds'!$K$45/12,12,D32/12,C44),0))</f>
        <v>242673.20282458677</v>
      </c>
      <c r="E44" s="234">
        <f>IF('Part II-Sources of Funds'!$I$45="","",IF(-FV('Part II-Sources of Funds'!$K$45/12,12,E32/12,D44)&gt;0,-FV('Part II-Sources of Funds'!$K$45/12,12,E32/12,D44),0))</f>
        <v>209492.25911692769</v>
      </c>
      <c r="F44" s="234">
        <f>IF('Part II-Sources of Funds'!$I$45="","",IF(-FV('Part II-Sources of Funds'!$K$45/12,12,F32/12,E44)&gt;0,-FV('Part II-Sources of Funds'!$K$45/12,12,F32/12,E44),0))</f>
        <v>175100.65317635064</v>
      </c>
      <c r="G44" s="234">
        <f>IF('Part II-Sources of Funds'!$I$45="","",IF(-FV('Part II-Sources of Funds'!$K$45/12,12,G32/12,F44)&gt;0,-FV('Part II-Sources of Funds'!$K$45/12,12,G32/12,F44),0))</f>
        <v>139582.01585724505</v>
      </c>
      <c r="H44" s="234">
        <f>IF('Part II-Sources of Funds'!$I$45="","",IF(-FV('Part II-Sources of Funds'!$K$45/12,12,H32/12,G44)&gt;0,-FV('Part II-Sources of Funds'!$K$45/12,12,H32/12,G44),0))</f>
        <v>103034.37254016574</v>
      </c>
      <c r="I44" s="234">
        <f>IF('Part II-Sources of Funds'!$I$45="","",IF(-FV('Part II-Sources of Funds'!$K$45/12,12,I32/12,H44)&gt;0,-FV('Part II-Sources of Funds'!$K$45/12,12,I32/12,H44),0))</f>
        <v>65567.190542361466</v>
      </c>
      <c r="J44" s="234">
        <f>IF('Part II-Sources of Funds'!$I$45="","",IF(-FV('Part II-Sources of Funds'!$K$45/12,12,J32/12,I44)&gt;0,-FV('Part II-Sources of Funds'!$K$45/12,12,J32/12,I44),0))</f>
        <v>37695.01967230154</v>
      </c>
      <c r="K44" s="234">
        <f>IF('Part II-Sources of Funds'!$I$45="","",IF(-FV('Part II-Sources of Funds'!$K$45/12,12,K32/12,J44)&gt;0,-FV('Part II-Sources of Funds'!$K$45/12,12,K32/12,J44),0))</f>
        <v>40019.966003878289</v>
      </c>
      <c r="N44" s="3868"/>
      <c r="O44" s="3870"/>
      <c r="Z44" s="2259" t="s">
        <v>6468</v>
      </c>
      <c r="AA44" s="2263">
        <v>44</v>
      </c>
    </row>
    <row r="45" spans="1:27" ht="4.4000000000000004" customHeight="1">
      <c r="B45" s="17"/>
      <c r="C45" s="17"/>
      <c r="D45" s="17"/>
      <c r="E45" s="17"/>
      <c r="F45" s="17"/>
      <c r="G45" s="17"/>
      <c r="H45" s="17"/>
      <c r="I45" s="17"/>
      <c r="J45" s="17"/>
      <c r="K45" s="17"/>
      <c r="AA45" s="2263">
        <v>45</v>
      </c>
    </row>
    <row r="46" spans="1:27" ht="14.5" customHeight="1">
      <c r="A46" s="13" t="s">
        <v>2285</v>
      </c>
      <c r="B46" s="15">
        <f>K14+1</f>
        <v>11</v>
      </c>
      <c r="C46" s="15">
        <f t="shared" ref="C46:K46" si="17">B46+1</f>
        <v>12</v>
      </c>
      <c r="D46" s="15">
        <f t="shared" si="17"/>
        <v>13</v>
      </c>
      <c r="E46" s="15">
        <f t="shared" si="17"/>
        <v>14</v>
      </c>
      <c r="F46" s="15">
        <f t="shared" si="17"/>
        <v>15</v>
      </c>
      <c r="G46" s="15">
        <f t="shared" si="17"/>
        <v>16</v>
      </c>
      <c r="H46" s="15">
        <f t="shared" si="17"/>
        <v>17</v>
      </c>
      <c r="I46" s="15">
        <f t="shared" si="17"/>
        <v>18</v>
      </c>
      <c r="J46" s="15">
        <f t="shared" si="17"/>
        <v>19</v>
      </c>
      <c r="K46" s="15">
        <f t="shared" si="17"/>
        <v>20</v>
      </c>
      <c r="N46" s="3546" t="s">
        <v>2410</v>
      </c>
      <c r="O46" s="3546"/>
      <c r="AA46" s="2263">
        <v>46</v>
      </c>
    </row>
    <row r="47" spans="1:27" ht="13.4" customHeight="1">
      <c r="A47" s="18" t="s">
        <v>2216</v>
      </c>
      <c r="B47" s="19">
        <f t="shared" ref="B47:K47" si="18">$B$15*(1+$B$6)^(B46-1)</f>
        <v>825015.42345245159</v>
      </c>
      <c r="C47" s="19">
        <f t="shared" si="18"/>
        <v>841515.73192150053</v>
      </c>
      <c r="D47" s="19">
        <f t="shared" si="18"/>
        <v>858346.04655993066</v>
      </c>
      <c r="E47" s="19">
        <f t="shared" si="18"/>
        <v>875512.96749112918</v>
      </c>
      <c r="F47" s="19">
        <f t="shared" si="18"/>
        <v>893023.22684095183</v>
      </c>
      <c r="G47" s="19">
        <f t="shared" si="18"/>
        <v>910883.69137777062</v>
      </c>
      <c r="H47" s="19">
        <f t="shared" si="18"/>
        <v>929101.36520532623</v>
      </c>
      <c r="I47" s="19">
        <f t="shared" si="18"/>
        <v>947683.39250943286</v>
      </c>
      <c r="J47" s="19">
        <f t="shared" si="18"/>
        <v>966637.06035962142</v>
      </c>
      <c r="K47" s="20">
        <f t="shared" si="18"/>
        <v>985969.80156681372</v>
      </c>
      <c r="N47" s="3888"/>
      <c r="O47" s="3890"/>
      <c r="Z47" s="2259" t="s">
        <v>6469</v>
      </c>
      <c r="AA47" s="2261">
        <v>47</v>
      </c>
    </row>
    <row r="48" spans="1:27" ht="13.4" customHeight="1">
      <c r="A48" s="21" t="s">
        <v>953</v>
      </c>
      <c r="B48" s="22">
        <f t="shared" ref="B48:K48" si="19">$B$16*(1+$B$6)^(B46-1)</f>
        <v>16500.308469049032</v>
      </c>
      <c r="C48" s="22">
        <f t="shared" si="19"/>
        <v>16830.314638430009</v>
      </c>
      <c r="D48" s="22">
        <f t="shared" si="19"/>
        <v>17166.920931198612</v>
      </c>
      <c r="E48" s="22">
        <f t="shared" si="19"/>
        <v>17510.259349822583</v>
      </c>
      <c r="F48" s="22">
        <f t="shared" si="19"/>
        <v>17860.464536819036</v>
      </c>
      <c r="G48" s="22">
        <f t="shared" si="19"/>
        <v>18217.673827555413</v>
      </c>
      <c r="H48" s="22">
        <f t="shared" si="19"/>
        <v>18582.027304106523</v>
      </c>
      <c r="I48" s="22">
        <f t="shared" si="19"/>
        <v>18953.667850188656</v>
      </c>
      <c r="J48" s="22">
        <f t="shared" si="19"/>
        <v>19332.741207192426</v>
      </c>
      <c r="K48" s="23">
        <f t="shared" si="19"/>
        <v>19719.396031336277</v>
      </c>
      <c r="N48" s="3862"/>
      <c r="O48" s="3864"/>
      <c r="Z48" s="2259" t="s">
        <v>6469</v>
      </c>
      <c r="AA48" s="2262">
        <v>48</v>
      </c>
    </row>
    <row r="49" spans="1:27" ht="13.4" customHeight="1">
      <c r="A49" s="21" t="s">
        <v>2217</v>
      </c>
      <c r="B49" s="22">
        <f t="shared" ref="B49:K49" si="20">-(B47+B48)*$B$9</f>
        <v>-58906.101234505048</v>
      </c>
      <c r="C49" s="22">
        <f t="shared" si="20"/>
        <v>-60084.223259195147</v>
      </c>
      <c r="D49" s="22">
        <f t="shared" si="20"/>
        <v>-61285.90772437906</v>
      </c>
      <c r="E49" s="22">
        <f t="shared" si="20"/>
        <v>-62511.625878866624</v>
      </c>
      <c r="F49" s="22">
        <f t="shared" si="20"/>
        <v>-63761.858396443968</v>
      </c>
      <c r="G49" s="22">
        <f t="shared" si="20"/>
        <v>-65037.095564372823</v>
      </c>
      <c r="H49" s="22">
        <f t="shared" si="20"/>
        <v>-66337.837475660301</v>
      </c>
      <c r="I49" s="22">
        <f t="shared" si="20"/>
        <v>-67664.59422517351</v>
      </c>
      <c r="J49" s="22">
        <f t="shared" si="20"/>
        <v>-69017.886109676969</v>
      </c>
      <c r="K49" s="23">
        <f t="shared" si="20"/>
        <v>-70398.24383187051</v>
      </c>
      <c r="N49" s="3862"/>
      <c r="O49" s="3864"/>
      <c r="Z49" s="2259" t="s">
        <v>6469</v>
      </c>
      <c r="AA49" s="2263">
        <v>49</v>
      </c>
    </row>
    <row r="50" spans="1:27" ht="13.4"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2"/>
      <c r="O50" s="3864"/>
      <c r="Z50" s="2259" t="s">
        <v>6469</v>
      </c>
      <c r="AA50" s="2261">
        <v>50</v>
      </c>
    </row>
    <row r="51" spans="1:27" ht="13.4"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2"/>
      <c r="O51" s="3864"/>
      <c r="Z51" s="2259" t="s">
        <v>6469</v>
      </c>
      <c r="AA51" s="2262">
        <v>51</v>
      </c>
    </row>
    <row r="52" spans="1:27" ht="13.4" customHeight="1">
      <c r="A52" s="447" t="s">
        <v>3842</v>
      </c>
      <c r="B52" s="22">
        <f t="shared" ref="B52:K52" si="21">SUM(B47:B51)</f>
        <v>782609.63068699557</v>
      </c>
      <c r="C52" s="22">
        <f t="shared" si="21"/>
        <v>798261.82330073544</v>
      </c>
      <c r="D52" s="22">
        <f t="shared" si="21"/>
        <v>814227.0597667502</v>
      </c>
      <c r="E52" s="22">
        <f t="shared" si="21"/>
        <v>830511.60096208507</v>
      </c>
      <c r="F52" s="22">
        <f t="shared" si="21"/>
        <v>847121.83298132685</v>
      </c>
      <c r="G52" s="22">
        <f t="shared" si="21"/>
        <v>864064.26964095316</v>
      </c>
      <c r="H52" s="22">
        <f t="shared" si="21"/>
        <v>881345.55503377249</v>
      </c>
      <c r="I52" s="22">
        <f t="shared" si="21"/>
        <v>898972.46613444807</v>
      </c>
      <c r="J52" s="22">
        <f t="shared" si="21"/>
        <v>916951.91545713693</v>
      </c>
      <c r="K52" s="23">
        <f t="shared" si="21"/>
        <v>935290.9537662795</v>
      </c>
      <c r="N52" s="3862"/>
      <c r="O52" s="3864"/>
      <c r="Z52" s="2259" t="s">
        <v>6469</v>
      </c>
      <c r="AA52" s="2263">
        <v>52</v>
      </c>
    </row>
    <row r="53" spans="1:27" ht="13.4" customHeight="1">
      <c r="A53" s="21" t="s">
        <v>572</v>
      </c>
      <c r="B53" s="22">
        <f t="shared" ref="B53:K53" si="22">$B$21*(1+$B$7)^(B46-1)</f>
        <v>-546292.60078873008</v>
      </c>
      <c r="C53" s="22">
        <f t="shared" si="22"/>
        <v>-562681.37881239201</v>
      </c>
      <c r="D53" s="22">
        <f t="shared" si="22"/>
        <v>-579561.82017676369</v>
      </c>
      <c r="E53" s="22">
        <f t="shared" si="22"/>
        <v>-596948.67478206661</v>
      </c>
      <c r="F53" s="22">
        <f t="shared" si="22"/>
        <v>-614857.13502552861</v>
      </c>
      <c r="G53" s="22">
        <f t="shared" si="22"/>
        <v>-633302.84907629457</v>
      </c>
      <c r="H53" s="22">
        <f t="shared" si="22"/>
        <v>-652301.93454858323</v>
      </c>
      <c r="I53" s="22">
        <f t="shared" si="22"/>
        <v>-671870.99258504075</v>
      </c>
      <c r="J53" s="22">
        <f t="shared" si="22"/>
        <v>-692027.12236259202</v>
      </c>
      <c r="K53" s="23">
        <f t="shared" si="22"/>
        <v>-712787.93603346974</v>
      </c>
      <c r="N53" s="3862"/>
      <c r="O53" s="3864"/>
      <c r="Z53" s="2259" t="s">
        <v>6469</v>
      </c>
      <c r="AA53" s="2263">
        <v>53</v>
      </c>
    </row>
    <row r="54" spans="1:27" ht="13.4" customHeight="1">
      <c r="A54" s="21" t="s">
        <v>1051</v>
      </c>
      <c r="B54" s="22">
        <f>IF(AND('Part VI-Pro Forma'!$G$9="Yes",'Part VI-Pro Forma'!$G$10="Yes"),"Choose One!",IF('Part VI-Pro Forma'!$G$9="Yes",ROUND((-$K$9*(1+'Part VI-Pro Forma'!$B$7)^('Part VI-Pro Forma'!B46-1)),),IF('Part VI-Pro Forma'!$G$10="Yes",ROUND((-(SUM(B47:B50)*'Part VI-Pro Forma'!$K$10)),),"Choose mgt fee")))</f>
        <v>-35736</v>
      </c>
      <c r="C54" s="22">
        <f>IF(AND('Part VI-Pro Forma'!$G$9="Yes",'Part VI-Pro Forma'!$G$10="Yes"),"Choose One!",IF('Part VI-Pro Forma'!$G$9="Yes",ROUND((-$K$9*(1+'Part VI-Pro Forma'!$B$7)^('Part VI-Pro Forma'!C46-1)),),IF('Part VI-Pro Forma'!$G$10="Yes",ROUND((-(SUM(C47:C50)*'Part VI-Pro Forma'!$K$10)),),"Choose mgt fee")))</f>
        <v>-36451</v>
      </c>
      <c r="D54" s="22">
        <f>IF(AND('Part VI-Pro Forma'!$G$9="Yes",'Part VI-Pro Forma'!$G$10="Yes"),"Choose One!",IF('Part VI-Pro Forma'!$G$9="Yes",ROUND((-$K$9*(1+'Part VI-Pro Forma'!$B$7)^('Part VI-Pro Forma'!D46-1)),),IF('Part VI-Pro Forma'!$G$10="Yes",ROUND((-(SUM(D47:D50)*'Part VI-Pro Forma'!$K$10)),),"Choose mgt fee")))</f>
        <v>-37180</v>
      </c>
      <c r="E54" s="22">
        <f>IF(AND('Part VI-Pro Forma'!$G$9="Yes",'Part VI-Pro Forma'!$G$10="Yes"),"Choose One!",IF('Part VI-Pro Forma'!$G$9="Yes",ROUND((-$K$9*(1+'Part VI-Pro Forma'!$B$7)^('Part VI-Pro Forma'!E46-1)),),IF('Part VI-Pro Forma'!$G$10="Yes",ROUND((-(SUM(E47:E50)*'Part VI-Pro Forma'!$K$10)),),"Choose mgt fee")))</f>
        <v>-37924</v>
      </c>
      <c r="F54" s="22">
        <f>IF(AND('Part VI-Pro Forma'!$G$9="Yes",'Part VI-Pro Forma'!$G$10="Yes"),"Choose One!",IF('Part VI-Pro Forma'!$G$9="Yes",ROUND((-$K$9*(1+'Part VI-Pro Forma'!$B$7)^('Part VI-Pro Forma'!F46-1)),),IF('Part VI-Pro Forma'!$G$10="Yes",ROUND((-(SUM(F47:F50)*'Part VI-Pro Forma'!$K$10)),),"Choose mgt fee")))</f>
        <v>-38682</v>
      </c>
      <c r="G54" s="22">
        <f>IF(AND('Part VI-Pro Forma'!$G$9="Yes",'Part VI-Pro Forma'!$G$10="Yes"),"Choose One!",IF('Part VI-Pro Forma'!$G$9="Yes",ROUND((-$K$9*(1+'Part VI-Pro Forma'!$B$7)^('Part VI-Pro Forma'!G46-1)),),IF('Part VI-Pro Forma'!$G$10="Yes",ROUND((-(SUM(G47:G50)*'Part VI-Pro Forma'!$K$10)),),"Choose mgt fee")))</f>
        <v>-39456</v>
      </c>
      <c r="H54" s="22">
        <f>IF(AND('Part VI-Pro Forma'!$G$9="Yes",'Part VI-Pro Forma'!$G$10="Yes"),"Choose One!",IF('Part VI-Pro Forma'!$G$9="Yes",ROUND((-$K$9*(1+'Part VI-Pro Forma'!$B$7)^('Part VI-Pro Forma'!H46-1)),),IF('Part VI-Pro Forma'!$G$10="Yes",ROUND((-(SUM(H47:H50)*'Part VI-Pro Forma'!$K$10)),),"Choose mgt fee")))</f>
        <v>-40245</v>
      </c>
      <c r="I54" s="22">
        <f>IF(AND('Part VI-Pro Forma'!$G$9="Yes",'Part VI-Pro Forma'!$G$10="Yes"),"Choose One!",IF('Part VI-Pro Forma'!$G$9="Yes",ROUND((-$K$9*(1+'Part VI-Pro Forma'!$B$7)^('Part VI-Pro Forma'!I46-1)),),IF('Part VI-Pro Forma'!$G$10="Yes",ROUND((-(SUM(I47:I50)*'Part VI-Pro Forma'!$K$10)),),"Choose mgt fee")))</f>
        <v>-41050</v>
      </c>
      <c r="J54" s="22">
        <f>IF(AND('Part VI-Pro Forma'!$G$9="Yes",'Part VI-Pro Forma'!$G$10="Yes"),"Choose One!",IF('Part VI-Pro Forma'!$G$9="Yes",ROUND((-$K$9*(1+'Part VI-Pro Forma'!$B$7)^('Part VI-Pro Forma'!J46-1)),),IF('Part VI-Pro Forma'!$G$10="Yes",ROUND((-(SUM(J47:J50)*'Part VI-Pro Forma'!$K$10)),),"Choose mgt fee")))</f>
        <v>-41871</v>
      </c>
      <c r="K54" s="23">
        <f>IF(AND('Part VI-Pro Forma'!$G$9="Yes",'Part VI-Pro Forma'!$G$10="Yes"),"Choose One!",IF('Part VI-Pro Forma'!$G$9="Yes",ROUND((-$K$9*(1+'Part VI-Pro Forma'!$B$7)^('Part VI-Pro Forma'!K46-1)),),IF('Part VI-Pro Forma'!$G$10="Yes",ROUND((-(SUM(K47:K50)*'Part VI-Pro Forma'!$K$10)),),"Choose mgt fee")))</f>
        <v>-42708</v>
      </c>
      <c r="N54" s="3862"/>
      <c r="O54" s="3864"/>
      <c r="Z54" s="2259" t="s">
        <v>6469</v>
      </c>
      <c r="AA54" s="2263">
        <v>54</v>
      </c>
    </row>
    <row r="55" spans="1:27" ht="13.4" customHeight="1">
      <c r="A55" s="21" t="s">
        <v>1129</v>
      </c>
      <c r="B55" s="22">
        <f t="shared" ref="B55:K55" si="23">$B$23*(1+$B$8)^(B46-1)</f>
        <v>-20158.745690161828</v>
      </c>
      <c r="C55" s="22">
        <f t="shared" si="23"/>
        <v>-20763.508060866683</v>
      </c>
      <c r="D55" s="22">
        <f t="shared" si="23"/>
        <v>-21386.413302692679</v>
      </c>
      <c r="E55" s="22">
        <f t="shared" si="23"/>
        <v>-22028.005701773458</v>
      </c>
      <c r="F55" s="22">
        <f t="shared" si="23"/>
        <v>-22688.845872826667</v>
      </c>
      <c r="G55" s="22">
        <f t="shared" si="23"/>
        <v>-23369.511249011466</v>
      </c>
      <c r="H55" s="22">
        <f t="shared" si="23"/>
        <v>-24070.596586481806</v>
      </c>
      <c r="I55" s="22">
        <f t="shared" si="23"/>
        <v>-24792.714484076259</v>
      </c>
      <c r="J55" s="22">
        <f t="shared" si="23"/>
        <v>-25536.49591859855</v>
      </c>
      <c r="K55" s="23">
        <f t="shared" si="23"/>
        <v>-26302.590796156503</v>
      </c>
      <c r="N55" s="3862"/>
      <c r="O55" s="3864"/>
      <c r="Q55" s="958"/>
      <c r="R55" s="1105"/>
      <c r="S55" s="1105"/>
      <c r="Z55" s="2259" t="s">
        <v>6469</v>
      </c>
      <c r="AA55" s="2263">
        <v>55</v>
      </c>
    </row>
    <row r="56" spans="1:27" ht="13.4"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2"/>
      <c r="O56" s="3864"/>
      <c r="Z56" s="2259" t="s">
        <v>6469</v>
      </c>
      <c r="AA56" s="2263">
        <v>56</v>
      </c>
    </row>
    <row r="57" spans="1:27" ht="13.4" customHeight="1">
      <c r="A57" s="21" t="s">
        <v>1130</v>
      </c>
      <c r="B57" s="22">
        <f t="shared" ref="B57:K57" si="24">SUM(B52:B56)</f>
        <v>180422.28420810367</v>
      </c>
      <c r="C57" s="22">
        <f t="shared" si="24"/>
        <v>178365.93642747676</v>
      </c>
      <c r="D57" s="22">
        <f t="shared" si="24"/>
        <v>176098.82628729384</v>
      </c>
      <c r="E57" s="22">
        <f t="shared" si="24"/>
        <v>173610.92047824501</v>
      </c>
      <c r="F57" s="22">
        <f t="shared" si="24"/>
        <v>170893.85208297157</v>
      </c>
      <c r="G57" s="22">
        <f t="shared" si="24"/>
        <v>167935.90931564712</v>
      </c>
      <c r="H57" s="22">
        <f t="shared" si="24"/>
        <v>164728.02389870744</v>
      </c>
      <c r="I57" s="22">
        <f t="shared" si="24"/>
        <v>161258.75906533108</v>
      </c>
      <c r="J57" s="22">
        <f t="shared" si="24"/>
        <v>157517.29717594635</v>
      </c>
      <c r="K57" s="1538">
        <f t="shared" si="24"/>
        <v>153492.42693665327</v>
      </c>
      <c r="N57" s="3862"/>
      <c r="O57" s="3864"/>
      <c r="Z57" s="2259" t="s">
        <v>6469</v>
      </c>
      <c r="AA57" s="2263">
        <v>57</v>
      </c>
    </row>
    <row r="58" spans="1:27" ht="13.4" customHeight="1">
      <c r="A58" s="21" t="str">
        <f>$A26</f>
        <v>Mortgage A</v>
      </c>
      <c r="B58" s="448">
        <f>IF('Part II-Sources of Funds'!$P$40="", 0,-'Part II-Sources of Funds'!$P$40)</f>
        <v>-136782.27860706521</v>
      </c>
      <c r="C58" s="448">
        <f>IF('Part II-Sources of Funds'!$P$40="", 0,-'Part II-Sources of Funds'!$P$40)</f>
        <v>-136782.27860706521</v>
      </c>
      <c r="D58" s="448">
        <f>IF('Part II-Sources of Funds'!$P$40="", 0,-'Part II-Sources of Funds'!$P$40)</f>
        <v>-136782.27860706521</v>
      </c>
      <c r="E58" s="448">
        <f>IF('Part II-Sources of Funds'!$P$40="", 0,-'Part II-Sources of Funds'!$P$40)</f>
        <v>-136782.27860706521</v>
      </c>
      <c r="F58" s="448">
        <f>IF('Part II-Sources of Funds'!$P$40="", 0,-'Part II-Sources of Funds'!$P$40)</f>
        <v>-136782.27860706521</v>
      </c>
      <c r="G58" s="448">
        <f>IF('Part II-Sources of Funds'!$P$40="", 0,-'Part II-Sources of Funds'!$P$40)</f>
        <v>-136782.27860706521</v>
      </c>
      <c r="H58" s="448">
        <f>IF('Part II-Sources of Funds'!$P$40="", 0,-'Part II-Sources of Funds'!$P$40)</f>
        <v>-136782.27860706521</v>
      </c>
      <c r="I58" s="448">
        <f>IF('Part II-Sources of Funds'!$P$40="", 0,-'Part II-Sources of Funds'!$P$40)</f>
        <v>-136782.27860706521</v>
      </c>
      <c r="J58" s="448">
        <f>IF('Part II-Sources of Funds'!$P$40="", 0,-'Part II-Sources of Funds'!$P$40)</f>
        <v>-136782.27860706521</v>
      </c>
      <c r="K58" s="448">
        <f>IF('Part II-Sources of Funds'!$P$40="", 0,-'Part II-Sources of Funds'!$P$40)</f>
        <v>-136782.27860706521</v>
      </c>
      <c r="N58" s="3862"/>
      <c r="O58" s="3864"/>
      <c r="Z58" s="2259" t="s">
        <v>6469</v>
      </c>
      <c r="AA58" s="2263">
        <v>58</v>
      </c>
    </row>
    <row r="59" spans="1:27" ht="13.4"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2"/>
      <c r="O59" s="3864"/>
      <c r="Z59" s="2259" t="s">
        <v>6469</v>
      </c>
      <c r="AA59" s="2261">
        <v>59</v>
      </c>
    </row>
    <row r="60" spans="1:27" ht="13.4"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2"/>
      <c r="O60" s="3864"/>
      <c r="Z60" s="2259" t="s">
        <v>6469</v>
      </c>
      <c r="AA60" s="2262">
        <v>60</v>
      </c>
    </row>
    <row r="61" spans="1:27" ht="13.4"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2"/>
      <c r="O61" s="3864"/>
      <c r="Z61" s="2259" t="s">
        <v>6469</v>
      </c>
      <c r="AA61" s="2263">
        <v>61</v>
      </c>
    </row>
    <row r="62" spans="1:27" ht="13.4" customHeight="1">
      <c r="A62" s="21" t="s">
        <v>711</v>
      </c>
      <c r="B62" s="173"/>
      <c r="C62" s="173"/>
      <c r="D62" s="173"/>
      <c r="E62" s="173"/>
      <c r="F62" s="173"/>
      <c r="G62" s="173"/>
      <c r="H62" s="173"/>
      <c r="I62" s="173"/>
      <c r="J62" s="173"/>
      <c r="K62" s="173"/>
      <c r="N62" s="3862"/>
      <c r="O62" s="3864"/>
      <c r="Q62" s="958"/>
      <c r="R62" s="1105"/>
      <c r="Z62" s="2259" t="s">
        <v>6469</v>
      </c>
      <c r="AA62" s="2263">
        <v>62</v>
      </c>
    </row>
    <row r="63" spans="1:27" ht="13.4" customHeight="1">
      <c r="A63" s="447" t="s">
        <v>1096</v>
      </c>
      <c r="B63" s="233">
        <f>+K31</f>
        <v>-6000</v>
      </c>
      <c r="C63" s="233">
        <f t="shared" ref="C63:K63" si="25">+B63</f>
        <v>-6000</v>
      </c>
      <c r="D63" s="233">
        <f t="shared" si="25"/>
        <v>-6000</v>
      </c>
      <c r="E63" s="233">
        <f t="shared" si="25"/>
        <v>-6000</v>
      </c>
      <c r="F63" s="233">
        <f t="shared" si="25"/>
        <v>-6000</v>
      </c>
      <c r="G63" s="233">
        <f t="shared" si="25"/>
        <v>-6000</v>
      </c>
      <c r="H63" s="233">
        <f t="shared" si="25"/>
        <v>-6000</v>
      </c>
      <c r="I63" s="233">
        <f t="shared" si="25"/>
        <v>-6000</v>
      </c>
      <c r="J63" s="233">
        <f t="shared" si="25"/>
        <v>-6000</v>
      </c>
      <c r="K63" s="233">
        <f t="shared" si="25"/>
        <v>-6000</v>
      </c>
      <c r="N63" s="3862"/>
      <c r="O63" s="3864"/>
      <c r="Z63" s="2259" t="s">
        <v>6469</v>
      </c>
      <c r="AA63" s="2263">
        <v>63</v>
      </c>
    </row>
    <row r="64" spans="1:27" ht="13.4"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2"/>
      <c r="O64" s="3864"/>
      <c r="Z64" s="2259" t="s">
        <v>6469</v>
      </c>
      <c r="AA64" s="2263">
        <v>64</v>
      </c>
    </row>
    <row r="65" spans="1:27" ht="13.4" customHeight="1">
      <c r="A65" s="21" t="s">
        <v>1097</v>
      </c>
      <c r="B65" s="22">
        <f t="shared" ref="B65:K65" si="26">SUM(B57:B64)</f>
        <v>37640.005601038458</v>
      </c>
      <c r="C65" s="22">
        <f t="shared" si="26"/>
        <v>35583.65782041155</v>
      </c>
      <c r="D65" s="22">
        <f t="shared" si="26"/>
        <v>33316.547680228628</v>
      </c>
      <c r="E65" s="22">
        <f t="shared" si="26"/>
        <v>30828.641871179803</v>
      </c>
      <c r="F65" s="22">
        <f t="shared" si="26"/>
        <v>28111.573475906363</v>
      </c>
      <c r="G65" s="22">
        <f t="shared" si="26"/>
        <v>25153.630708581913</v>
      </c>
      <c r="H65" s="22">
        <f t="shared" si="26"/>
        <v>21945.745291642233</v>
      </c>
      <c r="I65" s="22">
        <f t="shared" si="26"/>
        <v>18476.480458265869</v>
      </c>
      <c r="J65" s="22">
        <f t="shared" si="26"/>
        <v>14735.018568881147</v>
      </c>
      <c r="K65" s="642">
        <f t="shared" si="26"/>
        <v>10710.148329588061</v>
      </c>
      <c r="N65" s="3862"/>
      <c r="O65" s="3864"/>
      <c r="Z65" s="2259" t="s">
        <v>6469</v>
      </c>
      <c r="AA65" s="2263">
        <v>65</v>
      </c>
    </row>
    <row r="66" spans="1:27" ht="13.4" customHeight="1">
      <c r="A66" s="21" t="str">
        <f>$A34</f>
        <v>DCR Mortgage A</v>
      </c>
      <c r="B66" s="24">
        <f t="shared" ref="B66:K66" si="27">IF(B58=0,"",-B57/B58)</f>
        <v>1.3190472190217215</v>
      </c>
      <c r="C66" s="24">
        <f t="shared" si="27"/>
        <v>1.3040134894950026</v>
      </c>
      <c r="D66" s="24">
        <f t="shared" si="27"/>
        <v>1.2874388998385775</v>
      </c>
      <c r="E66" s="24">
        <f t="shared" si="27"/>
        <v>1.2692500976458911</v>
      </c>
      <c r="F66" s="24">
        <f t="shared" si="27"/>
        <v>1.2493859133162912</v>
      </c>
      <c r="G66" s="24">
        <f t="shared" si="27"/>
        <v>1.2277607232884096</v>
      </c>
      <c r="H66" s="24">
        <f t="shared" si="27"/>
        <v>1.2043082303952697</v>
      </c>
      <c r="I66" s="24">
        <f t="shared" si="27"/>
        <v>1.1789448217088085</v>
      </c>
      <c r="J66" s="24">
        <f t="shared" si="27"/>
        <v>1.1515914106713099</v>
      </c>
      <c r="K66" s="25">
        <f t="shared" si="27"/>
        <v>1.1221660327621192</v>
      </c>
      <c r="N66" s="3862"/>
      <c r="O66" s="3864"/>
      <c r="Z66" s="2259" t="s">
        <v>6469</v>
      </c>
      <c r="AA66" s="2263">
        <v>66</v>
      </c>
    </row>
    <row r="67" spans="1:27" ht="13.4" customHeight="1">
      <c r="A67" s="21" t="str">
        <f>$A35</f>
        <v>DCR Mortgage B</v>
      </c>
      <c r="B67" s="24" t="str">
        <f t="shared" ref="B67:K67" si="28">IF(B59=0,"",-(B57+B58)/B59)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862"/>
      <c r="O67" s="3864"/>
      <c r="Z67" s="2259" t="s">
        <v>6469</v>
      </c>
      <c r="AA67" s="2263">
        <v>67</v>
      </c>
    </row>
    <row r="68" spans="1:27" ht="13.4" customHeight="1">
      <c r="A68" s="21" t="str">
        <f>$A36</f>
        <v>DCR Mortgage C</v>
      </c>
      <c r="B68" s="24" t="str">
        <f t="shared" ref="B68:K68" si="29">IF(B60=0,"",-(B57+B58+B59)/B60)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862"/>
      <c r="O68" s="3864"/>
      <c r="Z68" s="2259" t="s">
        <v>6469</v>
      </c>
      <c r="AA68" s="2261">
        <v>68</v>
      </c>
    </row>
    <row r="69" spans="1:27" ht="13.4" customHeight="1">
      <c r="A69" s="21" t="str">
        <f>$A37</f>
        <v>DCR Other Source</v>
      </c>
      <c r="B69" s="24" t="str">
        <f t="shared" ref="B69:K69" si="30">IF(B61=0,"",-(B57+B58+B59+B60)/B61)</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862"/>
      <c r="O69" s="3864"/>
      <c r="Z69" s="2259" t="s">
        <v>6469</v>
      </c>
      <c r="AA69" s="2262">
        <v>69</v>
      </c>
    </row>
    <row r="70" spans="1:27" ht="13.4" customHeight="1">
      <c r="A70" s="447" t="s">
        <v>3216</v>
      </c>
      <c r="B70" s="24">
        <f t="shared" ref="B70:K70" si="31">IF(AND(B58=0,B59=0,B60=0,B61=0),"",-B57/(B58+B59+B60+B61))</f>
        <v>1.3190472190217215</v>
      </c>
      <c r="C70" s="24">
        <f t="shared" si="31"/>
        <v>1.3040134894950026</v>
      </c>
      <c r="D70" s="24">
        <f t="shared" si="31"/>
        <v>1.2874388998385775</v>
      </c>
      <c r="E70" s="24">
        <f t="shared" si="31"/>
        <v>1.2692500976458911</v>
      </c>
      <c r="F70" s="24">
        <f t="shared" si="31"/>
        <v>1.2493859133162912</v>
      </c>
      <c r="G70" s="24">
        <f t="shared" si="31"/>
        <v>1.2277607232884096</v>
      </c>
      <c r="H70" s="24">
        <f t="shared" si="31"/>
        <v>1.2043082303952697</v>
      </c>
      <c r="I70" s="24">
        <f t="shared" si="31"/>
        <v>1.1789448217088085</v>
      </c>
      <c r="J70" s="24">
        <f t="shared" si="31"/>
        <v>1.1515914106713099</v>
      </c>
      <c r="K70" s="25">
        <f t="shared" si="31"/>
        <v>1.1221660327621192</v>
      </c>
      <c r="N70" s="3862"/>
      <c r="O70" s="3864"/>
      <c r="Z70" s="2259" t="s">
        <v>6469</v>
      </c>
      <c r="AA70" s="2263">
        <v>70</v>
      </c>
    </row>
    <row r="71" spans="1:27" ht="13.4" customHeight="1">
      <c r="A71" s="21" t="s">
        <v>718</v>
      </c>
      <c r="B71" s="288">
        <f t="shared" ref="B71:K71" si="32">IF(OR(B54="Choose mgt fee",B54="Choose One!"),"",(B47+B48+B49+B50+B51) / -(B53+B54+B55))</f>
        <v>1.2996115498989946</v>
      </c>
      <c r="C71" s="288">
        <f t="shared" si="32"/>
        <v>1.2877353120169108</v>
      </c>
      <c r="D71" s="288">
        <f t="shared" si="32"/>
        <v>1.2759615027956024</v>
      </c>
      <c r="E71" s="288">
        <f t="shared" si="32"/>
        <v>1.2642879291133813</v>
      </c>
      <c r="F71" s="288">
        <f t="shared" si="32"/>
        <v>1.2527163277922078</v>
      </c>
      <c r="G71" s="288">
        <f t="shared" si="32"/>
        <v>1.2412427346548118</v>
      </c>
      <c r="H71" s="288">
        <f t="shared" si="32"/>
        <v>1.2298688166863452</v>
      </c>
      <c r="I71" s="288">
        <f t="shared" si="32"/>
        <v>1.2185926024148317</v>
      </c>
      <c r="J71" s="288">
        <f t="shared" si="32"/>
        <v>1.2074139015843806</v>
      </c>
      <c r="K71" s="289">
        <f t="shared" si="32"/>
        <v>1.1963324586439175</v>
      </c>
      <c r="N71" s="3862"/>
      <c r="O71" s="3864"/>
      <c r="Z71" s="2259" t="s">
        <v>6469</v>
      </c>
      <c r="AA71" s="2263">
        <v>71</v>
      </c>
    </row>
    <row r="72" spans="1:27" ht="13.4" customHeight="1">
      <c r="A72" s="447" t="s">
        <v>2406</v>
      </c>
      <c r="B72" s="232">
        <f>IF('Part II-Sources of Funds'!$I$40="","",-FV('Part II-Sources of Funds'!$K$40/12,12,B58/12,K40))</f>
        <v>1980484.8077995249</v>
      </c>
      <c r="C72" s="232">
        <f>IF('Part II-Sources of Funds'!$I$40="","",-FV('Part II-Sources of Funds'!$K$40/12,12,C58/12,B72))</f>
        <v>1951916.1606084136</v>
      </c>
      <c r="D72" s="232">
        <f>IF('Part II-Sources of Funds'!$I$40="","",-FV('Part II-Sources of Funds'!$K$40/12,12,D58/12,C72))</f>
        <v>1921736.0171551427</v>
      </c>
      <c r="E72" s="232">
        <f>IF('Part II-Sources of Funds'!$I$40="","",-FV('Part II-Sources of Funds'!$K$40/12,12,E58/12,D72))</f>
        <v>1889853.4763835443</v>
      </c>
      <c r="F72" s="232">
        <f>IF('Part II-Sources of Funds'!$I$40="","",-FV('Part II-Sources of Funds'!$K$40/12,12,F58/12,E72))</f>
        <v>1856172.5097033654</v>
      </c>
      <c r="G72" s="232">
        <f>IF('Part II-Sources of Funds'!$I$40="","",-FV('Part II-Sources of Funds'!$K$40/12,12,G58/12,F72))</f>
        <v>1820591.671757041</v>
      </c>
      <c r="H72" s="232">
        <f>IF('Part II-Sources of Funds'!$I$40="","",-FV('Part II-Sources of Funds'!$K$40/12,12,H58/12,G72))</f>
        <v>1783003.7948714399</v>
      </c>
      <c r="I72" s="232">
        <f>IF('Part II-Sources of Funds'!$I$40="","",-FV('Part II-Sources of Funds'!$K$40/12,12,I58/12,H72))</f>
        <v>1743295.6662742873</v>
      </c>
      <c r="J72" s="232">
        <f>IF('Part II-Sources of Funds'!$I$40="","",-FV('Part II-Sources of Funds'!$K$40/12,12,J58/12,I72))</f>
        <v>1701347.6871030554</v>
      </c>
      <c r="K72" s="232">
        <f>IF('Part II-Sources of Funds'!$I$40="","",-FV('Part II-Sources of Funds'!$K$40/12,12,K58/12,J72))</f>
        <v>1657033.5121792774</v>
      </c>
      <c r="N72" s="3862"/>
      <c r="O72" s="3864"/>
      <c r="Z72" s="2259" t="s">
        <v>6469</v>
      </c>
      <c r="AA72" s="2263">
        <v>72</v>
      </c>
    </row>
    <row r="73" spans="1:27" ht="13.4"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2"/>
      <c r="O73" s="3864"/>
      <c r="Z73" s="2259" t="s">
        <v>6469</v>
      </c>
      <c r="AA73" s="2261">
        <v>73</v>
      </c>
    </row>
    <row r="74" spans="1:27" ht="13.4"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2"/>
      <c r="O74" s="3864"/>
      <c r="Z74" s="2259" t="s">
        <v>6469</v>
      </c>
      <c r="AA74" s="2262">
        <v>74</v>
      </c>
    </row>
    <row r="75" spans="1:27" ht="13.4"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2"/>
      <c r="O75" s="3864"/>
      <c r="Z75" s="2259" t="s">
        <v>6469</v>
      </c>
      <c r="AA75" s="2263">
        <v>75</v>
      </c>
    </row>
    <row r="76" spans="1:27" ht="13.4" customHeight="1">
      <c r="A76" s="447" t="s">
        <v>3365</v>
      </c>
      <c r="B76" s="234">
        <f>IF('Part II-Sources of Funds'!$I$45="","",IF(-FV('Part II-Sources of Funds'!$K$45/12,12,B64/12,K44)&gt;0,-FV('Part II-Sources of Funds'!$K$45/12,12,B64/12,K44),0))</f>
        <v>42488.309937889084</v>
      </c>
      <c r="C76" s="234">
        <f>IF('Part II-Sources of Funds'!$I$45="","",IF(-FV('Part II-Sources of Funds'!$K$45/12,12,C64/12,B76)&gt;0,-FV('Part II-Sources of Funds'!$K$45/12,12,C64/12,B76),0))</f>
        <v>45108.895924678669</v>
      </c>
      <c r="D76" s="234">
        <f>IF('Part II-Sources of Funds'!$I$45="","",IF(-FV('Part II-Sources of Funds'!$K$45/12,12,D64/12,C76)&gt;0,-FV('Part II-Sources of Funds'!$K$45/12,12,D64/12,C76),0))</f>
        <v>47891.113920936201</v>
      </c>
      <c r="E76" s="234">
        <f>IF('Part II-Sources of Funds'!$I$45="","",IF(-FV('Part II-Sources of Funds'!$K$45/12,12,E64/12,D76)&gt;0,-FV('Part II-Sources of Funds'!$K$45/12,12,E64/12,D76),0))</f>
        <v>50844.933035332928</v>
      </c>
      <c r="F76" s="234">
        <f>IF('Part II-Sources of Funds'!$I$45="","",IF(-FV('Part II-Sources of Funds'!$K$45/12,12,F64/12,E76)&gt;0,-FV('Part II-Sources of Funds'!$K$45/12,12,F64/12,E76),0))</f>
        <v>53980.937249349168</v>
      </c>
      <c r="G76" s="234">
        <f>IF('Part II-Sources of Funds'!$I$45="","",IF(-FV('Part II-Sources of Funds'!$K$45/12,12,G64/12,F76)&gt;0,-FV('Part II-Sources of Funds'!$K$45/12,12,G64/12,F76),0))</f>
        <v>57310.363341283781</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68"/>
      <c r="O76" s="3870"/>
      <c r="Z76" s="2259" t="s">
        <v>6469</v>
      </c>
      <c r="AA76" s="2263">
        <v>76</v>
      </c>
    </row>
    <row r="77" spans="1:27" ht="4.4000000000000004" customHeight="1">
      <c r="B77" s="17"/>
      <c r="C77" s="17"/>
      <c r="D77" s="17"/>
      <c r="E77" s="17"/>
      <c r="F77" s="17"/>
      <c r="G77" s="17"/>
      <c r="H77" s="17"/>
      <c r="I77" s="17"/>
      <c r="J77" s="17"/>
      <c r="K77" s="17"/>
      <c r="AA77" s="2263">
        <v>77</v>
      </c>
    </row>
    <row r="78" spans="1:27" ht="14.5" customHeight="1">
      <c r="A78" s="13" t="s">
        <v>2285</v>
      </c>
      <c r="B78" s="15">
        <f>K46+1</f>
        <v>21</v>
      </c>
      <c r="C78" s="15">
        <f t="shared" ref="C78:K78" si="33">B78+1</f>
        <v>22</v>
      </c>
      <c r="D78" s="15">
        <f t="shared" si="33"/>
        <v>23</v>
      </c>
      <c r="E78" s="15">
        <f t="shared" si="33"/>
        <v>24</v>
      </c>
      <c r="F78" s="15">
        <f t="shared" si="33"/>
        <v>25</v>
      </c>
      <c r="G78" s="15">
        <f t="shared" si="33"/>
        <v>26</v>
      </c>
      <c r="H78" s="15">
        <f t="shared" si="33"/>
        <v>27</v>
      </c>
      <c r="I78" s="15">
        <f t="shared" si="33"/>
        <v>28</v>
      </c>
      <c r="J78" s="15">
        <f t="shared" si="33"/>
        <v>29</v>
      </c>
      <c r="K78" s="15">
        <f t="shared" si="33"/>
        <v>30</v>
      </c>
      <c r="N78" s="3546" t="s">
        <v>2411</v>
      </c>
      <c r="O78" s="3546"/>
      <c r="AA78" s="2263">
        <v>78</v>
      </c>
    </row>
    <row r="79" spans="1:27" ht="13.4" customHeight="1">
      <c r="A79" s="18" t="s">
        <v>2216</v>
      </c>
      <c r="B79" s="19">
        <f t="shared" ref="B79:K79" si="34">$B$15*(1+$B$6)^(B78-1)</f>
        <v>1005689.1975981501</v>
      </c>
      <c r="C79" s="19">
        <f t="shared" si="34"/>
        <v>1025802.9815501131</v>
      </c>
      <c r="D79" s="19">
        <f t="shared" si="34"/>
        <v>1046319.0411811154</v>
      </c>
      <c r="E79" s="19">
        <f t="shared" si="34"/>
        <v>1067245.4220047374</v>
      </c>
      <c r="F79" s="19">
        <f t="shared" si="34"/>
        <v>1088590.3304448323</v>
      </c>
      <c r="G79" s="19">
        <f t="shared" si="34"/>
        <v>1110362.137053729</v>
      </c>
      <c r="H79" s="19">
        <f t="shared" si="34"/>
        <v>1132569.3797948037</v>
      </c>
      <c r="I79" s="19">
        <f t="shared" si="34"/>
        <v>1155220.7673906996</v>
      </c>
      <c r="J79" s="19">
        <f t="shared" si="34"/>
        <v>1178325.1827385137</v>
      </c>
      <c r="K79" s="20">
        <f t="shared" si="34"/>
        <v>1201891.6863932838</v>
      </c>
      <c r="N79" s="3888"/>
      <c r="O79" s="3890"/>
      <c r="Z79" s="2259" t="s">
        <v>6470</v>
      </c>
      <c r="AA79" s="2263">
        <v>79</v>
      </c>
    </row>
    <row r="80" spans="1:27" ht="13.4" customHeight="1">
      <c r="A80" s="21" t="s">
        <v>953</v>
      </c>
      <c r="B80" s="22">
        <f t="shared" ref="B80:K80" si="35">$B$16*(1+$B$6)^(B78-1)</f>
        <v>20113.783951963003</v>
      </c>
      <c r="C80" s="22">
        <f t="shared" si="35"/>
        <v>20516.059631002263</v>
      </c>
      <c r="D80" s="22">
        <f t="shared" si="35"/>
        <v>20926.380823622309</v>
      </c>
      <c r="E80" s="22">
        <f t="shared" si="35"/>
        <v>21344.90844009475</v>
      </c>
      <c r="F80" s="22">
        <f t="shared" si="35"/>
        <v>21771.806608896644</v>
      </c>
      <c r="G80" s="22">
        <f t="shared" si="35"/>
        <v>22207.24274107458</v>
      </c>
      <c r="H80" s="22">
        <f t="shared" si="35"/>
        <v>22651.387595896074</v>
      </c>
      <c r="I80" s="22">
        <f t="shared" si="35"/>
        <v>23104.415347813989</v>
      </c>
      <c r="J80" s="22">
        <f t="shared" si="35"/>
        <v>23566.503654770277</v>
      </c>
      <c r="K80" s="23">
        <f t="shared" si="35"/>
        <v>24037.833727865676</v>
      </c>
      <c r="N80" s="3862"/>
      <c r="O80" s="3864"/>
      <c r="Z80" s="2259" t="s">
        <v>6470</v>
      </c>
      <c r="AA80" s="2263">
        <v>80</v>
      </c>
    </row>
    <row r="81" spans="1:27" ht="13.4" customHeight="1">
      <c r="A81" s="21" t="s">
        <v>2217</v>
      </c>
      <c r="B81" s="22">
        <f t="shared" ref="B81:K81" si="36">-(B79+B80)*$B$9</f>
        <v>-71806.208708507926</v>
      </c>
      <c r="C81" s="22">
        <f t="shared" si="36"/>
        <v>-73242.332882678078</v>
      </c>
      <c r="D81" s="22">
        <f t="shared" si="36"/>
        <v>-74707.17954033165</v>
      </c>
      <c r="E81" s="22">
        <f t="shared" si="36"/>
        <v>-76201.323131138255</v>
      </c>
      <c r="F81" s="22">
        <f t="shared" si="36"/>
        <v>-77725.349593761042</v>
      </c>
      <c r="G81" s="22">
        <f t="shared" si="36"/>
        <v>-79279.856585636269</v>
      </c>
      <c r="H81" s="22">
        <f t="shared" si="36"/>
        <v>-80865.453717348995</v>
      </c>
      <c r="I81" s="22">
        <f t="shared" si="36"/>
        <v>-82482.762791695961</v>
      </c>
      <c r="J81" s="22">
        <f t="shared" si="36"/>
        <v>-84132.418047529893</v>
      </c>
      <c r="K81" s="23">
        <f t="shared" si="36"/>
        <v>-85815.066408480474</v>
      </c>
      <c r="N81" s="3862"/>
      <c r="O81" s="3864"/>
      <c r="Z81" s="2259" t="s">
        <v>6470</v>
      </c>
      <c r="AA81" s="2263">
        <v>81</v>
      </c>
    </row>
    <row r="82" spans="1:27" ht="13.4"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2"/>
      <c r="O82" s="3864"/>
      <c r="Z82" s="2259" t="s">
        <v>6470</v>
      </c>
      <c r="AA82" s="2261">
        <v>82</v>
      </c>
    </row>
    <row r="83" spans="1:27" ht="13.4"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2"/>
      <c r="O83" s="3864"/>
      <c r="Z83" s="2259" t="s">
        <v>6470</v>
      </c>
      <c r="AA83" s="2262">
        <v>83</v>
      </c>
    </row>
    <row r="84" spans="1:27" ht="13.4" customHeight="1">
      <c r="A84" s="447" t="s">
        <v>3842</v>
      </c>
      <c r="B84" s="22">
        <f t="shared" ref="B84:K84" si="37">SUM(B79:B83)</f>
        <v>953996.77284160512</v>
      </c>
      <c r="C84" s="22">
        <f t="shared" si="37"/>
        <v>973076.7082984373</v>
      </c>
      <c r="D84" s="22">
        <f t="shared" si="37"/>
        <v>992538.24246440595</v>
      </c>
      <c r="E84" s="22">
        <f t="shared" si="37"/>
        <v>1012389.0073136939</v>
      </c>
      <c r="F84" s="22">
        <f t="shared" si="37"/>
        <v>1032636.787459968</v>
      </c>
      <c r="G84" s="22">
        <f t="shared" si="37"/>
        <v>1053289.5232091674</v>
      </c>
      <c r="H84" s="22">
        <f t="shared" si="37"/>
        <v>1074355.3136733507</v>
      </c>
      <c r="I84" s="22">
        <f t="shared" si="37"/>
        <v>1095842.4199468177</v>
      </c>
      <c r="J84" s="22">
        <f t="shared" si="37"/>
        <v>1117759.2683457541</v>
      </c>
      <c r="K84" s="23">
        <f t="shared" si="37"/>
        <v>1140114.453712669</v>
      </c>
      <c r="N84" s="3862"/>
      <c r="O84" s="3864"/>
      <c r="Z84" s="2259" t="s">
        <v>6470</v>
      </c>
      <c r="AA84" s="2263">
        <v>84</v>
      </c>
    </row>
    <row r="85" spans="1:27" ht="13.4" customHeight="1">
      <c r="A85" s="21" t="s">
        <v>572</v>
      </c>
      <c r="B85" s="22">
        <f t="shared" ref="B85:K85" si="38">$B$21*(1+$B$7)^(B78-1)</f>
        <v>-734171.57411447377</v>
      </c>
      <c r="C85" s="22">
        <f t="shared" si="38"/>
        <v>-756196.72133790795</v>
      </c>
      <c r="D85" s="22">
        <f t="shared" si="38"/>
        <v>-778882.62297804526</v>
      </c>
      <c r="E85" s="22">
        <f t="shared" si="38"/>
        <v>-802249.1016673866</v>
      </c>
      <c r="F85" s="22">
        <f t="shared" si="38"/>
        <v>-826316.57471740816</v>
      </c>
      <c r="G85" s="22">
        <f t="shared" si="38"/>
        <v>-851106.07195893035</v>
      </c>
      <c r="H85" s="22">
        <f t="shared" si="38"/>
        <v>-876639.25411769841</v>
      </c>
      <c r="I85" s="22">
        <f t="shared" si="38"/>
        <v>-902938.43174122926</v>
      </c>
      <c r="J85" s="22">
        <f t="shared" si="38"/>
        <v>-930026.58469346608</v>
      </c>
      <c r="K85" s="23">
        <f t="shared" si="38"/>
        <v>-957927.38223426999</v>
      </c>
      <c r="N85" s="3862"/>
      <c r="O85" s="3864"/>
      <c r="Z85" s="2259" t="s">
        <v>6470</v>
      </c>
      <c r="AA85" s="2263">
        <v>85</v>
      </c>
    </row>
    <row r="86" spans="1:27" ht="13.4" customHeight="1">
      <c r="A86" s="21" t="s">
        <v>1051</v>
      </c>
      <c r="B86" s="22">
        <f>IF(AND('Part VI-Pro Forma'!$G$9="Yes",'Part VI-Pro Forma'!$G$10="Yes"),"Choose One!",IF('Part VI-Pro Forma'!$G$9="Yes",ROUND((-$K$9*(1+'Part VI-Pro Forma'!$B$7)^('Part VI-Pro Forma'!B78-1)),),IF('Part VI-Pro Forma'!$G$10="Yes",ROUND((-(SUM(B79:B82)*'Part VI-Pro Forma'!$K$10)),),"Choose mgt fee")))</f>
        <v>-43562</v>
      </c>
      <c r="C86" s="22">
        <f>IF(AND('Part VI-Pro Forma'!$G$9="Yes",'Part VI-Pro Forma'!$G$10="Yes"),"Choose One!",IF('Part VI-Pro Forma'!$G$9="Yes",ROUND((-$K$9*(1+'Part VI-Pro Forma'!$B$7)^('Part VI-Pro Forma'!C78-1)),),IF('Part VI-Pro Forma'!$G$10="Yes",ROUND((-(SUM(C79:C82)*'Part VI-Pro Forma'!$K$10)),),"Choose mgt fee")))</f>
        <v>-44434</v>
      </c>
      <c r="D86" s="22">
        <f>IF(AND('Part VI-Pro Forma'!$G$9="Yes",'Part VI-Pro Forma'!$G$10="Yes"),"Choose One!",IF('Part VI-Pro Forma'!$G$9="Yes",ROUND((-$K$9*(1+'Part VI-Pro Forma'!$B$7)^('Part VI-Pro Forma'!D78-1)),),IF('Part VI-Pro Forma'!$G$10="Yes",ROUND((-(SUM(D79:D82)*'Part VI-Pro Forma'!$K$10)),),"Choose mgt fee")))</f>
        <v>-45322</v>
      </c>
      <c r="E86" s="22">
        <f>IF(AND('Part VI-Pro Forma'!$G$9="Yes",'Part VI-Pro Forma'!$G$10="Yes"),"Choose One!",IF('Part VI-Pro Forma'!$G$9="Yes",ROUND((-$K$9*(1+'Part VI-Pro Forma'!$B$7)^('Part VI-Pro Forma'!E78-1)),),IF('Part VI-Pro Forma'!$G$10="Yes",ROUND((-(SUM(E79:E82)*'Part VI-Pro Forma'!$K$10)),),"Choose mgt fee")))</f>
        <v>-46229</v>
      </c>
      <c r="F86" s="22">
        <f>IF(AND('Part VI-Pro Forma'!$G$9="Yes",'Part VI-Pro Forma'!$G$10="Yes"),"Choose One!",IF('Part VI-Pro Forma'!$G$9="Yes",ROUND((-$K$9*(1+'Part VI-Pro Forma'!$B$7)^('Part VI-Pro Forma'!F78-1)),),IF('Part VI-Pro Forma'!$G$10="Yes",ROUND((-(SUM(F79:F82)*'Part VI-Pro Forma'!$K$10)),),"Choose mgt fee")))</f>
        <v>-47153</v>
      </c>
      <c r="G86" s="22">
        <f>IF(AND('Part VI-Pro Forma'!$G$9="Yes",'Part VI-Pro Forma'!$G$10="Yes"),"Choose One!",IF('Part VI-Pro Forma'!$G$9="Yes",ROUND((-$K$9*(1+'Part VI-Pro Forma'!$B$7)^('Part VI-Pro Forma'!G78-1)),),IF('Part VI-Pro Forma'!$G$10="Yes",ROUND((-(SUM(G79:G82)*'Part VI-Pro Forma'!$K$10)),),"Choose mgt fee")))</f>
        <v>-48096</v>
      </c>
      <c r="H86" s="22">
        <f>IF(AND('Part VI-Pro Forma'!$G$9="Yes",'Part VI-Pro Forma'!$G$10="Yes"),"Choose One!",IF('Part VI-Pro Forma'!$G$9="Yes",ROUND((-$K$9*(1+'Part VI-Pro Forma'!$B$7)^('Part VI-Pro Forma'!H78-1)),),IF('Part VI-Pro Forma'!$G$10="Yes",ROUND((-(SUM(H79:H82)*'Part VI-Pro Forma'!$K$10)),),"Choose mgt fee")))</f>
        <v>-49058</v>
      </c>
      <c r="I86" s="22">
        <f>IF(AND('Part VI-Pro Forma'!$G$9="Yes",'Part VI-Pro Forma'!$G$10="Yes"),"Choose One!",IF('Part VI-Pro Forma'!$G$9="Yes",ROUND((-$K$9*(1+'Part VI-Pro Forma'!$B$7)^('Part VI-Pro Forma'!I78-1)),),IF('Part VI-Pro Forma'!$G$10="Yes",ROUND((-(SUM(I79:I82)*'Part VI-Pro Forma'!$K$10)),),"Choose mgt fee")))</f>
        <v>-50039</v>
      </c>
      <c r="J86" s="22">
        <f>IF(AND('Part VI-Pro Forma'!$G$9="Yes",'Part VI-Pro Forma'!$G$10="Yes"),"Choose One!",IF('Part VI-Pro Forma'!$G$9="Yes",ROUND((-$K$9*(1+'Part VI-Pro Forma'!$B$7)^('Part VI-Pro Forma'!J78-1)),),IF('Part VI-Pro Forma'!$G$10="Yes",ROUND((-(SUM(J79:J82)*'Part VI-Pro Forma'!$K$10)),),"Choose mgt fee")))</f>
        <v>-51040</v>
      </c>
      <c r="K86" s="23">
        <f>IF(AND('Part VI-Pro Forma'!$G$9="Yes",'Part VI-Pro Forma'!$G$10="Yes"),"Choose One!",IF('Part VI-Pro Forma'!$G$9="Yes",ROUND((-$K$9*(1+'Part VI-Pro Forma'!$B$7)^('Part VI-Pro Forma'!K78-1)),),IF('Part VI-Pro Forma'!$G$10="Yes",ROUND((-(SUM(K79:K82)*'Part VI-Pro Forma'!$K$10)),),"Choose mgt fee")))</f>
        <v>-52061</v>
      </c>
      <c r="N86" s="3862"/>
      <c r="O86" s="3864"/>
      <c r="Z86" s="2259" t="s">
        <v>6470</v>
      </c>
      <c r="AA86" s="2263">
        <v>86</v>
      </c>
    </row>
    <row r="87" spans="1:27" ht="13.4" customHeight="1">
      <c r="A87" s="21" t="s">
        <v>1129</v>
      </c>
      <c r="B87" s="22">
        <f t="shared" ref="B87:K87" si="39">$B$23*(1+$B$8)^(B78-1)</f>
        <v>-27091.668520041199</v>
      </c>
      <c r="C87" s="22">
        <f t="shared" si="39"/>
        <v>-27904.41857564243</v>
      </c>
      <c r="D87" s="22">
        <f t="shared" si="39"/>
        <v>-28741.551132911707</v>
      </c>
      <c r="E87" s="22">
        <f t="shared" si="39"/>
        <v>-29603.79766689906</v>
      </c>
      <c r="F87" s="22">
        <f t="shared" si="39"/>
        <v>-30491.911596906026</v>
      </c>
      <c r="G87" s="22">
        <f t="shared" si="39"/>
        <v>-31406.668944813209</v>
      </c>
      <c r="H87" s="22">
        <f t="shared" si="39"/>
        <v>-32348.869013157608</v>
      </c>
      <c r="I87" s="22">
        <f t="shared" si="39"/>
        <v>-33319.335083552331</v>
      </c>
      <c r="J87" s="22">
        <f t="shared" si="39"/>
        <v>-34318.915136058902</v>
      </c>
      <c r="K87" s="23">
        <f t="shared" si="39"/>
        <v>-35348.482590140666</v>
      </c>
      <c r="N87" s="3862"/>
      <c r="O87" s="3864"/>
      <c r="Q87" s="958"/>
      <c r="R87" s="1105"/>
      <c r="S87" s="1105"/>
      <c r="Z87" s="2259" t="s">
        <v>6470</v>
      </c>
      <c r="AA87" s="2263">
        <v>87</v>
      </c>
    </row>
    <row r="88" spans="1:27" ht="13.4"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2"/>
      <c r="O88" s="3864"/>
      <c r="Z88" s="2259" t="s">
        <v>6470</v>
      </c>
      <c r="AA88" s="2263">
        <v>88</v>
      </c>
    </row>
    <row r="89" spans="1:27" ht="13.4" customHeight="1">
      <c r="A89" s="21" t="s">
        <v>1130</v>
      </c>
      <c r="B89" s="22">
        <f t="shared" ref="B89:K89" si="40">SUM(B84:B88)</f>
        <v>149171.53020709017</v>
      </c>
      <c r="C89" s="22">
        <f t="shared" si="40"/>
        <v>144541.56838488692</v>
      </c>
      <c r="D89" s="22">
        <f t="shared" si="40"/>
        <v>139592.06835344899</v>
      </c>
      <c r="E89" s="22">
        <f t="shared" si="40"/>
        <v>134307.10797940823</v>
      </c>
      <c r="F89" s="22">
        <f t="shared" si="40"/>
        <v>128675.30114565382</v>
      </c>
      <c r="G89" s="22">
        <f t="shared" si="40"/>
        <v>122680.78230542385</v>
      </c>
      <c r="H89" s="22">
        <f t="shared" si="40"/>
        <v>116309.1905424947</v>
      </c>
      <c r="I89" s="22">
        <f t="shared" si="40"/>
        <v>109545.65312203609</v>
      </c>
      <c r="J89" s="22">
        <f t="shared" si="40"/>
        <v>102373.76851622915</v>
      </c>
      <c r="K89" s="1538">
        <f t="shared" si="40"/>
        <v>94777.588888258324</v>
      </c>
      <c r="N89" s="3862"/>
      <c r="O89" s="3864"/>
      <c r="Z89" s="2259" t="s">
        <v>6470</v>
      </c>
      <c r="AA89" s="2263">
        <v>89</v>
      </c>
    </row>
    <row r="90" spans="1:27" ht="13.4" customHeight="1">
      <c r="A90" s="21" t="str">
        <f>$A58</f>
        <v>Mortgage A</v>
      </c>
      <c r="B90" s="448">
        <f>IF('Part II-Sources of Funds'!$P$40="", 0,-'Part II-Sources of Funds'!$P$40)</f>
        <v>-136782.27860706521</v>
      </c>
      <c r="C90" s="448">
        <f>IF('Part II-Sources of Funds'!$P$40="", 0,-'Part II-Sources of Funds'!$P$40)</f>
        <v>-136782.27860706521</v>
      </c>
      <c r="D90" s="448">
        <f>IF('Part II-Sources of Funds'!$P$40="", 0,-'Part II-Sources of Funds'!$P$40)</f>
        <v>-136782.27860706521</v>
      </c>
      <c r="E90" s="448">
        <f>IF('Part II-Sources of Funds'!$P$40="", 0,-'Part II-Sources of Funds'!$P$40)</f>
        <v>-136782.27860706521</v>
      </c>
      <c r="F90" s="448">
        <f>IF('Part II-Sources of Funds'!$P$40="", 0,-'Part II-Sources of Funds'!$P$40)</f>
        <v>-136782.27860706521</v>
      </c>
      <c r="G90" s="448">
        <f>IF('Part II-Sources of Funds'!$P$40="", 0,-'Part II-Sources of Funds'!$P$40)</f>
        <v>-136782.27860706521</v>
      </c>
      <c r="H90" s="448">
        <f>IF('Part II-Sources of Funds'!$P$40="", 0,-'Part II-Sources of Funds'!$P$40)</f>
        <v>-136782.27860706521</v>
      </c>
      <c r="I90" s="448">
        <f>IF('Part II-Sources of Funds'!$P$40="", 0,-'Part II-Sources of Funds'!$P$40)</f>
        <v>-136782.27860706521</v>
      </c>
      <c r="J90" s="448">
        <f>IF('Part II-Sources of Funds'!$P$40="", 0,-'Part II-Sources of Funds'!$P$40)</f>
        <v>-136782.27860706521</v>
      </c>
      <c r="K90" s="448">
        <f>IF('Part II-Sources of Funds'!$P$40="", 0,-'Part II-Sources of Funds'!$P$40)</f>
        <v>-136782.27860706521</v>
      </c>
      <c r="N90" s="3862"/>
      <c r="O90" s="3864"/>
      <c r="Z90" s="2259" t="s">
        <v>6470</v>
      </c>
      <c r="AA90" s="2263">
        <v>90</v>
      </c>
    </row>
    <row r="91" spans="1:27" ht="13.4"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2"/>
      <c r="O91" s="3864"/>
      <c r="Z91" s="2259" t="s">
        <v>6470</v>
      </c>
      <c r="AA91" s="2261">
        <v>91</v>
      </c>
    </row>
    <row r="92" spans="1:27" ht="13.4"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2"/>
      <c r="O92" s="3864"/>
      <c r="Z92" s="2259" t="s">
        <v>6470</v>
      </c>
      <c r="AA92" s="2262">
        <v>92</v>
      </c>
    </row>
    <row r="93" spans="1:27" ht="13.4"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2"/>
      <c r="O93" s="3864"/>
      <c r="Z93" s="2259" t="s">
        <v>6470</v>
      </c>
      <c r="AA93" s="2263">
        <v>93</v>
      </c>
    </row>
    <row r="94" spans="1:27" ht="13.4" customHeight="1">
      <c r="A94" s="21" t="s">
        <v>711</v>
      </c>
      <c r="B94" s="173"/>
      <c r="C94" s="173"/>
      <c r="D94" s="173"/>
      <c r="E94" s="173"/>
      <c r="F94" s="173"/>
      <c r="G94" s="173"/>
      <c r="H94" s="173"/>
      <c r="I94" s="173"/>
      <c r="J94" s="173"/>
      <c r="K94" s="173"/>
      <c r="N94" s="3862"/>
      <c r="O94" s="3864"/>
      <c r="Z94" s="2259" t="s">
        <v>6470</v>
      </c>
      <c r="AA94" s="2263">
        <v>94</v>
      </c>
    </row>
    <row r="95" spans="1:27" ht="13.4" customHeight="1">
      <c r="A95" s="447" t="s">
        <v>1096</v>
      </c>
      <c r="B95" s="234">
        <f>+K63</f>
        <v>-6000</v>
      </c>
      <c r="C95" s="234">
        <f t="shared" ref="C95:K95" si="41">+B95</f>
        <v>-6000</v>
      </c>
      <c r="D95" s="234">
        <f t="shared" si="41"/>
        <v>-6000</v>
      </c>
      <c r="E95" s="234">
        <f t="shared" si="41"/>
        <v>-6000</v>
      </c>
      <c r="F95" s="234">
        <f t="shared" si="41"/>
        <v>-6000</v>
      </c>
      <c r="G95" s="234">
        <f t="shared" si="41"/>
        <v>-6000</v>
      </c>
      <c r="H95" s="234">
        <f t="shared" si="41"/>
        <v>-6000</v>
      </c>
      <c r="I95" s="234">
        <f t="shared" si="41"/>
        <v>-6000</v>
      </c>
      <c r="J95" s="234">
        <f t="shared" si="41"/>
        <v>-6000</v>
      </c>
      <c r="K95" s="234">
        <f t="shared" si="41"/>
        <v>-6000</v>
      </c>
      <c r="N95" s="3862"/>
      <c r="O95" s="3864"/>
      <c r="Z95" s="2259" t="s">
        <v>6470</v>
      </c>
      <c r="AA95" s="2263">
        <v>95</v>
      </c>
    </row>
    <row r="96" spans="1:27" ht="13.4" customHeight="1">
      <c r="A96" s="21" t="s">
        <v>1097</v>
      </c>
      <c r="B96" s="22">
        <f t="shared" ref="B96:K96" si="42">SUM(B89:B95)</f>
        <v>6389.2516000249598</v>
      </c>
      <c r="C96" s="22">
        <f t="shared" si="42"/>
        <v>1759.2897778217157</v>
      </c>
      <c r="D96" s="22">
        <f t="shared" si="42"/>
        <v>-3190.2102536162129</v>
      </c>
      <c r="E96" s="22">
        <f t="shared" si="42"/>
        <v>-8475.1706276569748</v>
      </c>
      <c r="F96" s="22">
        <f t="shared" si="42"/>
        <v>-14106.977461411385</v>
      </c>
      <c r="G96" s="22">
        <f t="shared" si="42"/>
        <v>-20101.496301641353</v>
      </c>
      <c r="H96" s="22">
        <f t="shared" si="42"/>
        <v>-26473.088064570504</v>
      </c>
      <c r="I96" s="22">
        <f t="shared" si="42"/>
        <v>-33236.625485029115</v>
      </c>
      <c r="J96" s="22">
        <f t="shared" si="42"/>
        <v>-40408.510090836062</v>
      </c>
      <c r="K96" s="23">
        <f t="shared" si="42"/>
        <v>-48004.689718806883</v>
      </c>
      <c r="N96" s="3862"/>
      <c r="O96" s="3864"/>
      <c r="Z96" s="2259" t="s">
        <v>6470</v>
      </c>
      <c r="AA96" s="2261">
        <v>96</v>
      </c>
    </row>
    <row r="97" spans="1:27" ht="13.4" customHeight="1">
      <c r="A97" s="21" t="str">
        <f>$A66</f>
        <v>DCR Mortgage A</v>
      </c>
      <c r="B97" s="24">
        <f t="shared" ref="B97:K97" si="43">IF(B90=0,"",-B89/B90)</f>
        <v>1.0905764381628382</v>
      </c>
      <c r="C97" s="24">
        <f t="shared" si="43"/>
        <v>1.0567273031041677</v>
      </c>
      <c r="D97" s="24">
        <f t="shared" si="43"/>
        <v>1.0205420597974937</v>
      </c>
      <c r="E97" s="24">
        <f t="shared" si="43"/>
        <v>0.98190430329964451</v>
      </c>
      <c r="F97" s="24">
        <f t="shared" si="43"/>
        <v>0.94073079097694867</v>
      </c>
      <c r="G97" s="24">
        <f t="shared" si="43"/>
        <v>0.89690553158460862</v>
      </c>
      <c r="H97" s="24">
        <f t="shared" si="43"/>
        <v>0.85032353406406103</v>
      </c>
      <c r="I97" s="24">
        <f t="shared" si="43"/>
        <v>0.80087606550793144</v>
      </c>
      <c r="J97" s="24">
        <f t="shared" si="43"/>
        <v>0.74844321617362819</v>
      </c>
      <c r="K97" s="25">
        <f t="shared" si="43"/>
        <v>0.69290839320293929</v>
      </c>
      <c r="N97" s="3862"/>
      <c r="O97" s="3864"/>
      <c r="Z97" s="2259" t="s">
        <v>6470</v>
      </c>
      <c r="AA97" s="2262">
        <v>97</v>
      </c>
    </row>
    <row r="98" spans="1:27" ht="13.4" customHeight="1">
      <c r="A98" s="21" t="str">
        <f>$A67</f>
        <v>DCR Mortgage B</v>
      </c>
      <c r="B98" s="24" t="str">
        <f t="shared" ref="B98:K98" si="44">IF(B91=0,"",-(B89+B90)/B91)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862"/>
      <c r="O98" s="3864"/>
      <c r="Z98" s="2259" t="s">
        <v>6470</v>
      </c>
      <c r="AA98" s="2263">
        <v>98</v>
      </c>
    </row>
    <row r="99" spans="1:27" ht="13.4" customHeight="1">
      <c r="A99" s="21" t="str">
        <f>$A68</f>
        <v>DCR Mortgage C</v>
      </c>
      <c r="B99" s="24" t="str">
        <f t="shared" ref="B99:K99" si="45">IF(B92=0,"",-(B89+B90+B91)/B92)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862"/>
      <c r="O99" s="3864"/>
      <c r="Z99" s="2259" t="s">
        <v>6470</v>
      </c>
      <c r="AA99" s="2261">
        <v>99</v>
      </c>
    </row>
    <row r="100" spans="1:27" ht="13.4" customHeight="1">
      <c r="A100" s="21" t="str">
        <f>$A69</f>
        <v>DCR Other Source</v>
      </c>
      <c r="B100" s="24" t="str">
        <f t="shared" ref="B100:K100" si="46">IF(B93=0,"",-(B89+B90+B91+B92)/B93)</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862"/>
      <c r="O100" s="3864"/>
      <c r="Z100" s="2259" t="s">
        <v>6470</v>
      </c>
      <c r="AA100" s="2262">
        <v>100</v>
      </c>
    </row>
    <row r="101" spans="1:27" ht="13.4" customHeight="1">
      <c r="A101" s="447" t="s">
        <v>3216</v>
      </c>
      <c r="B101" s="24">
        <f t="shared" ref="B101:K101" si="47">IF(AND(B90=0,B91=0,B92=0,B93=0),"",-B89/(B90+B91+B92+B93))</f>
        <v>1.0905764381628382</v>
      </c>
      <c r="C101" s="24">
        <f t="shared" si="47"/>
        <v>1.0567273031041677</v>
      </c>
      <c r="D101" s="24">
        <f t="shared" si="47"/>
        <v>1.0205420597974937</v>
      </c>
      <c r="E101" s="24">
        <f t="shared" si="47"/>
        <v>0.98190430329964451</v>
      </c>
      <c r="F101" s="24">
        <f t="shared" si="47"/>
        <v>0.94073079097694867</v>
      </c>
      <c r="G101" s="24">
        <f t="shared" si="47"/>
        <v>0.89690553158460862</v>
      </c>
      <c r="H101" s="24">
        <f t="shared" si="47"/>
        <v>0.85032353406406103</v>
      </c>
      <c r="I101" s="24">
        <f t="shared" si="47"/>
        <v>0.80087606550793144</v>
      </c>
      <c r="J101" s="24">
        <f t="shared" si="47"/>
        <v>0.74844321617362819</v>
      </c>
      <c r="K101" s="25">
        <f t="shared" si="47"/>
        <v>0.69290839320293929</v>
      </c>
      <c r="N101" s="3862"/>
      <c r="O101" s="3864"/>
      <c r="Z101" s="2259" t="s">
        <v>6470</v>
      </c>
      <c r="AA101" s="2263">
        <v>101</v>
      </c>
    </row>
    <row r="102" spans="1:27" ht="13.4" customHeight="1">
      <c r="A102" s="21" t="s">
        <v>718</v>
      </c>
      <c r="B102" s="288">
        <f>IF(OR(B86="Choose mgt fee",B86="Choose One!"),"",(B79+B80+B81+B82+B83) / -(B85+B86+B87))</f>
        <v>1.1853464855535496</v>
      </c>
      <c r="C102" s="288">
        <f t="shared" ref="C102:K102" si="48">IF(OR(C86="Choose mgt fee",C86="Choose One!"),"",(C79+C80+C81+C82+C83) / -(C85+C86+C87))</f>
        <v>1.1744543609821649</v>
      </c>
      <c r="D102" s="288">
        <f t="shared" si="48"/>
        <v>1.1636587074195492</v>
      </c>
      <c r="E102" s="288">
        <f t="shared" si="48"/>
        <v>1.152955103710978</v>
      </c>
      <c r="F102" s="288">
        <f t="shared" si="48"/>
        <v>1.1423459993525791</v>
      </c>
      <c r="G102" s="288">
        <f t="shared" si="48"/>
        <v>1.1318285299859581</v>
      </c>
      <c r="H102" s="288">
        <f t="shared" si="48"/>
        <v>1.1214024959074007</v>
      </c>
      <c r="I102" s="288">
        <f t="shared" si="48"/>
        <v>1.1110676388757719</v>
      </c>
      <c r="J102" s="288">
        <f t="shared" si="48"/>
        <v>1.1008225629905262</v>
      </c>
      <c r="K102" s="289">
        <f t="shared" si="48"/>
        <v>1.0906670300048955</v>
      </c>
      <c r="N102" s="3862"/>
      <c r="O102" s="3864"/>
      <c r="Z102" s="2259" t="s">
        <v>6470</v>
      </c>
      <c r="AA102" s="2263">
        <v>102</v>
      </c>
    </row>
    <row r="103" spans="1:27" ht="13.4" customHeight="1">
      <c r="A103" s="447" t="s">
        <v>2406</v>
      </c>
      <c r="B103" s="232">
        <f>IF('Part II-Sources of Funds'!$I$40="","",-FV('Part II-Sources of Funds'!$K$40/12,12,B90/12,K72))</f>
        <v>1610219.6694632987</v>
      </c>
      <c r="C103" s="232">
        <f>IF('Part II-Sources of Funds'!$I$40="","",-FV('Part II-Sources of Funds'!$K$40/12,12,C90/12,B103))</f>
        <v>1560765.1580432868</v>
      </c>
      <c r="D103" s="232">
        <f>IF('Part II-Sources of Funds'!$I$40="","",-FV('Part II-Sources of Funds'!$K$40/12,12,D90/12,C103))</f>
        <v>1508521.02344766</v>
      </c>
      <c r="E103" s="232">
        <f>IF('Part II-Sources of Funds'!$I$40="","",-FV('Part II-Sources of Funds'!$K$40/12,12,E90/12,D103))</f>
        <v>1453329.9090018</v>
      </c>
      <c r="F103" s="232">
        <f>IF('Part II-Sources of Funds'!$I$40="","",-FV('Part II-Sources of Funds'!$K$40/12,12,F90/12,E103))</f>
        <v>1395025.5818777557</v>
      </c>
      <c r="G103" s="232">
        <f>IF('Part II-Sources of Funds'!$I$40="","",-FV('Part II-Sources of Funds'!$K$40/12,12,G90/12,F103))</f>
        <v>1333432.4324094257</v>
      </c>
      <c r="H103" s="232">
        <f>IF('Part II-Sources of Funds'!$I$40="","",-FV('Part II-Sources of Funds'!$K$40/12,12,H90/12,G103))</f>
        <v>1268364.9451651808</v>
      </c>
      <c r="I103" s="232">
        <f>IF('Part II-Sources of Funds'!$I$40="","",-FV('Part II-Sources of Funds'!$K$40/12,12,I90/12,H103))</f>
        <v>1199627.1401848251</v>
      </c>
      <c r="J103" s="232">
        <f>IF('Part II-Sources of Funds'!$I$40="","",-FV('Part II-Sources of Funds'!$K$40/12,12,J90/12,I103))</f>
        <v>1127011.982697929</v>
      </c>
      <c r="K103" s="232">
        <f>IF('Part II-Sources of Funds'!$I$40="","",-FV('Part II-Sources of Funds'!$K$40/12,12,K90/12,J103))</f>
        <v>1050300.7595456387</v>
      </c>
      <c r="N103" s="3862"/>
      <c r="O103" s="3864"/>
      <c r="Z103" s="2259" t="s">
        <v>6470</v>
      </c>
      <c r="AA103" s="2263">
        <v>103</v>
      </c>
    </row>
    <row r="104" spans="1:27" ht="13.4"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2"/>
      <c r="O104" s="3864"/>
      <c r="Z104" s="2259" t="s">
        <v>6470</v>
      </c>
      <c r="AA104" s="2263">
        <v>104</v>
      </c>
    </row>
    <row r="105" spans="1:27" ht="13.4"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2"/>
      <c r="O105" s="3864"/>
      <c r="Z105" s="2259" t="s">
        <v>6470</v>
      </c>
      <c r="AA105" s="2263">
        <v>105</v>
      </c>
    </row>
    <row r="106" spans="1:27" ht="13.4"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68"/>
      <c r="O106" s="3870"/>
      <c r="Z106" s="2259" t="s">
        <v>6470</v>
      </c>
      <c r="AA106" s="2263">
        <v>106</v>
      </c>
    </row>
    <row r="107" spans="1:27" ht="4.4000000000000004" customHeight="1">
      <c r="B107" s="17"/>
      <c r="C107" s="17"/>
      <c r="D107" s="17"/>
      <c r="E107" s="17"/>
      <c r="F107" s="17"/>
      <c r="G107" s="17"/>
      <c r="H107" s="17"/>
      <c r="I107" s="17"/>
      <c r="J107" s="17"/>
      <c r="K107" s="17"/>
      <c r="AA107" s="2263">
        <v>107</v>
      </c>
    </row>
    <row r="108" spans="1:27" ht="14.5" customHeight="1">
      <c r="A108" s="13" t="s">
        <v>2285</v>
      </c>
      <c r="B108" s="15">
        <f>K78+1</f>
        <v>31</v>
      </c>
      <c r="C108" s="15">
        <f>B108+1</f>
        <v>32</v>
      </c>
      <c r="D108" s="15">
        <f>C108+1</f>
        <v>33</v>
      </c>
      <c r="E108" s="15">
        <f>D108+1</f>
        <v>34</v>
      </c>
      <c r="F108" s="15">
        <f>E108+1</f>
        <v>35</v>
      </c>
      <c r="G108" s="17"/>
      <c r="H108" s="17"/>
      <c r="I108" s="17"/>
      <c r="J108" s="17"/>
      <c r="K108" s="17"/>
      <c r="N108" s="3546" t="s">
        <v>3208</v>
      </c>
      <c r="O108" s="3546"/>
      <c r="AA108" s="2261">
        <v>108</v>
      </c>
    </row>
    <row r="109" spans="1:27" ht="13.4" customHeight="1">
      <c r="A109" s="18" t="s">
        <v>2216</v>
      </c>
      <c r="B109" s="19">
        <f>$B$15*(1+$B$6)^(B108-1)</f>
        <v>1225929.5201211497</v>
      </c>
      <c r="C109" s="19">
        <f>$B$15*(1+$B$6)^(C108-1)</f>
        <v>1250448.1105235724</v>
      </c>
      <c r="D109" s="19">
        <f>$B$15*(1+$B$6)^(D108-1)</f>
        <v>1275457.0727340439</v>
      </c>
      <c r="E109" s="19">
        <f>$B$15*(1+$B$6)^(E108-1)</f>
        <v>1300966.214188725</v>
      </c>
      <c r="F109" s="642">
        <f>$B$15*(1+$B$6)^(F108-1)</f>
        <v>1326985.5384724995</v>
      </c>
      <c r="G109" s="17"/>
      <c r="H109" s="17"/>
      <c r="I109" s="17"/>
      <c r="J109" s="17"/>
      <c r="K109" s="17"/>
      <c r="N109" s="3888"/>
      <c r="O109" s="3890"/>
      <c r="Z109" s="2259" t="s">
        <v>6471</v>
      </c>
      <c r="AA109" s="2262">
        <v>109</v>
      </c>
    </row>
    <row r="110" spans="1:27" ht="13.4" customHeight="1">
      <c r="A110" s="21" t="s">
        <v>953</v>
      </c>
      <c r="B110" s="22">
        <f>$B$16*(1+$B$6)^(B108-1)</f>
        <v>24518.590402422993</v>
      </c>
      <c r="C110" s="22">
        <f>$B$16*(1+$B$6)^(C108-1)</f>
        <v>25008.962210471447</v>
      </c>
      <c r="D110" s="22">
        <f>$B$16*(1+$B$6)^(D108-1)</f>
        <v>25509.141454680881</v>
      </c>
      <c r="E110" s="22">
        <f>$B$16*(1+$B$6)^(E108-1)</f>
        <v>26019.324283774502</v>
      </c>
      <c r="F110" s="23">
        <f>$B$16*(1+$B$6)^(F108-1)</f>
        <v>26539.710769449986</v>
      </c>
      <c r="G110" s="17"/>
      <c r="H110" s="17"/>
      <c r="I110" s="17"/>
      <c r="J110" s="17"/>
      <c r="K110" s="17"/>
      <c r="N110" s="3862"/>
      <c r="O110" s="3864"/>
      <c r="Z110" s="2259" t="s">
        <v>6471</v>
      </c>
      <c r="AA110" s="2263">
        <v>110</v>
      </c>
    </row>
    <row r="111" spans="1:27" ht="13.4" customHeight="1">
      <c r="A111" s="21" t="s">
        <v>2217</v>
      </c>
      <c r="B111" s="22">
        <f>-(B109+B110)*$B$9</f>
        <v>-87531.367736650092</v>
      </c>
      <c r="C111" s="22">
        <f>-(C109+C110)*$B$9</f>
        <v>-89281.995091383083</v>
      </c>
      <c r="D111" s="22">
        <f>-(D109+D110)*$B$9</f>
        <v>-91067.634993210741</v>
      </c>
      <c r="E111" s="22">
        <f>-(E109+E110)*$B$9</f>
        <v>-92888.987693074974</v>
      </c>
      <c r="F111" s="23">
        <f>-(F109+F110)*$B$9</f>
        <v>-94746.767446936472</v>
      </c>
      <c r="G111" s="17"/>
      <c r="H111" s="17"/>
      <c r="I111" s="17"/>
      <c r="J111" s="17"/>
      <c r="K111" s="17"/>
      <c r="N111" s="3862"/>
      <c r="O111" s="3864"/>
      <c r="Z111" s="2259" t="s">
        <v>6471</v>
      </c>
      <c r="AA111" s="2263">
        <v>111</v>
      </c>
    </row>
    <row r="112" spans="1:27" ht="13.4"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2"/>
      <c r="O112" s="3864"/>
      <c r="Z112" s="2259" t="s">
        <v>6471</v>
      </c>
      <c r="AA112" s="2263">
        <v>112</v>
      </c>
    </row>
    <row r="113" spans="1:27" ht="13.4"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2"/>
      <c r="O113" s="3864"/>
      <c r="Z113" s="2259" t="s">
        <v>6471</v>
      </c>
      <c r="AA113" s="2263">
        <v>113</v>
      </c>
    </row>
    <row r="114" spans="1:27" ht="13.4" customHeight="1">
      <c r="A114" s="447" t="s">
        <v>3842</v>
      </c>
      <c r="B114" s="22">
        <f>SUM(B109:B113)</f>
        <v>1162916.7427869225</v>
      </c>
      <c r="C114" s="22">
        <f>SUM(C109:C113)</f>
        <v>1186175.0776426608</v>
      </c>
      <c r="D114" s="22">
        <f>SUM(D109:D113)</f>
        <v>1209898.5791955141</v>
      </c>
      <c r="E114" s="22">
        <f>SUM(E109:E113)</f>
        <v>1234096.5507794246</v>
      </c>
      <c r="F114" s="23">
        <f>SUM(F109:F113)</f>
        <v>1258778.481795013</v>
      </c>
      <c r="G114" s="17"/>
      <c r="H114" s="17"/>
      <c r="I114" s="17"/>
      <c r="J114" s="17"/>
      <c r="K114" s="17"/>
      <c r="N114" s="3862"/>
      <c r="O114" s="3864"/>
      <c r="Z114" s="2259" t="s">
        <v>6471</v>
      </c>
      <c r="AA114" s="2263">
        <v>114</v>
      </c>
    </row>
    <row r="115" spans="1:27" ht="13.4" customHeight="1">
      <c r="A115" s="21" t="s">
        <v>572</v>
      </c>
      <c r="B115" s="22">
        <f>$B$21*(1+$B$7)^(B108-1)</f>
        <v>-986665.2037012981</v>
      </c>
      <c r="C115" s="22">
        <f>$B$21*(1+$B$7)^(C108-1)</f>
        <v>-1016265.1598123373</v>
      </c>
      <c r="D115" s="22">
        <f>$B$21*(1+$B$7)^(D108-1)</f>
        <v>-1046753.1146067071</v>
      </c>
      <c r="E115" s="22">
        <f>$B$21*(1+$B$7)^(E108-1)</f>
        <v>-1078155.7080449085</v>
      </c>
      <c r="F115" s="23">
        <f>$B$21*(1+$B$7)^(F108-1)</f>
        <v>-1110500.3792862555</v>
      </c>
      <c r="G115" s="17"/>
      <c r="H115" s="17"/>
      <c r="I115" s="17"/>
      <c r="J115" s="17"/>
      <c r="K115" s="17"/>
      <c r="N115" s="3862"/>
      <c r="O115" s="3864"/>
      <c r="Z115" s="2259" t="s">
        <v>6471</v>
      </c>
      <c r="AA115" s="2263">
        <v>115</v>
      </c>
    </row>
    <row r="116" spans="1:27" ht="13.4" customHeight="1">
      <c r="A116" s="21" t="s">
        <v>1051</v>
      </c>
      <c r="B116" s="22">
        <f>IF(AND('Part VI-Pro Forma'!$G$9="Yes",'Part VI-Pro Forma'!$G$10="Yes"),"Choose One!",IF('Part VI-Pro Forma'!$G$9="Yes",ROUND((-$K$9*(1+'Part VI-Pro Forma'!$B$7)^('Part VI-Pro Forma'!B108-1)),),IF('Part VI-Pro Forma'!$G$10="Yes",ROUND((-(SUM(B109:B112)*'Part VI-Pro Forma'!$K$10)),),"Choose mgt fee")))</f>
        <v>-53102</v>
      </c>
      <c r="C116" s="22">
        <f>IF(AND('Part VI-Pro Forma'!$G$9="Yes",'Part VI-Pro Forma'!$G$10="Yes"),"Choose One!",IF('Part VI-Pro Forma'!$G$9="Yes",ROUND((-$K$9*(1+'Part VI-Pro Forma'!$B$7)^('Part VI-Pro Forma'!C108-1)),),IF('Part VI-Pro Forma'!$G$10="Yes",ROUND((-(SUM(C109:C112)*'Part VI-Pro Forma'!$K$10)),),"Choose mgt fee")))</f>
        <v>-54164</v>
      </c>
      <c r="D116" s="22">
        <f>IF(AND('Part VI-Pro Forma'!$G$9="Yes",'Part VI-Pro Forma'!$G$10="Yes"),"Choose One!",IF('Part VI-Pro Forma'!$G$9="Yes",ROUND((-$K$9*(1+'Part VI-Pro Forma'!$B$7)^('Part VI-Pro Forma'!D108-1)),),IF('Part VI-Pro Forma'!$G$10="Yes",ROUND((-(SUM(D109:D112)*'Part VI-Pro Forma'!$K$10)),),"Choose mgt fee")))</f>
        <v>-55248</v>
      </c>
      <c r="E116" s="22">
        <f>IF(AND('Part VI-Pro Forma'!$G$9="Yes",'Part VI-Pro Forma'!$G$10="Yes"),"Choose One!",IF('Part VI-Pro Forma'!$G$9="Yes",ROUND((-$K$9*(1+'Part VI-Pro Forma'!$B$7)^('Part VI-Pro Forma'!E108-1)),),IF('Part VI-Pro Forma'!$G$10="Yes",ROUND((-(SUM(E109:E112)*'Part VI-Pro Forma'!$K$10)),),"Choose mgt fee")))</f>
        <v>-56353</v>
      </c>
      <c r="F116" s="23">
        <f>IF(AND('Part VI-Pro Forma'!$G$9="Yes",'Part VI-Pro Forma'!$G$10="Yes"),"Choose One!",IF('Part VI-Pro Forma'!$G$9="Yes",ROUND((-$K$9*(1+'Part VI-Pro Forma'!$B$7)^('Part VI-Pro Forma'!F108-1)),),IF('Part VI-Pro Forma'!$G$10="Yes",ROUND((-(SUM(F109:F112)*'Part VI-Pro Forma'!$K$10)),),"Choose mgt fee")))</f>
        <v>-57480</v>
      </c>
      <c r="G116" s="17"/>
      <c r="H116" s="17"/>
      <c r="I116" s="17"/>
      <c r="J116" s="17"/>
      <c r="K116" s="17"/>
      <c r="N116" s="3862"/>
      <c r="O116" s="3864"/>
      <c r="Z116" s="2259" t="s">
        <v>6471</v>
      </c>
      <c r="AA116" s="2263">
        <v>116</v>
      </c>
    </row>
    <row r="117" spans="1:27" ht="13.4" customHeight="1">
      <c r="A117" s="21" t="s">
        <v>1129</v>
      </c>
      <c r="B117" s="22">
        <f>$B$23*(1+$B$8)^(B108-1)</f>
        <v>-36408.937067844883</v>
      </c>
      <c r="C117" s="22">
        <f>$B$23*(1+$B$8)^(C108-1)</f>
        <v>-37501.205179880242</v>
      </c>
      <c r="D117" s="22">
        <f>$B$23*(1+$B$8)^(D108-1)</f>
        <v>-38626.241335276638</v>
      </c>
      <c r="E117" s="22">
        <f>$B$23*(1+$B$8)^(E108-1)</f>
        <v>-39785.028575334938</v>
      </c>
      <c r="F117" s="23">
        <f>$B$23*(1+$B$8)^(F108-1)</f>
        <v>-40978.579432594983</v>
      </c>
      <c r="G117" s="17"/>
      <c r="H117" s="17"/>
      <c r="I117" s="17"/>
      <c r="J117" s="17"/>
      <c r="K117" s="17"/>
      <c r="N117" s="3862"/>
      <c r="O117" s="3864"/>
      <c r="Q117" s="958">
        <v>10</v>
      </c>
      <c r="R117" s="1105">
        <f>-SUM(B123:K123)</f>
        <v>0</v>
      </c>
      <c r="S117" s="1105">
        <f>SUM(B124:K124)+R117</f>
        <v>0</v>
      </c>
      <c r="Z117" s="2259" t="s">
        <v>6471</v>
      </c>
      <c r="AA117" s="2261">
        <v>117</v>
      </c>
    </row>
    <row r="118" spans="1:27" ht="13.4"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2"/>
      <c r="O118" s="3864"/>
      <c r="Z118" s="2259" t="s">
        <v>6471</v>
      </c>
      <c r="AA118" s="2262">
        <v>118</v>
      </c>
    </row>
    <row r="119" spans="1:27" ht="13.4" customHeight="1">
      <c r="A119" s="21" t="s">
        <v>1130</v>
      </c>
      <c r="B119" s="22">
        <f>SUM(B114:B118)</f>
        <v>86740.602017779514</v>
      </c>
      <c r="C119" s="22">
        <f>SUM(C114:C118)</f>
        <v>78244.712650443325</v>
      </c>
      <c r="D119" s="22">
        <f>SUM(D114:D118)</f>
        <v>69271.223253530334</v>
      </c>
      <c r="E119" s="22">
        <f>SUM(E114:E118)</f>
        <v>59802.814159181195</v>
      </c>
      <c r="F119" s="1538">
        <f>SUM(F114:F118)</f>
        <v>49819.523076162513</v>
      </c>
      <c r="G119" s="17"/>
      <c r="H119" s="17"/>
      <c r="I119" s="17"/>
      <c r="J119" s="17"/>
      <c r="K119" s="17"/>
      <c r="N119" s="3862"/>
      <c r="O119" s="3864"/>
      <c r="Z119" s="2259" t="s">
        <v>6471</v>
      </c>
      <c r="AA119" s="2263">
        <v>119</v>
      </c>
    </row>
    <row r="120" spans="1:27" ht="13.4" customHeight="1">
      <c r="A120" s="21" t="str">
        <f>$A90</f>
        <v>Mortgage A</v>
      </c>
      <c r="B120" s="448">
        <f>IF('Part II-Sources of Funds'!$P$40="", 0,-'Part II-Sources of Funds'!$P$40)</f>
        <v>-136782.27860706521</v>
      </c>
      <c r="C120" s="448">
        <f>IF('Part II-Sources of Funds'!$P$40="", 0,-'Part II-Sources of Funds'!$P$40)</f>
        <v>-136782.27860706521</v>
      </c>
      <c r="D120" s="448">
        <f>IF('Part II-Sources of Funds'!$P$40="", 0,-'Part II-Sources of Funds'!$P$40)</f>
        <v>-136782.27860706521</v>
      </c>
      <c r="E120" s="448">
        <f>IF('Part II-Sources of Funds'!$P$40="", 0,-'Part II-Sources of Funds'!$P$40)</f>
        <v>-136782.27860706521</v>
      </c>
      <c r="F120" s="448">
        <f>IF('Part II-Sources of Funds'!$P$40="", 0,-'Part II-Sources of Funds'!$P$40)</f>
        <v>-136782.27860706521</v>
      </c>
      <c r="G120" s="17"/>
      <c r="H120" s="17"/>
      <c r="I120" s="17"/>
      <c r="J120" s="17"/>
      <c r="K120" s="17"/>
      <c r="N120" s="3862"/>
      <c r="O120" s="3864"/>
      <c r="Z120" s="2259" t="s">
        <v>6471</v>
      </c>
      <c r="AA120" s="2263">
        <v>120</v>
      </c>
    </row>
    <row r="121" spans="1:27" ht="13.4"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2"/>
      <c r="O121" s="3864"/>
      <c r="Z121" s="2259" t="s">
        <v>6471</v>
      </c>
      <c r="AA121" s="2263">
        <v>121</v>
      </c>
    </row>
    <row r="122" spans="1:27" ht="13.4"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2"/>
      <c r="O122" s="3864"/>
      <c r="Z122" s="2259" t="s">
        <v>6471</v>
      </c>
      <c r="AA122" s="2261">
        <v>122</v>
      </c>
    </row>
    <row r="123" spans="1:27" ht="13.4"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2"/>
      <c r="O123" s="3864"/>
      <c r="Z123" s="2259" t="s">
        <v>6471</v>
      </c>
      <c r="AA123" s="2262">
        <v>123</v>
      </c>
    </row>
    <row r="124" spans="1:27" ht="13.4" customHeight="1">
      <c r="A124" s="21" t="s">
        <v>711</v>
      </c>
      <c r="B124" s="173"/>
      <c r="C124" s="173"/>
      <c r="D124" s="173"/>
      <c r="E124" s="173"/>
      <c r="F124" s="173"/>
      <c r="G124" s="17"/>
      <c r="H124" s="17"/>
      <c r="I124" s="17"/>
      <c r="J124" s="17"/>
      <c r="K124" s="17"/>
      <c r="N124" s="3862"/>
      <c r="O124" s="3864"/>
      <c r="Z124" s="2259" t="s">
        <v>6471</v>
      </c>
      <c r="AA124" s="2263">
        <v>124</v>
      </c>
    </row>
    <row r="125" spans="1:27" ht="13.4" customHeight="1">
      <c r="A125" s="21" t="s">
        <v>1096</v>
      </c>
      <c r="B125" s="234">
        <f>+K95</f>
        <v>-6000</v>
      </c>
      <c r="C125" s="234">
        <f>+B125</f>
        <v>-6000</v>
      </c>
      <c r="D125" s="234">
        <f>+C125</f>
        <v>-6000</v>
      </c>
      <c r="E125" s="234">
        <f>+D125</f>
        <v>-6000</v>
      </c>
      <c r="F125" s="234">
        <f>+E125</f>
        <v>-6000</v>
      </c>
      <c r="G125" s="17"/>
      <c r="H125" s="17"/>
      <c r="I125" s="17"/>
      <c r="J125" s="17"/>
      <c r="K125" s="17"/>
      <c r="N125" s="3862"/>
      <c r="O125" s="3864"/>
      <c r="Z125" s="2259" t="s">
        <v>6471</v>
      </c>
      <c r="AA125" s="2263">
        <v>125</v>
      </c>
    </row>
    <row r="126" spans="1:27" ht="13.4" customHeight="1">
      <c r="A126" s="21" t="s">
        <v>1097</v>
      </c>
      <c r="B126" s="22">
        <f>SUM(B119:B125)</f>
        <v>-56041.676589285693</v>
      </c>
      <c r="C126" s="22">
        <f>SUM(C119:C125)</f>
        <v>-64537.565956621882</v>
      </c>
      <c r="D126" s="22">
        <f>SUM(D119:D125)</f>
        <v>-73511.055353534874</v>
      </c>
      <c r="E126" s="22">
        <f>SUM(E119:E125)</f>
        <v>-82979.464447884005</v>
      </c>
      <c r="F126" s="23">
        <f>SUM(F119:F125)</f>
        <v>-92962.755530902694</v>
      </c>
      <c r="G126" s="17"/>
      <c r="H126" s="17"/>
      <c r="I126" s="17"/>
      <c r="J126" s="17"/>
      <c r="K126" s="17"/>
      <c r="N126" s="3862"/>
      <c r="O126" s="3864"/>
      <c r="Z126" s="2259" t="s">
        <v>6471</v>
      </c>
      <c r="AA126" s="2263">
        <v>126</v>
      </c>
    </row>
    <row r="127" spans="1:27" ht="13.4" customHeight="1">
      <c r="A127" s="21" t="str">
        <f>$A97</f>
        <v>DCR Mortgage A</v>
      </c>
      <c r="B127" s="24">
        <f>IF(B120=0,"",-B119/B120)</f>
        <v>0.63415087759255317</v>
      </c>
      <c r="C127" s="24">
        <f>IF(C120=0,"",-C119/C120)</f>
        <v>0.57203837695391158</v>
      </c>
      <c r="D127" s="24">
        <f>IF(D120=0,"",-D119/D120)</f>
        <v>0.50643419570839254</v>
      </c>
      <c r="E127" s="24">
        <f>IF(E120=0,"",-E119/E120)</f>
        <v>0.43721171169385831</v>
      </c>
      <c r="F127" s="25">
        <f>IF(F120=0,"",-F119/F120)</f>
        <v>0.3642249828230979</v>
      </c>
      <c r="G127" s="17"/>
      <c r="H127" s="17"/>
      <c r="I127" s="17"/>
      <c r="J127" s="17"/>
      <c r="K127" s="17"/>
      <c r="N127" s="3862"/>
      <c r="O127" s="3864"/>
      <c r="Z127" s="2259" t="s">
        <v>6471</v>
      </c>
      <c r="AA127" s="2263">
        <v>127</v>
      </c>
    </row>
    <row r="128" spans="1:27" ht="13.4"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2"/>
      <c r="O128" s="3864"/>
      <c r="Z128" s="2259" t="s">
        <v>6471</v>
      </c>
      <c r="AA128" s="2263">
        <v>128</v>
      </c>
    </row>
    <row r="129" spans="1:27" ht="13.4"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2"/>
      <c r="O129" s="3864"/>
      <c r="Z129" s="2259" t="s">
        <v>6471</v>
      </c>
      <c r="AA129" s="2263">
        <v>129</v>
      </c>
    </row>
    <row r="130" spans="1:27" ht="13.4"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2"/>
      <c r="O130" s="3864"/>
      <c r="Z130" s="2259" t="s">
        <v>6471</v>
      </c>
      <c r="AA130" s="2263">
        <v>130</v>
      </c>
    </row>
    <row r="131" spans="1:27" ht="13.4" customHeight="1">
      <c r="A131" s="447" t="s">
        <v>3216</v>
      </c>
      <c r="B131" s="24">
        <f>IF(AND(B120=0,B121=0,B122=0,B123=0),"",-B119/(B120+B121+B122+B123))</f>
        <v>0.63415087759255317</v>
      </c>
      <c r="C131" s="24">
        <f>IF(AND(C120=0,C121=0,C122=0,C123=0),"",-C119/(C120+C121+C122+C123))</f>
        <v>0.57203837695391158</v>
      </c>
      <c r="D131" s="24">
        <f>IF(AND(D120=0,D121=0,D122=0,D123=0),"",-D119/(D120+D121+D122+D123))</f>
        <v>0.50643419570839254</v>
      </c>
      <c r="E131" s="24">
        <f>IF(AND(E120=0,E121=0,E122=0,E123=0),"",-E119/(E120+E121+E122+E123))</f>
        <v>0.43721171169385831</v>
      </c>
      <c r="F131" s="25">
        <f>IF(AND(F120=0,F121=0,F122=0,F123=0),"",-F119/(F120+F121+F122+F123))</f>
        <v>0.3642249828230979</v>
      </c>
      <c r="G131" s="17"/>
      <c r="H131" s="17"/>
      <c r="I131" s="17"/>
      <c r="J131" s="17"/>
      <c r="K131" s="17"/>
      <c r="N131" s="3862"/>
      <c r="O131" s="3864"/>
      <c r="Z131" s="2259" t="s">
        <v>6471</v>
      </c>
      <c r="AA131" s="2261">
        <v>131</v>
      </c>
    </row>
    <row r="132" spans="1:27" ht="13.4" customHeight="1">
      <c r="A132" s="21" t="s">
        <v>718</v>
      </c>
      <c r="B132" s="288">
        <f>IF(OR(B116="Choose mgt fee",B116="Choose One!"),"",(B109+B110+B111+B112+B113) / -(B115+B116+B117))</f>
        <v>1.0806007480855189</v>
      </c>
      <c r="C132" s="288">
        <f>IF(OR(C116="Choose mgt fee",C116="Choose One!"),"",(C109+C110+C111+C112+C113) / -(C115+C116+C117))</f>
        <v>1.0706224101466819</v>
      </c>
      <c r="D132" s="288">
        <f>IF(OR(D116="Choose mgt fee",D116="Choose One!"),"",(D109+D110+D111+D112+D113) / -(D115+D116+D117))</f>
        <v>1.0607308100166708</v>
      </c>
      <c r="E132" s="288">
        <f>IF(OR(E116="Choose mgt fee",E116="Choose One!"),"",(E109+E110+E111+E112+E113) / -(E115+E116+E117))</f>
        <v>1.0509266227811969</v>
      </c>
      <c r="F132" s="643">
        <f>IF(OR(F116="Choose mgt fee",F116="Choose One!"),"",(F109+F110+F111+F112+F113) / -(F115+F116+F117))</f>
        <v>1.0412086140037018</v>
      </c>
      <c r="G132" s="17"/>
      <c r="H132" s="17"/>
      <c r="I132" s="17"/>
      <c r="J132" s="17"/>
      <c r="K132" s="17"/>
      <c r="N132" s="3862"/>
      <c r="O132" s="3864"/>
      <c r="Z132" s="2259" t="s">
        <v>6471</v>
      </c>
      <c r="AA132" s="2262">
        <v>132</v>
      </c>
    </row>
    <row r="133" spans="1:27" ht="13.4" customHeight="1">
      <c r="A133" s="447" t="s">
        <v>2406</v>
      </c>
      <c r="B133" s="232">
        <f>IF('Part II-Sources of Funds'!$I$40="","",-FV('Part II-Sources of Funds'!$K$40/12,12,B120/12,K103))</f>
        <v>969262.42042777012</v>
      </c>
      <c r="C133" s="232">
        <f>IF('Part II-Sources of Funds'!$I$40="","",-FV('Part II-Sources of Funds'!$K$40/12,12,C120/12,B133))</f>
        <v>883652.88199106522</v>
      </c>
      <c r="D133" s="232">
        <f>IF('Part II-Sources of Funds'!$I$40="","",-FV('Part II-Sources of Funds'!$K$40/12,12,D120/12,C133))</f>
        <v>793214.29266255256</v>
      </c>
      <c r="E133" s="232">
        <f>IF('Part II-Sources of Funds'!$I$40="","",-FV('Part II-Sources of Funds'!$K$40/12,12,E120/12,D133))</f>
        <v>697674.2560137324</v>
      </c>
      <c r="F133" s="232">
        <f>IF('Part II-Sources of Funds'!$I$40="","",-FV('Part II-Sources of Funds'!$K$40/12,12,F120/12,E133))</f>
        <v>596745.01031639671</v>
      </c>
      <c r="G133" s="17"/>
      <c r="H133" s="17"/>
      <c r="I133" s="17"/>
      <c r="J133" s="17"/>
      <c r="K133" s="17"/>
      <c r="N133" s="3862"/>
      <c r="O133" s="3864"/>
      <c r="Z133" s="2259" t="s">
        <v>6471</v>
      </c>
      <c r="AA133" s="2263">
        <v>133</v>
      </c>
    </row>
    <row r="134" spans="1:27" ht="13.4"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2"/>
      <c r="O134" s="3864"/>
      <c r="Z134" s="2259" t="s">
        <v>6471</v>
      </c>
      <c r="AA134" s="2263">
        <v>134</v>
      </c>
    </row>
    <row r="135" spans="1:27" ht="13.4"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2"/>
      <c r="O135" s="3864"/>
      <c r="Z135" s="2259" t="s">
        <v>6471</v>
      </c>
      <c r="AA135" s="2263">
        <v>135</v>
      </c>
    </row>
    <row r="136" spans="1:27" ht="13.4"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68"/>
      <c r="O136" s="3870"/>
      <c r="Z136" s="2259" t="s">
        <v>6471</v>
      </c>
      <c r="AA136" s="2263">
        <v>136</v>
      </c>
    </row>
    <row r="137" spans="1:27" ht="4.4000000000000004" customHeight="1"/>
    <row r="138" spans="1:27" ht="12" customHeight="1">
      <c r="A138" s="13" t="s">
        <v>529</v>
      </c>
      <c r="B138" s="13"/>
      <c r="G138" s="13" t="s">
        <v>968</v>
      </c>
    </row>
    <row r="139" spans="1:27" ht="12" customHeight="1">
      <c r="B139" s="31"/>
    </row>
    <row r="140" spans="1:27" ht="409.5" customHeight="1">
      <c r="A140" s="3447" t="s">
        <v>7011</v>
      </c>
      <c r="B140" s="3975"/>
      <c r="C140" s="3975"/>
      <c r="D140" s="3975"/>
      <c r="E140" s="3975"/>
      <c r="F140" s="3976"/>
      <c r="G140" s="3977"/>
      <c r="H140" s="3978"/>
      <c r="I140" s="3978"/>
      <c r="J140" s="3978"/>
      <c r="K140" s="3979"/>
      <c r="N140" s="3484" t="s">
        <v>2453</v>
      </c>
      <c r="O140" s="3484"/>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311" zoomScaleNormal="100" workbookViewId="0">
      <selection activeCell="P312" sqref="P312"/>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28"/>
    <col min="33" max="16384" width="9.1796875" style="35"/>
  </cols>
  <sheetData>
    <row r="1" spans="1:32" ht="14.15" customHeight="1">
      <c r="A1" s="3616" t="str">
        <f>CONCATENATE("PART SEVEN - THRESHOLD CRITERIA","  -  ",'Part I-Project Identification'!$O$7," ",'Part I-Project Identification'!$F$29,", ",'Part I-Project Identification'!F30,", ",'Part I-Project Identification'!J30," County")</f>
        <v>PART SEVEN - THRESHOLD CRITERIA  -  2022-0 Villa Rica Senior, Villa Rica, Carroll County</v>
      </c>
      <c r="B1" s="3617"/>
      <c r="C1" s="3617"/>
      <c r="D1" s="3617"/>
      <c r="E1" s="3617"/>
      <c r="F1" s="3617"/>
      <c r="G1" s="3617"/>
      <c r="H1" s="3617"/>
      <c r="I1" s="3617"/>
      <c r="J1" s="3617"/>
      <c r="K1" s="3617"/>
      <c r="L1" s="3617"/>
      <c r="M1" s="3617"/>
      <c r="N1" s="3617"/>
      <c r="O1" s="3617"/>
      <c r="P1" s="3617"/>
      <c r="Q1" s="3617"/>
      <c r="R1" s="2384"/>
      <c r="S1" s="2384"/>
    </row>
    <row r="2" spans="1:32" s="27" customFormat="1" ht="3" customHeight="1">
      <c r="R2" s="2384"/>
      <c r="S2" s="2384"/>
      <c r="AE2" s="117"/>
      <c r="AF2" s="117"/>
    </row>
    <row r="3" spans="1:32" ht="13.5" customHeight="1">
      <c r="A3" s="40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1"/>
      <c r="C3" s="4071"/>
      <c r="D3" s="4071"/>
      <c r="E3" s="4071"/>
      <c r="F3" s="4071"/>
      <c r="G3" s="4071"/>
      <c r="H3" s="407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2"/>
      <c r="J3" s="4072"/>
      <c r="K3" s="4072"/>
      <c r="L3" s="4072"/>
      <c r="M3" s="4072"/>
      <c r="N3" s="4072"/>
      <c r="P3" s="4082" t="s">
        <v>876</v>
      </c>
      <c r="Q3" s="3992" t="s">
        <v>6539</v>
      </c>
      <c r="R3" s="2384"/>
      <c r="S3" s="2384"/>
    </row>
    <row r="4" spans="1:32" ht="3" customHeight="1">
      <c r="A4" s="1132"/>
      <c r="B4" s="4073"/>
      <c r="C4" s="4073"/>
      <c r="D4" s="4073"/>
      <c r="E4" s="1132"/>
      <c r="F4" s="1132"/>
      <c r="G4" s="1132"/>
      <c r="H4" s="1132"/>
      <c r="J4" s="633"/>
      <c r="K4" s="1132"/>
      <c r="L4" s="1132"/>
      <c r="M4" s="1132"/>
      <c r="N4" s="1132"/>
      <c r="P4" s="4083"/>
      <c r="Q4" s="3993"/>
      <c r="R4" s="2384"/>
      <c r="S4" s="2384"/>
    </row>
    <row r="5" spans="1:32" ht="13">
      <c r="E5" s="4081" t="str">
        <f>'Part I-Project Identification'!$A$6</f>
        <v>May 12 2022 Core Application</v>
      </c>
      <c r="F5" s="4081"/>
      <c r="G5" s="4081"/>
      <c r="H5" s="4081"/>
      <c r="I5" s="4081"/>
      <c r="J5" s="633"/>
      <c r="K5" s="2385"/>
      <c r="L5" s="2386" t="s">
        <v>6538</v>
      </c>
      <c r="M5" s="2387" t="str">
        <f>'Part I-Project Identification'!$F$12</f>
        <v>9% Credit Competitive Round only</v>
      </c>
      <c r="N5" s="2388"/>
      <c r="O5" s="2389"/>
      <c r="P5" s="4084"/>
      <c r="Q5" s="3994"/>
      <c r="R5" s="2383"/>
      <c r="S5" s="2383"/>
    </row>
    <row r="6" spans="1:32" ht="17.25" customHeight="1">
      <c r="A6" s="126" t="s">
        <v>6537</v>
      </c>
      <c r="I6" s="633"/>
      <c r="J6" s="633"/>
      <c r="K6" s="4079" t="s">
        <v>3282</v>
      </c>
      <c r="L6" s="4079"/>
      <c r="M6" s="4079"/>
      <c r="N6" s="4079"/>
      <c r="O6" s="4080"/>
      <c r="P6" s="4074"/>
      <c r="Q6" s="4075"/>
      <c r="R6" s="2381"/>
      <c r="S6" s="2381"/>
    </row>
    <row r="7" spans="1:32" ht="12.65" customHeight="1">
      <c r="A7" s="127" t="s">
        <v>3069</v>
      </c>
      <c r="C7" s="128"/>
      <c r="D7" s="128"/>
      <c r="H7" s="1274"/>
      <c r="I7" s="2382"/>
      <c r="J7" s="2382"/>
      <c r="K7" s="1274"/>
      <c r="L7" s="1274"/>
      <c r="M7" s="1132"/>
      <c r="N7" s="1132"/>
    </row>
    <row r="8" spans="1:32" ht="23.25" customHeight="1">
      <c r="A8" s="4076" t="s">
        <v>1330</v>
      </c>
      <c r="B8" s="4077"/>
      <c r="C8" s="4077"/>
      <c r="D8" s="4077"/>
      <c r="E8" s="4077"/>
      <c r="F8" s="4077"/>
      <c r="G8" s="4077"/>
      <c r="H8" s="4077"/>
      <c r="I8" s="4077"/>
      <c r="J8" s="4077"/>
      <c r="K8" s="4077"/>
      <c r="L8" s="4077"/>
      <c r="M8" s="4077"/>
      <c r="N8" s="4077"/>
      <c r="O8" s="4077"/>
      <c r="P8" s="4077"/>
      <c r="Q8" s="4078"/>
      <c r="R8" s="3298" t="s">
        <v>1884</v>
      </c>
      <c r="S8" s="3297"/>
    </row>
    <row r="9" spans="1:32" ht="23.25" customHeight="1">
      <c r="A9" s="4054" t="s">
        <v>218</v>
      </c>
      <c r="B9" s="4055"/>
      <c r="C9" s="4055"/>
      <c r="D9" s="4055"/>
      <c r="E9" s="4055"/>
      <c r="F9" s="4055"/>
      <c r="G9" s="4055"/>
      <c r="H9" s="4055"/>
      <c r="I9" s="4055"/>
      <c r="J9" s="4055"/>
      <c r="K9" s="4055"/>
      <c r="L9" s="4055"/>
      <c r="M9" s="4055"/>
      <c r="N9" s="4055"/>
      <c r="O9" s="4055"/>
      <c r="P9" s="4055"/>
      <c r="Q9" s="4056"/>
      <c r="R9" s="3298"/>
      <c r="S9" s="3297"/>
    </row>
    <row r="10" spans="1:32" ht="23.25" customHeight="1">
      <c r="A10" s="4054" t="s">
        <v>1326</v>
      </c>
      <c r="B10" s="4055"/>
      <c r="C10" s="4055"/>
      <c r="D10" s="4055"/>
      <c r="E10" s="4055"/>
      <c r="F10" s="4055"/>
      <c r="G10" s="4055"/>
      <c r="H10" s="4055"/>
      <c r="I10" s="4055"/>
      <c r="J10" s="4055"/>
      <c r="K10" s="4055"/>
      <c r="L10" s="4055"/>
      <c r="M10" s="4055"/>
      <c r="N10" s="4055"/>
      <c r="O10" s="4055"/>
      <c r="P10" s="4055"/>
      <c r="Q10" s="4056"/>
      <c r="R10" s="3298"/>
      <c r="S10" s="3297"/>
    </row>
    <row r="11" spans="1:32" ht="23.25" customHeight="1">
      <c r="A11" s="4054" t="s">
        <v>1327</v>
      </c>
      <c r="B11" s="4055"/>
      <c r="C11" s="4055"/>
      <c r="D11" s="4055"/>
      <c r="E11" s="4055"/>
      <c r="F11" s="4055"/>
      <c r="G11" s="4055"/>
      <c r="H11" s="4055"/>
      <c r="I11" s="4055"/>
      <c r="J11" s="4055"/>
      <c r="K11" s="4055"/>
      <c r="L11" s="4055"/>
      <c r="M11" s="4055"/>
      <c r="N11" s="4055"/>
      <c r="O11" s="4055"/>
      <c r="P11" s="4055"/>
      <c r="Q11" s="4056"/>
      <c r="R11" s="3298"/>
      <c r="S11" s="3297"/>
    </row>
    <row r="12" spans="1:32" ht="23.25" customHeight="1">
      <c r="A12" s="4054" t="s">
        <v>1328</v>
      </c>
      <c r="B12" s="4055"/>
      <c r="C12" s="4055"/>
      <c r="D12" s="4055"/>
      <c r="E12" s="4055"/>
      <c r="F12" s="4055"/>
      <c r="G12" s="4055"/>
      <c r="H12" s="4055"/>
      <c r="I12" s="4055"/>
      <c r="J12" s="4055"/>
      <c r="K12" s="4055"/>
      <c r="L12" s="4055"/>
      <c r="M12" s="4055"/>
      <c r="N12" s="4055"/>
      <c r="O12" s="4055"/>
      <c r="P12" s="4055"/>
      <c r="Q12" s="4056"/>
      <c r="R12" s="1129"/>
      <c r="S12" s="1129"/>
    </row>
    <row r="13" spans="1:32" ht="23.25" customHeight="1">
      <c r="A13" s="4054" t="s">
        <v>1329</v>
      </c>
      <c r="B13" s="4055"/>
      <c r="C13" s="4055"/>
      <c r="D13" s="4055"/>
      <c r="E13" s="4055"/>
      <c r="F13" s="4055"/>
      <c r="G13" s="4055"/>
      <c r="H13" s="4055"/>
      <c r="I13" s="4055"/>
      <c r="J13" s="4055"/>
      <c r="K13" s="4055"/>
      <c r="L13" s="4055"/>
      <c r="M13" s="4055"/>
      <c r="N13" s="4055"/>
      <c r="O13" s="4055"/>
      <c r="P13" s="4055"/>
      <c r="Q13" s="4056"/>
      <c r="R13" s="1129"/>
      <c r="S13" s="1129"/>
    </row>
    <row r="14" spans="1:32" ht="23.25" customHeight="1">
      <c r="A14" s="4054" t="s">
        <v>1331</v>
      </c>
      <c r="B14" s="4055"/>
      <c r="C14" s="4055"/>
      <c r="D14" s="4055"/>
      <c r="E14" s="4055"/>
      <c r="F14" s="4055"/>
      <c r="G14" s="4055"/>
      <c r="H14" s="4055"/>
      <c r="I14" s="4055"/>
      <c r="J14" s="4055"/>
      <c r="K14" s="4055"/>
      <c r="L14" s="4055"/>
      <c r="M14" s="4055"/>
      <c r="N14" s="4055"/>
      <c r="O14" s="4055"/>
      <c r="P14" s="4055"/>
      <c r="Q14" s="4056"/>
    </row>
    <row r="15" spans="1:32" ht="11.25" customHeight="1">
      <c r="A15" s="4054" t="s">
        <v>1873</v>
      </c>
      <c r="B15" s="4055"/>
      <c r="C15" s="4055"/>
      <c r="D15" s="4055"/>
      <c r="E15" s="4055"/>
      <c r="F15" s="4055"/>
      <c r="G15" s="4055"/>
      <c r="H15" s="4055"/>
      <c r="I15" s="4055"/>
      <c r="J15" s="4055"/>
      <c r="K15" s="4055"/>
      <c r="L15" s="4055"/>
      <c r="M15" s="4055"/>
      <c r="N15" s="4055"/>
      <c r="O15" s="4055"/>
      <c r="P15" s="4055"/>
      <c r="Q15" s="4056"/>
      <c r="R15" s="3298"/>
      <c r="S15" s="3299"/>
    </row>
    <row r="16" spans="1:32" ht="11.25" customHeight="1">
      <c r="A16" s="4054" t="s">
        <v>1874</v>
      </c>
      <c r="B16" s="4055"/>
      <c r="C16" s="4055"/>
      <c r="D16" s="4055"/>
      <c r="E16" s="4055"/>
      <c r="F16" s="4055"/>
      <c r="G16" s="4055"/>
      <c r="H16" s="4055"/>
      <c r="I16" s="4055"/>
      <c r="J16" s="4055"/>
      <c r="K16" s="4055"/>
      <c r="L16" s="4055"/>
      <c r="M16" s="4055"/>
      <c r="N16" s="4055"/>
      <c r="O16" s="4055"/>
      <c r="P16" s="4055"/>
      <c r="Q16" s="4056"/>
      <c r="R16" s="3298"/>
      <c r="S16" s="3299"/>
    </row>
    <row r="17" spans="1:31" ht="11.25" customHeight="1">
      <c r="A17" s="4054" t="s">
        <v>1875</v>
      </c>
      <c r="B17" s="4055"/>
      <c r="C17" s="4055"/>
      <c r="D17" s="4055"/>
      <c r="E17" s="4055"/>
      <c r="F17" s="4055"/>
      <c r="G17" s="4055"/>
      <c r="H17" s="4055"/>
      <c r="I17" s="4055"/>
      <c r="J17" s="4055"/>
      <c r="K17" s="4055"/>
      <c r="L17" s="4055"/>
      <c r="M17" s="4055"/>
      <c r="N17" s="4055"/>
      <c r="O17" s="4055"/>
      <c r="P17" s="4055"/>
      <c r="Q17" s="4056"/>
      <c r="R17" s="3298"/>
      <c r="S17" s="3299"/>
    </row>
    <row r="18" spans="1:31" ht="11.25" customHeight="1">
      <c r="A18" s="4054" t="s">
        <v>1876</v>
      </c>
      <c r="B18" s="4055"/>
      <c r="C18" s="4055"/>
      <c r="D18" s="4055"/>
      <c r="E18" s="4055"/>
      <c r="F18" s="4055"/>
      <c r="G18" s="4055"/>
      <c r="H18" s="4055"/>
      <c r="I18" s="4055"/>
      <c r="J18" s="4055"/>
      <c r="K18" s="4055"/>
      <c r="L18" s="4055"/>
      <c r="M18" s="4055"/>
      <c r="N18" s="4055"/>
      <c r="O18" s="4055"/>
      <c r="P18" s="4055"/>
      <c r="Q18" s="4056"/>
      <c r="R18" s="3298"/>
      <c r="S18" s="3299"/>
    </row>
    <row r="19" spans="1:31" ht="11.25" customHeight="1">
      <c r="A19" s="4054" t="s">
        <v>1877</v>
      </c>
      <c r="B19" s="4055"/>
      <c r="C19" s="4055"/>
      <c r="D19" s="4055"/>
      <c r="E19" s="4055"/>
      <c r="F19" s="4055"/>
      <c r="G19" s="4055"/>
      <c r="H19" s="4055"/>
      <c r="I19" s="4055"/>
      <c r="J19" s="4055"/>
      <c r="K19" s="4055"/>
      <c r="L19" s="4055"/>
      <c r="M19" s="4055"/>
      <c r="N19" s="4055"/>
      <c r="O19" s="4055"/>
      <c r="P19" s="4055"/>
      <c r="Q19" s="4056"/>
      <c r="R19" s="3298"/>
      <c r="S19" s="3299"/>
    </row>
    <row r="20" spans="1:31" ht="11.25" customHeight="1">
      <c r="A20" s="4054" t="s">
        <v>1878</v>
      </c>
      <c r="B20" s="4055"/>
      <c r="C20" s="4055"/>
      <c r="D20" s="4055"/>
      <c r="E20" s="4055"/>
      <c r="F20" s="4055"/>
      <c r="G20" s="4055"/>
      <c r="H20" s="4055"/>
      <c r="I20" s="4055"/>
      <c r="J20" s="4055"/>
      <c r="K20" s="4055"/>
      <c r="L20" s="4055"/>
      <c r="M20" s="4055"/>
      <c r="N20" s="4055"/>
      <c r="O20" s="4055"/>
      <c r="P20" s="4055"/>
      <c r="Q20" s="4056"/>
      <c r="R20" s="3298"/>
      <c r="S20" s="3299"/>
    </row>
    <row r="21" spans="1:31" ht="11.25" customHeight="1">
      <c r="A21" s="4054" t="s">
        <v>1879</v>
      </c>
      <c r="B21" s="4055"/>
      <c r="C21" s="4055"/>
      <c r="D21" s="4055"/>
      <c r="E21" s="4055"/>
      <c r="F21" s="4055"/>
      <c r="G21" s="4055"/>
      <c r="H21" s="4055"/>
      <c r="I21" s="4055"/>
      <c r="J21" s="4055"/>
      <c r="K21" s="4055"/>
      <c r="L21" s="4055"/>
      <c r="M21" s="4055"/>
      <c r="N21" s="4055"/>
      <c r="O21" s="4055"/>
      <c r="P21" s="4055"/>
      <c r="Q21" s="4056"/>
    </row>
    <row r="22" spans="1:31" ht="11.25" customHeight="1">
      <c r="A22" s="4054" t="s">
        <v>1880</v>
      </c>
      <c r="B22" s="4055"/>
      <c r="C22" s="4055"/>
      <c r="D22" s="4055"/>
      <c r="E22" s="4055"/>
      <c r="F22" s="4055"/>
      <c r="G22" s="4055"/>
      <c r="H22" s="4055"/>
      <c r="I22" s="4055"/>
      <c r="J22" s="4055"/>
      <c r="K22" s="4055"/>
      <c r="L22" s="4055"/>
      <c r="M22" s="4055"/>
      <c r="N22" s="4055"/>
      <c r="O22" s="4055"/>
      <c r="P22" s="4055"/>
      <c r="Q22" s="4056"/>
      <c r="R22" s="3298"/>
      <c r="S22" s="3299"/>
    </row>
    <row r="23" spans="1:31" ht="11.25" customHeight="1">
      <c r="A23" s="4054" t="s">
        <v>1881</v>
      </c>
      <c r="B23" s="4055"/>
      <c r="C23" s="4055"/>
      <c r="D23" s="4055"/>
      <c r="E23" s="4055"/>
      <c r="F23" s="4055"/>
      <c r="G23" s="4055"/>
      <c r="H23" s="4055"/>
      <c r="I23" s="4055"/>
      <c r="J23" s="4055"/>
      <c r="K23" s="4055"/>
      <c r="L23" s="4055"/>
      <c r="M23" s="4055"/>
      <c r="N23" s="4055"/>
      <c r="O23" s="4055"/>
      <c r="P23" s="4055"/>
      <c r="Q23" s="4056"/>
      <c r="R23" s="3298"/>
      <c r="S23" s="3299"/>
    </row>
    <row r="24" spans="1:31" ht="11.25" customHeight="1">
      <c r="A24" s="4054" t="s">
        <v>1882</v>
      </c>
      <c r="B24" s="4055"/>
      <c r="C24" s="4055"/>
      <c r="D24" s="4055"/>
      <c r="E24" s="4055"/>
      <c r="F24" s="4055"/>
      <c r="G24" s="4055"/>
      <c r="H24" s="4055"/>
      <c r="I24" s="4055"/>
      <c r="J24" s="4055"/>
      <c r="K24" s="4055"/>
      <c r="L24" s="4055"/>
      <c r="M24" s="4055"/>
      <c r="N24" s="4055"/>
      <c r="O24" s="4055"/>
      <c r="P24" s="4055"/>
      <c r="Q24" s="4056"/>
      <c r="R24" s="3298"/>
      <c r="S24" s="3299"/>
    </row>
    <row r="25" spans="1:31" ht="11.25" customHeight="1">
      <c r="A25" s="4085" t="s">
        <v>1883</v>
      </c>
      <c r="B25" s="4086"/>
      <c r="C25" s="4086"/>
      <c r="D25" s="4086"/>
      <c r="E25" s="4086"/>
      <c r="F25" s="4086"/>
      <c r="G25" s="4086"/>
      <c r="H25" s="4086"/>
      <c r="I25" s="4086"/>
      <c r="J25" s="4086"/>
      <c r="K25" s="4086"/>
      <c r="L25" s="4086"/>
      <c r="M25" s="4086"/>
      <c r="N25" s="4086"/>
      <c r="O25" s="4086"/>
      <c r="P25" s="4086"/>
      <c r="Q25" s="4087"/>
      <c r="R25" s="3298"/>
      <c r="S25" s="3299"/>
    </row>
    <row r="26" spans="1:31" ht="6" customHeight="1"/>
    <row r="27" spans="1:31" ht="14.15" customHeight="1">
      <c r="A27" s="129" t="s">
        <v>689</v>
      </c>
      <c r="B27" s="130" t="s">
        <v>6641</v>
      </c>
      <c r="C27" s="131"/>
      <c r="D27" s="87"/>
      <c r="E27" s="87"/>
      <c r="F27" s="87"/>
      <c r="G27" s="87"/>
      <c r="I27" s="1139"/>
      <c r="J27" s="1139"/>
      <c r="K27" s="1139"/>
      <c r="L27" s="1132"/>
      <c r="M27" s="1132"/>
      <c r="O27" s="132" t="s">
        <v>1731</v>
      </c>
      <c r="P27" s="4016"/>
      <c r="Q27" s="4005"/>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3995" t="s">
        <v>6933</v>
      </c>
      <c r="B30" s="3996"/>
      <c r="C30" s="3996"/>
      <c r="D30" s="3996"/>
      <c r="E30" s="3996"/>
      <c r="F30" s="3996"/>
      <c r="G30" s="3996"/>
      <c r="H30" s="3996"/>
      <c r="I30" s="3996"/>
      <c r="J30" s="3996"/>
      <c r="K30" s="3996"/>
      <c r="L30" s="3996"/>
      <c r="M30" s="3996"/>
      <c r="N30" s="3996"/>
      <c r="O30" s="3996"/>
      <c r="P30" s="3996"/>
      <c r="Q30" s="3997"/>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097"/>
      <c r="B32" s="4097"/>
      <c r="C32" s="4097"/>
      <c r="D32" s="4097"/>
      <c r="E32" s="4097"/>
      <c r="F32" s="4097"/>
      <c r="G32" s="4097"/>
      <c r="H32" s="4097"/>
      <c r="I32" s="4097"/>
      <c r="J32" s="4097"/>
      <c r="K32" s="4097"/>
      <c r="L32" s="4097"/>
      <c r="M32" s="4097"/>
      <c r="N32" s="4097"/>
      <c r="O32" s="4097"/>
      <c r="P32" s="4097"/>
      <c r="Q32" s="4097"/>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16"/>
      <c r="Q34" s="4005"/>
    </row>
    <row r="35" spans="1:31" ht="12.75" customHeight="1">
      <c r="A35" s="2044"/>
      <c r="B35" s="140" t="s">
        <v>6649</v>
      </c>
      <c r="C35" s="4"/>
      <c r="D35" s="4"/>
      <c r="E35" s="2046"/>
      <c r="F35" s="2046"/>
      <c r="H35" s="1133"/>
      <c r="J35" s="3361" t="s">
        <v>6980</v>
      </c>
      <c r="K35" s="3362"/>
      <c r="L35" s="3363"/>
      <c r="M35" s="509" t="s">
        <v>1648</v>
      </c>
      <c r="N35" s="4172"/>
      <c r="O35" s="4173"/>
      <c r="P35" s="4173"/>
      <c r="Q35" s="4174"/>
    </row>
    <row r="36" spans="1:31" ht="12.75" customHeight="1">
      <c r="A36" s="2197"/>
      <c r="B36" s="140" t="s">
        <v>6648</v>
      </c>
      <c r="C36" s="4"/>
      <c r="D36" s="4"/>
      <c r="E36" s="2198"/>
      <c r="F36" s="2198"/>
      <c r="G36" s="2195"/>
      <c r="H36" s="2046"/>
      <c r="J36" s="3361" t="s">
        <v>907</v>
      </c>
      <c r="K36" s="3362"/>
      <c r="L36" s="3363"/>
      <c r="M36" s="509" t="s">
        <v>1648</v>
      </c>
      <c r="N36" s="4172"/>
      <c r="O36" s="4173"/>
      <c r="P36" s="4173"/>
      <c r="Q36" s="4174"/>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3995" t="s">
        <v>6981</v>
      </c>
      <c r="B38" s="3996"/>
      <c r="C38" s="3996"/>
      <c r="D38" s="3996"/>
      <c r="E38" s="3996"/>
      <c r="F38" s="3996"/>
      <c r="G38" s="3996"/>
      <c r="H38" s="3996"/>
      <c r="I38" s="3996"/>
      <c r="J38" s="3997"/>
      <c r="K38" s="3999"/>
      <c r="L38" s="4000"/>
      <c r="M38" s="4000"/>
      <c r="N38" s="4000"/>
      <c r="O38" s="4000"/>
      <c r="P38" s="4000"/>
      <c r="Q38" s="4001"/>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16"/>
      <c r="Q40" s="4005"/>
    </row>
    <row r="41" spans="1:31" ht="1.5" customHeight="1"/>
    <row r="42" spans="1:31" ht="12" customHeight="1">
      <c r="A42" s="142" t="s">
        <v>1842</v>
      </c>
      <c r="B42" s="4089" t="s">
        <v>3788</v>
      </c>
      <c r="C42" s="4089"/>
      <c r="D42" s="4089"/>
      <c r="E42" s="4089"/>
      <c r="F42" s="4089"/>
      <c r="G42" s="4089"/>
      <c r="H42" s="4089"/>
      <c r="I42" s="4089"/>
      <c r="J42" s="4089"/>
      <c r="K42" s="148"/>
      <c r="L42" s="459" t="s">
        <v>2582</v>
      </c>
      <c r="M42" s="1522">
        <v>2</v>
      </c>
      <c r="N42" s="416" t="s">
        <v>4025</v>
      </c>
      <c r="P42" s="4038" t="s">
        <v>6930</v>
      </c>
      <c r="Q42" s="4050"/>
    </row>
    <row r="43" spans="1:31" ht="12" customHeight="1">
      <c r="A43" s="142"/>
      <c r="B43" s="4089"/>
      <c r="C43" s="4089"/>
      <c r="D43" s="4089"/>
      <c r="E43" s="4089"/>
      <c r="F43" s="4089"/>
      <c r="G43" s="4089"/>
      <c r="H43" s="4089"/>
      <c r="I43" s="4089"/>
      <c r="J43" s="4089"/>
      <c r="K43" s="148"/>
      <c r="L43" s="459" t="s">
        <v>3792</v>
      </c>
      <c r="M43" s="1523">
        <v>4</v>
      </c>
      <c r="O43" s="143"/>
      <c r="P43" s="4039"/>
      <c r="Q43" s="4051"/>
    </row>
    <row r="44" spans="1:31" ht="12" customHeight="1">
      <c r="A44" s="142"/>
      <c r="D44" s="1985"/>
      <c r="E44" s="1985"/>
      <c r="F44" s="1985"/>
      <c r="G44" s="1985"/>
      <c r="H44" s="1985"/>
      <c r="I44" s="1985"/>
      <c r="J44" s="1985"/>
      <c r="K44" s="148"/>
      <c r="L44" s="491" t="s">
        <v>6168</v>
      </c>
      <c r="M44" s="1523"/>
      <c r="O44" s="143"/>
      <c r="P44" s="1997">
        <v>4</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6930</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6930</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6930</v>
      </c>
      <c r="Q48" s="550"/>
    </row>
    <row r="49" spans="1:31" ht="12.75" customHeight="1">
      <c r="A49" s="144"/>
      <c r="B49" s="491" t="s">
        <v>2183</v>
      </c>
      <c r="C49" s="491" t="s">
        <v>3800</v>
      </c>
      <c r="D49" s="134"/>
      <c r="E49" s="134"/>
      <c r="F49" s="134"/>
      <c r="G49" s="134"/>
      <c r="H49" s="134"/>
      <c r="I49" s="42"/>
      <c r="J49" s="42"/>
      <c r="N49" s="416" t="s">
        <v>4029</v>
      </c>
      <c r="O49" s="918"/>
      <c r="P49" s="231" t="s">
        <v>6931</v>
      </c>
      <c r="Q49" s="551"/>
    </row>
    <row r="50" spans="1:31" ht="12.75" customHeight="1">
      <c r="A50" s="144"/>
      <c r="B50" s="491"/>
      <c r="C50" s="416" t="s">
        <v>3801</v>
      </c>
      <c r="D50" s="134"/>
      <c r="E50" s="134"/>
      <c r="F50" s="134"/>
      <c r="G50" s="134"/>
      <c r="H50" s="134"/>
      <c r="I50" s="42"/>
      <c r="J50" s="42"/>
      <c r="L50" s="4061"/>
      <c r="M50" s="4062"/>
      <c r="N50" s="4062"/>
      <c r="O50" s="4062"/>
      <c r="P50" s="4062"/>
      <c r="Q50" s="4063"/>
    </row>
    <row r="51" spans="1:31" ht="12.75" customHeight="1">
      <c r="A51" s="144"/>
      <c r="B51" s="491" t="s">
        <v>1449</v>
      </c>
      <c r="C51" s="4089" t="s">
        <v>3798</v>
      </c>
      <c r="D51" s="4089"/>
      <c r="E51" s="4089"/>
      <c r="F51" s="4089"/>
      <c r="G51" s="4089"/>
      <c r="H51" s="4089"/>
      <c r="I51" s="4089"/>
      <c r="J51" s="4089"/>
      <c r="K51" s="4089"/>
      <c r="L51" s="4089"/>
      <c r="M51" s="543"/>
      <c r="N51" s="416" t="s">
        <v>4030</v>
      </c>
      <c r="O51" s="918"/>
      <c r="P51" s="492" t="s">
        <v>6930</v>
      </c>
      <c r="Q51" s="548"/>
    </row>
    <row r="52" spans="1:31" ht="12.75" customHeight="1">
      <c r="A52" s="47"/>
      <c r="C52" s="4089"/>
      <c r="D52" s="4089"/>
      <c r="E52" s="4089"/>
      <c r="F52" s="4089"/>
      <c r="G52" s="4089"/>
      <c r="H52" s="4089"/>
      <c r="I52" s="4089"/>
      <c r="J52" s="4089"/>
      <c r="K52" s="4089"/>
      <c r="L52" s="4089"/>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115.5" customHeight="1">
      <c r="A54" s="3995" t="s">
        <v>6932</v>
      </c>
      <c r="B54" s="3996"/>
      <c r="C54" s="3996"/>
      <c r="D54" s="3996"/>
      <c r="E54" s="3996"/>
      <c r="F54" s="3996"/>
      <c r="G54" s="3996"/>
      <c r="H54" s="3996"/>
      <c r="I54" s="3996"/>
      <c r="J54" s="3997"/>
      <c r="K54" s="3999"/>
      <c r="L54" s="4000"/>
      <c r="M54" s="4000"/>
      <c r="N54" s="4000"/>
      <c r="O54" s="4000"/>
      <c r="P54" s="4000"/>
      <c r="Q54" s="4001"/>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5" customHeight="1">
      <c r="A56" s="1138" t="s">
        <v>1669</v>
      </c>
      <c r="B56" s="1138" t="s">
        <v>4023</v>
      </c>
      <c r="C56" s="1138"/>
      <c r="D56" s="1133"/>
      <c r="E56" s="1133"/>
      <c r="F56" s="1133"/>
      <c r="G56" s="1133"/>
      <c r="H56" s="1690" t="str">
        <f>'Part I-Project Identification'!$K$32</f>
        <v>Rural</v>
      </c>
      <c r="J56" s="2390" t="s">
        <v>6642</v>
      </c>
      <c r="K56" s="967" t="str">
        <f>'Part VIII Scoring Criteria'!$M$59</f>
        <v>Rural</v>
      </c>
      <c r="L56" s="2391" t="s">
        <v>3825</v>
      </c>
      <c r="M56" s="2115" t="str">
        <f>J35</f>
        <v>HFOP</v>
      </c>
      <c r="O56" s="132" t="s">
        <v>1731</v>
      </c>
      <c r="P56" s="4016"/>
      <c r="Q56" s="4005"/>
    </row>
    <row r="57" spans="1:31" ht="3" customHeight="1"/>
    <row r="58" spans="1:31" ht="12.75" customHeight="1">
      <c r="A58" s="47" t="s">
        <v>1842</v>
      </c>
      <c r="B58" s="39" t="s">
        <v>2265</v>
      </c>
      <c r="D58" s="134"/>
      <c r="E58" s="134"/>
      <c r="F58" s="134"/>
      <c r="G58" s="134"/>
      <c r="H58" s="134"/>
      <c r="I58" s="42"/>
      <c r="J58" s="42"/>
      <c r="K58" s="42"/>
      <c r="L58" s="478" t="s">
        <v>1842</v>
      </c>
      <c r="M58" s="4094" t="s">
        <v>6951</v>
      </c>
      <c r="N58" s="4095"/>
      <c r="O58" s="4095"/>
      <c r="P58" s="4096"/>
      <c r="Q58" s="549"/>
    </row>
    <row r="59" spans="1:31" ht="12.75" customHeight="1">
      <c r="A59" s="47" t="s">
        <v>1844</v>
      </c>
      <c r="B59" s="52" t="s">
        <v>3950</v>
      </c>
      <c r="D59" s="134"/>
      <c r="E59" s="134"/>
      <c r="F59" s="134"/>
      <c r="L59" s="478" t="s">
        <v>1844</v>
      </c>
      <c r="M59" s="4035" t="s">
        <v>6952</v>
      </c>
      <c r="N59" s="4036"/>
      <c r="O59" s="4036"/>
      <c r="P59" s="3592"/>
      <c r="Q59" s="550"/>
    </row>
    <row r="60" spans="1:31" ht="12.75" customHeight="1">
      <c r="A60" s="47" t="s">
        <v>698</v>
      </c>
      <c r="B60" s="52" t="s">
        <v>2559</v>
      </c>
      <c r="D60" s="134"/>
      <c r="E60" s="134"/>
      <c r="F60" s="134"/>
      <c r="L60" s="478" t="s">
        <v>698</v>
      </c>
      <c r="M60" s="4031">
        <v>0.96</v>
      </c>
      <c r="N60" s="4032"/>
      <c r="O60" s="4032"/>
      <c r="P60" s="4033"/>
      <c r="Q60" s="550"/>
    </row>
    <row r="61" spans="1:31" ht="12.75" customHeight="1">
      <c r="A61" s="47" t="s">
        <v>1963</v>
      </c>
      <c r="B61" s="52" t="s">
        <v>3306</v>
      </c>
      <c r="D61" s="134"/>
      <c r="E61" s="134"/>
      <c r="F61" s="134"/>
      <c r="J61" s="478" t="s">
        <v>3307</v>
      </c>
      <c r="K61" s="1957">
        <v>0.254</v>
      </c>
      <c r="L61" s="1954"/>
      <c r="M61" s="1956"/>
      <c r="N61" s="1955"/>
      <c r="O61" s="1115" t="s">
        <v>3392</v>
      </c>
      <c r="P61" s="1116">
        <v>1.4999999999999999E-2</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6969</v>
      </c>
      <c r="E64" s="4037" t="s">
        <v>6970</v>
      </c>
      <c r="F64" s="4037"/>
      <c r="G64" s="4037"/>
      <c r="H64" s="478" t="s">
        <v>2183</v>
      </c>
      <c r="I64" s="505" t="s">
        <v>6975</v>
      </c>
      <c r="J64" s="4037" t="s">
        <v>6976</v>
      </c>
      <c r="K64" s="4037"/>
      <c r="L64" s="4037"/>
      <c r="M64" s="64" t="s">
        <v>93</v>
      </c>
      <c r="N64" s="505"/>
      <c r="O64" s="4037"/>
      <c r="P64" s="4037"/>
      <c r="Q64" s="4037"/>
    </row>
    <row r="65" spans="1:32" ht="12.75" customHeight="1">
      <c r="C65" s="65" t="s">
        <v>1616</v>
      </c>
      <c r="D65" s="2330" t="s">
        <v>6971</v>
      </c>
      <c r="E65" s="4149" t="s">
        <v>6972</v>
      </c>
      <c r="F65" s="4149"/>
      <c r="G65" s="4149"/>
      <c r="H65" s="64" t="s">
        <v>1449</v>
      </c>
      <c r="I65" s="2330" t="s">
        <v>6982</v>
      </c>
      <c r="J65" s="4149" t="s">
        <v>6983</v>
      </c>
      <c r="K65" s="4149"/>
      <c r="L65" s="4149"/>
      <c r="M65" s="64" t="s">
        <v>481</v>
      </c>
      <c r="N65" s="2330"/>
      <c r="O65" s="4149"/>
      <c r="P65" s="4149"/>
      <c r="Q65" s="4149"/>
    </row>
    <row r="66" spans="1:32" ht="12.75" customHeight="1">
      <c r="C66" s="65" t="s">
        <v>1617</v>
      </c>
      <c r="D66" s="506" t="s">
        <v>6973</v>
      </c>
      <c r="E66" s="4088" t="s">
        <v>6974</v>
      </c>
      <c r="F66" s="4088"/>
      <c r="G66" s="4088"/>
      <c r="H66" s="64" t="s">
        <v>1450</v>
      </c>
      <c r="I66" s="506" t="s">
        <v>6984</v>
      </c>
      <c r="J66" s="4088" t="s">
        <v>6985</v>
      </c>
      <c r="K66" s="4088"/>
      <c r="L66" s="4088"/>
      <c r="M66" s="64" t="s">
        <v>482</v>
      </c>
      <c r="N66" s="506"/>
      <c r="O66" s="4088"/>
      <c r="P66" s="4088"/>
      <c r="Q66" s="4088"/>
    </row>
    <row r="67" spans="1:32" ht="12.75" customHeight="1">
      <c r="A67" s="47" t="s">
        <v>1614</v>
      </c>
      <c r="B67" s="52" t="s">
        <v>6111</v>
      </c>
      <c r="D67" s="134"/>
      <c r="E67" s="134"/>
      <c r="F67" s="134"/>
      <c r="G67" s="134"/>
      <c r="H67" s="134"/>
      <c r="I67" s="42"/>
      <c r="J67" s="42"/>
      <c r="K67" s="134"/>
      <c r="L67" s="1135"/>
      <c r="M67" s="1135"/>
      <c r="O67" s="478" t="s">
        <v>1614</v>
      </c>
      <c r="P67" s="1622" t="s">
        <v>2651</v>
      </c>
      <c r="Q67" s="1623"/>
    </row>
    <row r="68" spans="1:32" ht="12.75" customHeight="1">
      <c r="A68" s="47" t="s">
        <v>1808</v>
      </c>
      <c r="B68" s="52" t="s">
        <v>6112</v>
      </c>
      <c r="D68" s="134"/>
      <c r="E68" s="134"/>
      <c r="F68" s="134"/>
      <c r="G68" s="134"/>
      <c r="H68" s="134"/>
      <c r="I68" s="42"/>
      <c r="J68" s="42"/>
      <c r="K68" s="134"/>
      <c r="L68" s="1935"/>
      <c r="M68" s="1935"/>
      <c r="O68" s="478" t="s">
        <v>1808</v>
      </c>
      <c r="P68" s="389" t="s">
        <v>2651</v>
      </c>
      <c r="Q68" s="550"/>
    </row>
    <row r="69" spans="1:32" ht="10.5" customHeight="1">
      <c r="A69" s="47" t="s">
        <v>3006</v>
      </c>
      <c r="B69" s="52" t="s">
        <v>6113</v>
      </c>
      <c r="D69" s="134"/>
      <c r="E69" s="134"/>
      <c r="F69" s="134"/>
      <c r="G69" s="134"/>
      <c r="H69" s="134"/>
      <c r="I69" s="42"/>
      <c r="J69" s="42"/>
      <c r="K69" s="134"/>
      <c r="L69" s="1935"/>
      <c r="M69" s="1935"/>
      <c r="O69" s="478" t="s">
        <v>3006</v>
      </c>
      <c r="P69" s="1116">
        <v>0.93</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73.5" customHeight="1">
      <c r="A71" s="3995" t="s">
        <v>7013</v>
      </c>
      <c r="B71" s="3996"/>
      <c r="C71" s="3996"/>
      <c r="D71" s="3996"/>
      <c r="E71" s="3996"/>
      <c r="F71" s="3996"/>
      <c r="G71" s="3996"/>
      <c r="H71" s="3996"/>
      <c r="I71" s="3996"/>
      <c r="J71" s="3996"/>
      <c r="K71" s="3996"/>
      <c r="L71" s="3996"/>
      <c r="M71" s="3996"/>
      <c r="N71" s="3996"/>
      <c r="O71" s="3996"/>
      <c r="P71" s="3996"/>
      <c r="Q71" s="3997"/>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3999"/>
      <c r="B73" s="4000"/>
      <c r="C73" s="4000"/>
      <c r="D73" s="4000"/>
      <c r="E73" s="4000"/>
      <c r="F73" s="4000"/>
      <c r="G73" s="4000"/>
      <c r="H73" s="4000"/>
      <c r="I73" s="4000"/>
      <c r="J73" s="4000"/>
      <c r="K73" s="4000"/>
      <c r="L73" s="4000"/>
      <c r="M73" s="4000"/>
      <c r="N73" s="4000"/>
      <c r="O73" s="4000"/>
      <c r="P73" s="4000"/>
      <c r="Q73" s="4001"/>
    </row>
    <row r="74" spans="1:32" ht="14.15" customHeight="1">
      <c r="A74" s="1138" t="s">
        <v>496</v>
      </c>
      <c r="B74" s="1138" t="s">
        <v>2424</v>
      </c>
      <c r="C74" s="1138"/>
      <c r="D74" s="1133"/>
      <c r="E74" s="1133"/>
      <c r="F74" s="1133"/>
      <c r="G74" s="1133"/>
      <c r="H74" s="1133"/>
      <c r="I74" s="1133"/>
      <c r="J74" s="1133"/>
      <c r="K74" s="1133"/>
      <c r="L74" s="1133"/>
      <c r="M74" s="1133"/>
      <c r="O74" s="132" t="s">
        <v>1731</v>
      </c>
      <c r="P74" s="4016"/>
      <c r="Q74" s="4005"/>
    </row>
    <row r="75" spans="1:32" ht="3" customHeight="1"/>
    <row r="76" spans="1:32" ht="12.75" customHeight="1">
      <c r="A76" s="47" t="s">
        <v>1842</v>
      </c>
      <c r="B76" s="52" t="s">
        <v>4031</v>
      </c>
      <c r="C76" s="52"/>
      <c r="E76" s="52"/>
      <c r="F76" s="52"/>
      <c r="G76" s="52"/>
      <c r="H76" s="52"/>
      <c r="I76" s="52"/>
      <c r="J76" s="52"/>
      <c r="K76" s="52"/>
      <c r="L76" s="878"/>
      <c r="M76" s="878"/>
      <c r="O76" s="478" t="s">
        <v>1842</v>
      </c>
      <c r="P76" s="492" t="s">
        <v>2651</v>
      </c>
      <c r="Q76" s="1623"/>
    </row>
    <row r="77" spans="1:32" ht="12.75" customHeight="1">
      <c r="B77" s="1546" t="s">
        <v>1615</v>
      </c>
      <c r="C77" s="39" t="s">
        <v>515</v>
      </c>
      <c r="E77" s="42"/>
      <c r="F77" s="42"/>
      <c r="G77" s="42"/>
      <c r="H77" s="42"/>
      <c r="I77" s="42"/>
      <c r="L77" s="65" t="s">
        <v>516</v>
      </c>
      <c r="M77" s="4061" t="s">
        <v>6953</v>
      </c>
      <c r="N77" s="4062"/>
      <c r="O77" s="4062"/>
      <c r="P77" s="4158"/>
      <c r="Q77" s="550"/>
    </row>
    <row r="78" spans="1:32" s="42" customFormat="1" ht="12.75" customHeight="1">
      <c r="B78" s="146" t="s">
        <v>1616</v>
      </c>
      <c r="C78" s="36" t="s">
        <v>3840</v>
      </c>
      <c r="O78" s="65" t="s">
        <v>1616</v>
      </c>
      <c r="P78" s="1622" t="s">
        <v>2651</v>
      </c>
      <c r="Q78" s="1623"/>
      <c r="AE78" s="50"/>
      <c r="AF78" s="50"/>
    </row>
    <row r="79" spans="1:32" s="42" customFormat="1" ht="12.75" customHeight="1">
      <c r="B79" s="1546" t="s">
        <v>1617</v>
      </c>
      <c r="C79" s="36" t="s">
        <v>4058</v>
      </c>
      <c r="O79" s="150" t="s">
        <v>1617</v>
      </c>
      <c r="P79" s="1776" t="s">
        <v>6954</v>
      </c>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t="s">
        <v>2651</v>
      </c>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t="s">
        <v>2651</v>
      </c>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t="s">
        <v>2651</v>
      </c>
      <c r="Q82" s="550"/>
    </row>
    <row r="83" spans="1:32" ht="12.75" customHeight="1">
      <c r="A83" s="1139"/>
      <c r="B83" s="491" t="s">
        <v>93</v>
      </c>
      <c r="C83" s="878" t="s">
        <v>2560</v>
      </c>
      <c r="D83" s="878"/>
      <c r="E83" s="878"/>
      <c r="F83" s="878"/>
      <c r="G83" s="878"/>
      <c r="H83" s="878"/>
      <c r="I83" s="878"/>
      <c r="J83" s="878"/>
      <c r="K83" s="878"/>
      <c r="L83" s="878"/>
      <c r="M83" s="1177"/>
      <c r="O83" s="163" t="s">
        <v>93</v>
      </c>
      <c r="P83" s="389" t="s">
        <v>2651</v>
      </c>
      <c r="Q83" s="550"/>
    </row>
    <row r="84" spans="1:32" s="133" customFormat="1" ht="23.25" customHeight="1">
      <c r="A84" s="459"/>
      <c r="B84" s="491" t="s">
        <v>481</v>
      </c>
      <c r="C84" s="3998" t="s">
        <v>3953</v>
      </c>
      <c r="D84" s="3998"/>
      <c r="E84" s="3998"/>
      <c r="F84" s="3998"/>
      <c r="G84" s="3998"/>
      <c r="H84" s="3998"/>
      <c r="I84" s="3998"/>
      <c r="J84" s="3998"/>
      <c r="K84" s="3998"/>
      <c r="L84" s="3998"/>
      <c r="M84" s="3998"/>
      <c r="N84" s="3998"/>
      <c r="O84" s="163" t="s">
        <v>481</v>
      </c>
      <c r="P84" s="1770" t="s">
        <v>907</v>
      </c>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2654</v>
      </c>
      <c r="Q85" s="1623"/>
    </row>
    <row r="86" spans="1:32" ht="12.75" customHeight="1">
      <c r="B86" s="1546" t="s">
        <v>1615</v>
      </c>
      <c r="C86" s="52" t="s">
        <v>4077</v>
      </c>
      <c r="D86" s="52"/>
      <c r="E86" s="52"/>
      <c r="F86" s="52"/>
      <c r="G86" s="52"/>
      <c r="H86" s="52"/>
      <c r="I86" s="52"/>
      <c r="J86" s="52"/>
      <c r="K86" s="52"/>
      <c r="L86" s="52"/>
      <c r="M86" s="52"/>
      <c r="O86" s="150" t="s">
        <v>1615</v>
      </c>
      <c r="P86" s="1622" t="s">
        <v>6949</v>
      </c>
      <c r="Q86" s="1623"/>
    </row>
    <row r="87" spans="1:32" ht="12.75" customHeight="1">
      <c r="A87" s="47"/>
      <c r="B87" s="146" t="s">
        <v>1616</v>
      </c>
      <c r="C87" s="52" t="s">
        <v>4076</v>
      </c>
      <c r="D87" s="52"/>
      <c r="E87" s="52"/>
      <c r="F87" s="52"/>
      <c r="G87" s="52"/>
      <c r="H87" s="52"/>
      <c r="I87" s="52"/>
      <c r="J87" s="52"/>
      <c r="K87" s="52"/>
      <c r="L87" s="52"/>
      <c r="M87" s="52"/>
      <c r="O87" s="65" t="s">
        <v>1616</v>
      </c>
      <c r="P87" s="1773" t="s">
        <v>6949</v>
      </c>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3995" t="s">
        <v>6986</v>
      </c>
      <c r="B89" s="3996"/>
      <c r="C89" s="3996"/>
      <c r="D89" s="3996"/>
      <c r="E89" s="3996"/>
      <c r="F89" s="3996"/>
      <c r="G89" s="3996"/>
      <c r="H89" s="3996"/>
      <c r="I89" s="3996"/>
      <c r="J89" s="3996"/>
      <c r="K89" s="3996"/>
      <c r="L89" s="3996"/>
      <c r="M89" s="3996"/>
      <c r="N89" s="3996"/>
      <c r="O89" s="3996"/>
      <c r="P89" s="3996"/>
      <c r="Q89" s="3997"/>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3999"/>
      <c r="B91" s="4000"/>
      <c r="C91" s="4000"/>
      <c r="D91" s="4000"/>
      <c r="E91" s="4000"/>
      <c r="F91" s="4000"/>
      <c r="G91" s="4000"/>
      <c r="H91" s="4000"/>
      <c r="I91" s="4000"/>
      <c r="J91" s="4000"/>
      <c r="K91" s="4000"/>
      <c r="L91" s="4000"/>
      <c r="M91" s="4000"/>
      <c r="N91" s="4000"/>
      <c r="O91" s="4000"/>
      <c r="P91" s="4000"/>
      <c r="Q91" s="4001"/>
    </row>
    <row r="92" spans="1:32" ht="14.15" customHeight="1">
      <c r="A92" s="1138" t="s">
        <v>720</v>
      </c>
      <c r="B92" s="1138" t="s">
        <v>2425</v>
      </c>
      <c r="C92" s="40"/>
      <c r="D92" s="1133"/>
      <c r="E92" s="1133"/>
      <c r="F92" s="1133"/>
      <c r="G92" s="1133"/>
      <c r="H92" s="1133"/>
      <c r="I92" s="1133"/>
      <c r="J92" s="1133"/>
      <c r="K92" s="1133"/>
      <c r="L92" s="1133"/>
      <c r="M92" s="1133"/>
      <c r="N92" s="1091" t="s">
        <v>6540</v>
      </c>
      <c r="O92" s="132" t="s">
        <v>1731</v>
      </c>
      <c r="P92" s="4016"/>
      <c r="Q92" s="4005"/>
      <c r="R92" s="1147" t="s">
        <v>6527</v>
      </c>
    </row>
    <row r="93" spans="1:32" ht="6.65" customHeight="1"/>
    <row r="94" spans="1:32">
      <c r="A94" s="47" t="s">
        <v>1842</v>
      </c>
      <c r="B94" s="52" t="s">
        <v>6193</v>
      </c>
      <c r="D94" s="134"/>
      <c r="E94" s="134"/>
      <c r="F94" s="134"/>
      <c r="G94" s="134"/>
      <c r="H94" s="134"/>
      <c r="I94" s="42"/>
      <c r="J94" s="42"/>
      <c r="K94" s="478" t="s">
        <v>1842</v>
      </c>
      <c r="L94" s="4150" t="s">
        <v>6956</v>
      </c>
      <c r="M94" s="4150"/>
      <c r="N94" s="4150"/>
      <c r="O94" s="4150"/>
      <c r="P94" s="4151"/>
      <c r="Q94" s="2365"/>
    </row>
    <row r="95" spans="1:32" ht="12" customHeight="1">
      <c r="B95" s="55" t="s">
        <v>6632</v>
      </c>
      <c r="O95" s="65" t="s">
        <v>1616</v>
      </c>
      <c r="P95" s="2360" t="s">
        <v>2654</v>
      </c>
      <c r="Q95" s="550"/>
    </row>
    <row r="96" spans="1:32" ht="12" customHeight="1">
      <c r="B96" s="55" t="s">
        <v>6528</v>
      </c>
      <c r="I96" s="55" t="s">
        <v>6530</v>
      </c>
      <c r="K96" s="2373" t="s">
        <v>6958</v>
      </c>
      <c r="L96" s="2374"/>
      <c r="N96" s="55" t="s">
        <v>6529</v>
      </c>
      <c r="P96" s="2371" t="s">
        <v>6957</v>
      </c>
      <c r="Q96" s="2372"/>
    </row>
    <row r="97" spans="1:17" ht="12" customHeight="1">
      <c r="A97" s="47" t="s">
        <v>1844</v>
      </c>
      <c r="B97" s="52" t="s">
        <v>6639</v>
      </c>
      <c r="D97" s="134"/>
      <c r="E97" s="134"/>
      <c r="F97" s="134"/>
      <c r="G97" s="134"/>
      <c r="H97" s="134"/>
      <c r="I97" s="42"/>
      <c r="J97" s="42"/>
      <c r="K97" s="134"/>
      <c r="L97" s="1135"/>
      <c r="O97" s="478" t="s">
        <v>1844</v>
      </c>
      <c r="P97" s="492" t="s">
        <v>2651</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52" t="s">
        <v>6956</v>
      </c>
      <c r="M99" s="4052"/>
      <c r="N99" s="4052"/>
      <c r="O99" s="4052"/>
      <c r="P99" s="4053"/>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59</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6931</v>
      </c>
      <c r="Q101" s="551"/>
    </row>
    <row r="102" spans="1:17" s="1822" customFormat="1" ht="12" customHeight="1">
      <c r="A102" s="2058" t="s">
        <v>1963</v>
      </c>
      <c r="B102" s="2140" t="s">
        <v>6625</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6626</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6627</v>
      </c>
      <c r="E105" s="2056" t="s">
        <v>2241</v>
      </c>
      <c r="F105" s="2140" t="s">
        <v>6628</v>
      </c>
      <c r="G105" s="2060"/>
      <c r="H105" s="2140"/>
      <c r="I105" s="2060"/>
      <c r="J105" s="2060"/>
      <c r="K105" s="2449"/>
      <c r="L105" s="2141"/>
      <c r="M105" s="2141"/>
      <c r="O105" s="2056" t="s">
        <v>2241</v>
      </c>
      <c r="P105" s="2483">
        <v>0</v>
      </c>
      <c r="Q105" s="2484"/>
    </row>
    <row r="106" spans="1:17" s="1822" customFormat="1" ht="12" customHeight="1">
      <c r="A106" s="2058"/>
      <c r="B106" s="2059"/>
      <c r="E106" s="2056" t="s">
        <v>2242</v>
      </c>
      <c r="F106" s="2140" t="s">
        <v>6629</v>
      </c>
      <c r="G106" s="2060"/>
      <c r="H106" s="2140"/>
      <c r="I106" s="2060"/>
      <c r="J106" s="2060"/>
      <c r="K106" s="2449"/>
      <c r="L106" s="2141"/>
      <c r="M106" s="2141"/>
      <c r="O106" s="2056" t="s">
        <v>2242</v>
      </c>
      <c r="P106" s="2422" t="s">
        <v>2654</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6627</v>
      </c>
      <c r="E108" s="2056" t="s">
        <v>2241</v>
      </c>
      <c r="F108" s="2140" t="s">
        <v>6630</v>
      </c>
      <c r="G108" s="2060"/>
      <c r="H108" s="2140"/>
      <c r="I108" s="2060"/>
      <c r="J108" s="2060"/>
      <c r="K108" s="2449"/>
      <c r="L108" s="2141"/>
      <c r="O108" s="2056" t="s">
        <v>2241</v>
      </c>
      <c r="P108" s="2483">
        <v>0</v>
      </c>
      <c r="Q108" s="2484"/>
    </row>
    <row r="109" spans="1:17" s="1822" customFormat="1" ht="12" customHeight="1">
      <c r="A109" s="2058"/>
      <c r="B109" s="2056"/>
      <c r="E109" s="2056" t="s">
        <v>2242</v>
      </c>
      <c r="F109" s="2140" t="s">
        <v>6631</v>
      </c>
      <c r="G109" s="2060"/>
      <c r="H109" s="2140"/>
      <c r="I109" s="2060"/>
      <c r="J109" s="2060"/>
      <c r="O109" s="2056" t="s">
        <v>2242</v>
      </c>
      <c r="P109" s="2423" t="s">
        <v>2654</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3862</v>
      </c>
      <c r="I111" s="52" t="s">
        <v>2502</v>
      </c>
      <c r="J111" s="2362" t="s">
        <v>2654</v>
      </c>
      <c r="K111" s="1623"/>
      <c r="L111" s="478" t="s">
        <v>3866</v>
      </c>
      <c r="M111" s="140" t="s">
        <v>6198</v>
      </c>
      <c r="P111" s="2362" t="s">
        <v>2654</v>
      </c>
      <c r="Q111" s="1623"/>
    </row>
    <row r="112" spans="1:17" ht="12.75" customHeight="1">
      <c r="B112" s="146" t="s">
        <v>1616</v>
      </c>
      <c r="C112" s="52" t="s">
        <v>6194</v>
      </c>
      <c r="E112" s="134"/>
      <c r="F112" s="2360" t="s">
        <v>2654</v>
      </c>
      <c r="G112" s="550"/>
      <c r="H112" s="478" t="s">
        <v>3863</v>
      </c>
      <c r="I112" s="52" t="s">
        <v>6114</v>
      </c>
      <c r="J112" s="2360" t="s">
        <v>2654</v>
      </c>
      <c r="K112" s="550"/>
      <c r="L112" s="478" t="s">
        <v>3867</v>
      </c>
      <c r="M112" s="55" t="s">
        <v>3283</v>
      </c>
      <c r="O112" s="2045"/>
      <c r="P112" s="2360" t="s">
        <v>2654</v>
      </c>
      <c r="Q112" s="550"/>
    </row>
    <row r="113" spans="1:32" ht="12" customHeight="1">
      <c r="A113" s="36"/>
      <c r="B113" s="146" t="s">
        <v>1617</v>
      </c>
      <c r="C113" s="52" t="s">
        <v>6195</v>
      </c>
      <c r="E113" s="134"/>
      <c r="F113" s="2360" t="s">
        <v>2654</v>
      </c>
      <c r="G113" s="550"/>
      <c r="H113" s="478" t="s">
        <v>3864</v>
      </c>
      <c r="I113" s="52" t="s">
        <v>6115</v>
      </c>
      <c r="J113" s="2360" t="s">
        <v>2654</v>
      </c>
      <c r="K113" s="550"/>
      <c r="L113" s="478" t="s">
        <v>3868</v>
      </c>
      <c r="M113" s="52" t="s">
        <v>1451</v>
      </c>
      <c r="P113" s="2422" t="s">
        <v>2654</v>
      </c>
      <c r="Q113" s="550"/>
    </row>
    <row r="114" spans="1:32" ht="12" customHeight="1">
      <c r="A114" s="36"/>
      <c r="B114" s="146" t="s">
        <v>2183</v>
      </c>
      <c r="C114" s="55" t="s">
        <v>2416</v>
      </c>
      <c r="E114" s="134"/>
      <c r="F114" s="2363" t="s">
        <v>2654</v>
      </c>
      <c r="G114" s="551"/>
      <c r="H114" s="478" t="s">
        <v>3865</v>
      </c>
      <c r="I114" s="55" t="s">
        <v>6196</v>
      </c>
      <c r="J114" s="2363" t="s">
        <v>2654</v>
      </c>
      <c r="K114" s="551"/>
      <c r="L114" s="478" t="s">
        <v>6197</v>
      </c>
      <c r="M114" s="55" t="s">
        <v>6116</v>
      </c>
      <c r="P114" s="2363" t="s">
        <v>2654</v>
      </c>
      <c r="Q114" s="551"/>
    </row>
    <row r="115" spans="1:32" ht="12" customHeight="1">
      <c r="A115" s="36"/>
      <c r="B115" s="478" t="s">
        <v>6531</v>
      </c>
      <c r="C115" s="52" t="s">
        <v>2503</v>
      </c>
      <c r="E115" s="134"/>
      <c r="F115" s="134"/>
      <c r="G115" s="134"/>
      <c r="H115" s="134"/>
      <c r="I115" s="134"/>
      <c r="J115" s="134"/>
      <c r="K115" s="134"/>
      <c r="L115" s="134"/>
      <c r="M115" s="52"/>
      <c r="O115" s="65"/>
      <c r="P115" s="65"/>
    </row>
    <row r="116" spans="1:32" ht="12" customHeight="1">
      <c r="A116" s="36"/>
      <c r="C116" s="4034" t="s">
        <v>2815</v>
      </c>
      <c r="D116" s="4034"/>
      <c r="E116" s="4034"/>
      <c r="F116" s="4034"/>
      <c r="G116" s="4034"/>
      <c r="H116" s="4034"/>
      <c r="I116" s="4034"/>
      <c r="J116" s="4034"/>
      <c r="K116" s="4034"/>
      <c r="L116" s="4034"/>
      <c r="M116" s="4034"/>
      <c r="N116" s="4034"/>
      <c r="O116" s="4034"/>
      <c r="P116" s="4034"/>
      <c r="Q116" s="4034"/>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6633</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3998" t="s">
        <v>141</v>
      </c>
      <c r="C123" s="3998"/>
      <c r="D123" s="3998"/>
      <c r="E123" s="3998"/>
      <c r="F123" s="3998"/>
      <c r="G123" s="3998"/>
      <c r="H123" s="3998"/>
      <c r="I123" s="3998"/>
      <c r="J123" s="3998"/>
      <c r="K123" s="3998"/>
      <c r="L123" s="3998"/>
      <c r="M123" s="163" t="s">
        <v>1808</v>
      </c>
      <c r="N123" s="4012" t="s">
        <v>1647</v>
      </c>
      <c r="O123" s="4013"/>
      <c r="P123" s="4014" t="s">
        <v>1647</v>
      </c>
      <c r="Q123" s="4015"/>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3995" t="s">
        <v>6987</v>
      </c>
      <c r="B125" s="3996"/>
      <c r="C125" s="3996"/>
      <c r="D125" s="3996"/>
      <c r="E125" s="3996"/>
      <c r="F125" s="3996"/>
      <c r="G125" s="3996"/>
      <c r="H125" s="3996"/>
      <c r="I125" s="3996"/>
      <c r="J125" s="3996"/>
      <c r="K125" s="3996"/>
      <c r="L125" s="3996"/>
      <c r="M125" s="3996"/>
      <c r="N125" s="3996"/>
      <c r="O125" s="3996"/>
      <c r="P125" s="3996"/>
      <c r="Q125" s="3997"/>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3999"/>
      <c r="B128" s="4000"/>
      <c r="C128" s="4000"/>
      <c r="D128" s="4000"/>
      <c r="E128" s="4000"/>
      <c r="F128" s="4000"/>
      <c r="G128" s="4000"/>
      <c r="H128" s="4000"/>
      <c r="I128" s="4000"/>
      <c r="J128" s="4000"/>
      <c r="K128" s="4000"/>
      <c r="L128" s="4000"/>
      <c r="M128" s="4000"/>
      <c r="N128" s="4000"/>
      <c r="O128" s="4000"/>
      <c r="P128" s="4000"/>
      <c r="Q128" s="4001"/>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5" customHeight="1">
      <c r="A130" s="1138" t="s">
        <v>280</v>
      </c>
      <c r="B130" s="1138" t="s">
        <v>2426</v>
      </c>
      <c r="C130" s="1138"/>
      <c r="D130" s="1133"/>
      <c r="E130" s="1133"/>
      <c r="F130" s="1133"/>
      <c r="G130" s="1133"/>
      <c r="H130" s="1133"/>
      <c r="I130" s="1133"/>
      <c r="J130" s="1133"/>
      <c r="K130" s="1133"/>
      <c r="N130" s="1091" t="s">
        <v>6540</v>
      </c>
      <c r="O130" s="132" t="s">
        <v>1731</v>
      </c>
      <c r="P130" s="4016"/>
      <c r="Q130" s="4005"/>
      <c r="R130" s="1147" t="s">
        <v>6527</v>
      </c>
    </row>
    <row r="131" spans="1:31" ht="12" customHeight="1">
      <c r="A131" s="47" t="s">
        <v>1842</v>
      </c>
      <c r="B131" s="146" t="s">
        <v>1615</v>
      </c>
      <c r="C131" s="52" t="s">
        <v>6542</v>
      </c>
      <c r="D131" s="52"/>
      <c r="E131" s="52"/>
      <c r="F131" s="52"/>
      <c r="G131" s="52"/>
      <c r="K131" s="52" t="s">
        <v>2461</v>
      </c>
      <c r="M131" s="4040" t="s">
        <v>7007</v>
      </c>
      <c r="N131" s="4041"/>
      <c r="O131" s="65" t="s">
        <v>1615</v>
      </c>
      <c r="P131" s="96" t="s">
        <v>2651</v>
      </c>
      <c r="Q131" s="547"/>
    </row>
    <row r="132" spans="1:31" ht="12" customHeight="1">
      <c r="A132" s="47"/>
      <c r="B132" s="146" t="s">
        <v>1616</v>
      </c>
      <c r="C132" s="52" t="s">
        <v>4059</v>
      </c>
      <c r="D132" s="52"/>
      <c r="E132" s="52"/>
      <c r="F132" s="52"/>
      <c r="G132" s="52"/>
      <c r="K132" s="52" t="s">
        <v>2461</v>
      </c>
      <c r="M132" s="4040"/>
      <c r="N132" s="4041"/>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090" t="s">
        <v>6948</v>
      </c>
      <c r="N133" s="4091"/>
      <c r="P133" s="4092" t="s">
        <v>1647</v>
      </c>
      <c r="Q133" s="4093"/>
    </row>
    <row r="134" spans="1:31" ht="12" customHeight="1">
      <c r="A134" s="47" t="s">
        <v>698</v>
      </c>
      <c r="B134" s="140" t="s">
        <v>636</v>
      </c>
      <c r="D134" s="140"/>
      <c r="E134" s="140"/>
      <c r="F134" s="140"/>
      <c r="G134" s="140"/>
      <c r="H134" s="140"/>
      <c r="J134" s="478" t="s">
        <v>698</v>
      </c>
      <c r="K134" s="4061" t="s">
        <v>6955</v>
      </c>
      <c r="L134" s="4062"/>
      <c r="M134" s="4062"/>
      <c r="N134" s="4062"/>
      <c r="O134" s="4062"/>
      <c r="P134" s="4063"/>
      <c r="Q134" s="547"/>
    </row>
    <row r="135" spans="1:31" ht="21.75" customHeight="1">
      <c r="A135" s="142" t="s">
        <v>1963</v>
      </c>
      <c r="B135" s="3998" t="s">
        <v>6199</v>
      </c>
      <c r="C135" s="3998"/>
      <c r="D135" s="3998"/>
      <c r="E135" s="3998"/>
      <c r="F135" s="3998"/>
      <c r="G135" s="3998"/>
      <c r="H135" s="3998"/>
      <c r="I135" s="3998"/>
      <c r="J135" s="3998"/>
      <c r="K135" s="3998"/>
      <c r="L135" s="3998"/>
      <c r="M135" s="3998"/>
      <c r="N135" s="3998"/>
      <c r="O135" s="163" t="s">
        <v>1963</v>
      </c>
      <c r="P135" s="1937" t="s">
        <v>6949</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5" customHeight="1">
      <c r="A137" s="3995" t="s">
        <v>6988</v>
      </c>
      <c r="B137" s="3996"/>
      <c r="C137" s="3996"/>
      <c r="D137" s="3996"/>
      <c r="E137" s="3996"/>
      <c r="F137" s="3996"/>
      <c r="G137" s="3996"/>
      <c r="H137" s="3996"/>
      <c r="I137" s="3996"/>
      <c r="J137" s="3996"/>
      <c r="K137" s="3996"/>
      <c r="L137" s="3996"/>
      <c r="M137" s="3996"/>
      <c r="N137" s="3996"/>
      <c r="O137" s="3996"/>
      <c r="P137" s="3996"/>
      <c r="Q137" s="3997"/>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5" customHeight="1">
      <c r="A139" s="3999"/>
      <c r="B139" s="4000"/>
      <c r="C139" s="4000"/>
      <c r="D139" s="4000"/>
      <c r="E139" s="4000"/>
      <c r="F139" s="4000"/>
      <c r="G139" s="4000"/>
      <c r="H139" s="4000"/>
      <c r="I139" s="4000"/>
      <c r="J139" s="4000"/>
      <c r="K139" s="4000"/>
      <c r="L139" s="4000"/>
      <c r="M139" s="4000"/>
      <c r="N139" s="4000"/>
      <c r="O139" s="4000"/>
      <c r="P139" s="4000"/>
      <c r="Q139" s="4001"/>
    </row>
    <row r="140" spans="1:31" ht="3" customHeight="1">
      <c r="A140" s="1132"/>
      <c r="B140" s="1139"/>
      <c r="C140" s="1133"/>
      <c r="D140" s="1133"/>
      <c r="E140" s="1133"/>
      <c r="F140" s="1133"/>
      <c r="G140" s="1133"/>
      <c r="H140" s="1133"/>
      <c r="I140" s="1133"/>
      <c r="J140" s="1133"/>
      <c r="K140" s="1133"/>
      <c r="L140" s="1133"/>
      <c r="M140" s="1133"/>
      <c r="Q140" s="1132"/>
    </row>
    <row r="141" spans="1:31" ht="14.15" customHeight="1">
      <c r="A141" s="1138" t="s">
        <v>401</v>
      </c>
      <c r="B141" s="1138" t="s">
        <v>2427</v>
      </c>
      <c r="C141" s="1138"/>
      <c r="D141" s="1133"/>
      <c r="E141" s="1133"/>
      <c r="F141" s="1133"/>
      <c r="G141" s="1133"/>
      <c r="H141" s="1133"/>
      <c r="I141" s="1133"/>
      <c r="J141" s="1133"/>
      <c r="K141" s="1133"/>
      <c r="L141" s="1133"/>
      <c r="M141" s="1133"/>
      <c r="O141" s="132" t="s">
        <v>1731</v>
      </c>
      <c r="P141" s="4016"/>
      <c r="Q141" s="4005"/>
    </row>
    <row r="142" spans="1:31" ht="21.75" customHeight="1">
      <c r="A142" s="142" t="s">
        <v>1842</v>
      </c>
      <c r="B142" s="3998" t="s">
        <v>3235</v>
      </c>
      <c r="C142" s="3998"/>
      <c r="D142" s="3998"/>
      <c r="E142" s="3998"/>
      <c r="F142" s="3998"/>
      <c r="G142" s="3998"/>
      <c r="H142" s="3998"/>
      <c r="I142" s="3998"/>
      <c r="J142" s="3998"/>
      <c r="K142" s="3998"/>
      <c r="L142" s="3998"/>
      <c r="M142" s="3998"/>
      <c r="N142" s="3998"/>
      <c r="O142" s="163" t="s">
        <v>1842</v>
      </c>
      <c r="P142" s="1158" t="s">
        <v>2654</v>
      </c>
      <c r="Q142" s="1157"/>
    </row>
    <row r="143" spans="1:31" ht="22.4" customHeight="1">
      <c r="A143" s="142" t="s">
        <v>1844</v>
      </c>
      <c r="B143" s="3998" t="s">
        <v>3803</v>
      </c>
      <c r="C143" s="3998"/>
      <c r="D143" s="3998"/>
      <c r="E143" s="3998"/>
      <c r="F143" s="3998"/>
      <c r="G143" s="3998"/>
      <c r="H143" s="3998"/>
      <c r="I143" s="3998"/>
      <c r="J143" s="3998"/>
      <c r="K143" s="3998"/>
      <c r="L143" s="3998"/>
      <c r="M143" s="3998"/>
      <c r="N143" s="3998"/>
      <c r="O143" s="163" t="s">
        <v>1844</v>
      </c>
      <c r="P143" s="561" t="s">
        <v>2654</v>
      </c>
      <c r="Q143" s="552"/>
    </row>
    <row r="144" spans="1:31" ht="22.4" customHeight="1">
      <c r="A144" s="142" t="s">
        <v>698</v>
      </c>
      <c r="B144" s="3998" t="s">
        <v>3236</v>
      </c>
      <c r="C144" s="3998"/>
      <c r="D144" s="3998"/>
      <c r="E144" s="3998"/>
      <c r="F144" s="3998"/>
      <c r="G144" s="3998"/>
      <c r="H144" s="3998"/>
      <c r="I144" s="3998"/>
      <c r="J144" s="3998"/>
      <c r="K144" s="3998"/>
      <c r="L144" s="3998"/>
      <c r="M144" s="3998"/>
      <c r="N144" s="3998"/>
      <c r="O144" s="163" t="s">
        <v>698</v>
      </c>
      <c r="P144" s="561" t="s">
        <v>907</v>
      </c>
      <c r="Q144" s="552"/>
    </row>
    <row r="145" spans="1:44" ht="21.75" customHeight="1">
      <c r="A145" s="142" t="s">
        <v>1963</v>
      </c>
      <c r="B145" s="3998" t="s">
        <v>3836</v>
      </c>
      <c r="C145" s="3998"/>
      <c r="D145" s="3998"/>
      <c r="E145" s="3998"/>
      <c r="F145" s="3998"/>
      <c r="G145" s="3998"/>
      <c r="H145" s="3998"/>
      <c r="I145" s="3998"/>
      <c r="J145" s="3998"/>
      <c r="K145" s="3998"/>
      <c r="L145" s="3998"/>
      <c r="M145" s="3998"/>
      <c r="N145" s="3998"/>
      <c r="O145" s="163" t="s">
        <v>1963</v>
      </c>
      <c r="P145" s="1162" t="s">
        <v>2651</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36.5" customHeight="1">
      <c r="A147" s="3995" t="s">
        <v>7012</v>
      </c>
      <c r="B147" s="3996"/>
      <c r="C147" s="3996"/>
      <c r="D147" s="3996"/>
      <c r="E147" s="3996"/>
      <c r="F147" s="3996"/>
      <c r="G147" s="3996"/>
      <c r="H147" s="3996"/>
      <c r="I147" s="3996"/>
      <c r="J147" s="3996"/>
      <c r="K147" s="3996"/>
      <c r="L147" s="3996"/>
      <c r="M147" s="3996"/>
      <c r="N147" s="3996"/>
      <c r="O147" s="3996"/>
      <c r="P147" s="3996"/>
      <c r="Q147" s="3997"/>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5" customHeight="1">
      <c r="A149" s="3999"/>
      <c r="B149" s="4000"/>
      <c r="C149" s="4000"/>
      <c r="D149" s="4000"/>
      <c r="E149" s="4000"/>
      <c r="F149" s="4000"/>
      <c r="G149" s="4000"/>
      <c r="H149" s="4000"/>
      <c r="I149" s="4000"/>
      <c r="J149" s="4000"/>
      <c r="K149" s="4000"/>
      <c r="L149" s="4000"/>
      <c r="M149" s="4000"/>
      <c r="N149" s="4000"/>
      <c r="O149" s="4000"/>
      <c r="P149" s="4000"/>
      <c r="Q149" s="4001"/>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5" customHeight="1">
      <c r="A151" s="1131" t="s">
        <v>342</v>
      </c>
      <c r="B151" s="3942" t="s">
        <v>2428</v>
      </c>
      <c r="C151" s="3942"/>
      <c r="D151" s="3942"/>
      <c r="E151" s="414"/>
      <c r="N151" s="1091" t="s">
        <v>6540</v>
      </c>
      <c r="O151" s="132" t="s">
        <v>1731</v>
      </c>
      <c r="P151" s="4016"/>
      <c r="Q151" s="4005"/>
      <c r="R151" s="1147" t="s">
        <v>6527</v>
      </c>
    </row>
    <row r="152" spans="1:44" s="27" customFormat="1" ht="11.5" customHeight="1">
      <c r="B152" s="55" t="s">
        <v>6663</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6117</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3998" t="s">
        <v>3237</v>
      </c>
      <c r="D158" s="3998"/>
      <c r="E158" s="3998"/>
      <c r="F158" s="3998"/>
      <c r="G158" s="3998"/>
      <c r="H158" s="3998"/>
      <c r="I158" s="3998"/>
      <c r="J158" s="3998"/>
      <c r="K158" s="3998"/>
      <c r="L158" s="3998"/>
      <c r="M158" s="3998"/>
      <c r="N158" s="3998"/>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3998" t="s">
        <v>2421</v>
      </c>
      <c r="D160" s="3998"/>
      <c r="E160" s="3998"/>
      <c r="F160" s="3998"/>
      <c r="G160" s="3998"/>
      <c r="H160" s="3998"/>
      <c r="I160" s="3998"/>
      <c r="J160" s="3998"/>
      <c r="K160" s="3998"/>
      <c r="L160" s="3998"/>
      <c r="M160" s="3998"/>
      <c r="N160" s="3998"/>
      <c r="O160" s="163" t="s">
        <v>1449</v>
      </c>
      <c r="P160" s="561" t="s">
        <v>2651</v>
      </c>
      <c r="Q160" s="552"/>
      <c r="AE160" s="481"/>
      <c r="AF160" s="481"/>
    </row>
    <row r="161" spans="1:44" s="133" customFormat="1" ht="21.75" customHeight="1">
      <c r="A161" s="142"/>
      <c r="B161" s="491" t="s">
        <v>1450</v>
      </c>
      <c r="C161" s="3998" t="s">
        <v>3308</v>
      </c>
      <c r="D161" s="3998"/>
      <c r="E161" s="3998"/>
      <c r="F161" s="3998"/>
      <c r="G161" s="3998"/>
      <c r="H161" s="3998"/>
      <c r="I161" s="3998"/>
      <c r="J161" s="3998"/>
      <c r="K161" s="3998"/>
      <c r="L161" s="3998"/>
      <c r="M161" s="3998"/>
      <c r="N161" s="3998"/>
      <c r="O161" s="163" t="s">
        <v>1450</v>
      </c>
      <c r="P161" s="561" t="s">
        <v>2651</v>
      </c>
      <c r="Q161" s="552"/>
      <c r="AE161" s="481"/>
      <c r="AF161" s="481"/>
    </row>
    <row r="162" spans="1:44" ht="21.75" customHeight="1">
      <c r="A162" s="142" t="s">
        <v>1963</v>
      </c>
      <c r="B162" s="3998" t="s">
        <v>2422</v>
      </c>
      <c r="C162" s="3998"/>
      <c r="D162" s="3998"/>
      <c r="E162" s="3998"/>
      <c r="F162" s="3998"/>
      <c r="G162" s="3998"/>
      <c r="H162" s="3998"/>
      <c r="I162" s="3998"/>
      <c r="J162" s="3998"/>
      <c r="K162" s="3998"/>
      <c r="L162" s="3998"/>
      <c r="M162" s="3998"/>
      <c r="N162" s="3998"/>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11.5" customHeight="1">
      <c r="A165" s="3995" t="s">
        <v>6947</v>
      </c>
      <c r="B165" s="3996"/>
      <c r="C165" s="3996"/>
      <c r="D165" s="3996"/>
      <c r="E165" s="3996"/>
      <c r="F165" s="3996"/>
      <c r="G165" s="3996"/>
      <c r="H165" s="3996"/>
      <c r="I165" s="3996"/>
      <c r="J165" s="3996"/>
      <c r="K165" s="3996"/>
      <c r="L165" s="3996"/>
      <c r="M165" s="3996"/>
      <c r="N165" s="3996"/>
      <c r="O165" s="3996"/>
      <c r="P165" s="3996"/>
      <c r="Q165" s="3997"/>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5" customHeight="1">
      <c r="A167" s="3999"/>
      <c r="B167" s="4000"/>
      <c r="C167" s="4000"/>
      <c r="D167" s="4000"/>
      <c r="E167" s="4000"/>
      <c r="F167" s="4000"/>
      <c r="G167" s="4000"/>
      <c r="H167" s="4000"/>
      <c r="I167" s="4000"/>
      <c r="J167" s="4000"/>
      <c r="K167" s="4000"/>
      <c r="L167" s="4000"/>
      <c r="M167" s="4000"/>
      <c r="N167" s="4000"/>
      <c r="O167" s="4000"/>
      <c r="P167" s="4000"/>
      <c r="Q167" s="4001"/>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5" customHeight="1">
      <c r="A169" s="1138" t="s">
        <v>343</v>
      </c>
      <c r="B169" s="1138" t="s">
        <v>2429</v>
      </c>
      <c r="C169" s="1138"/>
      <c r="D169" s="1133"/>
      <c r="E169" s="147"/>
      <c r="F169" s="414"/>
      <c r="G169" s="1973"/>
      <c r="J169" s="879"/>
      <c r="K169" s="879"/>
      <c r="L169" s="879"/>
      <c r="M169" s="879"/>
      <c r="N169" s="1091" t="s">
        <v>6540</v>
      </c>
      <c r="O169" s="132" t="s">
        <v>1731</v>
      </c>
      <c r="P169" s="4016"/>
      <c r="Q169" s="4005"/>
      <c r="R169" s="1147" t="s">
        <v>6527</v>
      </c>
    </row>
    <row r="170" spans="1:44" s="27" customFormat="1" ht="12.75" customHeight="1">
      <c r="B170" s="55" t="s">
        <v>6663</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4" t="s">
        <v>2815</v>
      </c>
      <c r="K171" s="4095"/>
      <c r="L171" s="4095"/>
      <c r="M171" s="4095"/>
      <c r="N171" s="4102"/>
      <c r="O171" s="65" t="s">
        <v>1615</v>
      </c>
      <c r="P171" s="230"/>
      <c r="Q171" s="549"/>
    </row>
    <row r="172" spans="1:44" ht="12.75" customHeight="1">
      <c r="A172" s="139"/>
      <c r="B172" s="141" t="s">
        <v>3241</v>
      </c>
      <c r="C172" s="105"/>
      <c r="D172" s="105"/>
      <c r="E172" s="105"/>
      <c r="F172" s="105"/>
      <c r="H172" s="65" t="s">
        <v>1616</v>
      </c>
      <c r="I172" s="52" t="s">
        <v>1492</v>
      </c>
      <c r="J172" s="4006" t="s">
        <v>6945</v>
      </c>
      <c r="K172" s="4007"/>
      <c r="L172" s="4007"/>
      <c r="M172" s="4007"/>
      <c r="N172" s="4008"/>
      <c r="O172" s="65" t="s">
        <v>1616</v>
      </c>
      <c r="P172" s="231" t="s">
        <v>2651</v>
      </c>
      <c r="Q172" s="551"/>
    </row>
    <row r="173" spans="1:44" ht="12.75" customHeight="1">
      <c r="A173" s="3995" t="s">
        <v>6946</v>
      </c>
      <c r="B173" s="3996"/>
      <c r="C173" s="3996"/>
      <c r="D173" s="3996"/>
      <c r="E173" s="3996"/>
      <c r="F173" s="3996"/>
      <c r="G173" s="3996"/>
      <c r="H173" s="3996"/>
      <c r="I173" s="3996"/>
      <c r="J173" s="3996"/>
      <c r="K173" s="3996"/>
      <c r="L173" s="3996"/>
      <c r="M173" s="3996"/>
      <c r="N173" s="3996"/>
      <c r="O173" s="3996"/>
      <c r="P173" s="3996"/>
      <c r="Q173" s="3997"/>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3999"/>
      <c r="B175" s="4000"/>
      <c r="C175" s="4000"/>
      <c r="D175" s="4000"/>
      <c r="E175" s="4000"/>
      <c r="F175" s="4000"/>
      <c r="G175" s="4000"/>
      <c r="H175" s="4000"/>
      <c r="I175" s="4000"/>
      <c r="J175" s="4000"/>
      <c r="K175" s="4000"/>
      <c r="L175" s="4000"/>
      <c r="M175" s="4000"/>
      <c r="N175" s="4000"/>
      <c r="O175" s="4000"/>
      <c r="P175" s="4000"/>
      <c r="Q175" s="4001"/>
    </row>
    <row r="176" spans="1:44" ht="4.4000000000000004" customHeight="1">
      <c r="B176" s="1139"/>
      <c r="C176" s="1133"/>
      <c r="D176" s="1133"/>
      <c r="E176" s="1133"/>
      <c r="F176" s="1133"/>
      <c r="G176" s="1133"/>
      <c r="H176" s="1133"/>
      <c r="I176" s="1133"/>
      <c r="J176" s="1133"/>
      <c r="K176" s="1133"/>
      <c r="L176" s="1133"/>
      <c r="M176" s="1133"/>
      <c r="Q176" s="877"/>
    </row>
    <row r="177" spans="1:44" ht="14.15" customHeight="1">
      <c r="A177" s="1138" t="s">
        <v>344</v>
      </c>
      <c r="B177" s="4" t="s">
        <v>2430</v>
      </c>
      <c r="C177" s="4"/>
      <c r="D177" s="87"/>
      <c r="E177" s="87"/>
      <c r="F177" s="87"/>
      <c r="G177" s="1133"/>
      <c r="H177" s="1133"/>
      <c r="I177" s="1975"/>
      <c r="J177" s="1133"/>
      <c r="K177" s="1133"/>
      <c r="L177" s="1133"/>
      <c r="M177" s="1133"/>
      <c r="N177" s="1091" t="s">
        <v>6540</v>
      </c>
      <c r="O177" s="132" t="s">
        <v>1731</v>
      </c>
      <c r="P177" s="4016"/>
      <c r="Q177" s="4005"/>
      <c r="R177" s="1147" t="s">
        <v>6527</v>
      </c>
    </row>
    <row r="178" spans="1:44" s="27" customFormat="1" ht="12.75" customHeight="1">
      <c r="B178" s="55" t="s">
        <v>6663</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3998" t="s">
        <v>1713</v>
      </c>
      <c r="C179" s="3998"/>
      <c r="D179" s="3998"/>
      <c r="E179" s="3998"/>
      <c r="F179" s="3998"/>
      <c r="G179" s="3998"/>
      <c r="H179" s="65" t="s">
        <v>1615</v>
      </c>
      <c r="I179" s="52" t="s">
        <v>592</v>
      </c>
      <c r="J179" s="4094" t="s">
        <v>6943</v>
      </c>
      <c r="K179" s="4095"/>
      <c r="L179" s="4095"/>
      <c r="M179" s="4095"/>
      <c r="N179" s="4102"/>
      <c r="O179" s="163" t="s">
        <v>1392</v>
      </c>
      <c r="P179" s="1622" t="s">
        <v>2651</v>
      </c>
      <c r="Q179" s="1623"/>
    </row>
    <row r="180" spans="1:44" ht="12.75" customHeight="1">
      <c r="A180" s="151"/>
      <c r="B180" s="3998"/>
      <c r="C180" s="3998"/>
      <c r="D180" s="3998"/>
      <c r="E180" s="3998"/>
      <c r="F180" s="3998"/>
      <c r="G180" s="3998"/>
      <c r="H180" s="65" t="s">
        <v>1616</v>
      </c>
      <c r="I180" s="52" t="s">
        <v>110</v>
      </c>
      <c r="J180" s="4006" t="s">
        <v>6943</v>
      </c>
      <c r="K180" s="4007"/>
      <c r="L180" s="4007"/>
      <c r="M180" s="4007"/>
      <c r="N180" s="4008"/>
      <c r="O180" s="163" t="s">
        <v>1616</v>
      </c>
      <c r="P180" s="2315" t="s">
        <v>2651</v>
      </c>
      <c r="Q180" s="880"/>
    </row>
    <row r="181" spans="1:44" ht="12.75" customHeight="1">
      <c r="A181" s="47" t="s">
        <v>1844</v>
      </c>
      <c r="B181" s="146" t="s">
        <v>1615</v>
      </c>
      <c r="C181" s="52" t="s">
        <v>6509</v>
      </c>
      <c r="E181" s="52"/>
      <c r="F181" s="52"/>
      <c r="G181" s="52"/>
      <c r="H181" s="52"/>
      <c r="I181" s="52"/>
      <c r="J181" s="52"/>
      <c r="K181" s="42"/>
      <c r="L181" s="52"/>
      <c r="M181" s="52"/>
      <c r="O181" s="163" t="s">
        <v>6510</v>
      </c>
      <c r="P181" s="2356" t="s">
        <v>2651</v>
      </c>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2654</v>
      </c>
      <c r="Q182" s="551"/>
    </row>
    <row r="183" spans="1:44" ht="12.75" customHeight="1">
      <c r="A183" s="47" t="s">
        <v>698</v>
      </c>
      <c r="B183" s="52" t="s">
        <v>6534</v>
      </c>
      <c r="D183" s="52"/>
      <c r="E183" s="52"/>
      <c r="F183" s="52"/>
      <c r="G183" s="52"/>
      <c r="H183" s="52"/>
      <c r="I183" s="52"/>
      <c r="J183" s="52"/>
      <c r="K183" s="42"/>
      <c r="L183" s="52"/>
      <c r="M183" s="52"/>
      <c r="O183" s="478" t="s">
        <v>698</v>
      </c>
      <c r="P183" s="2049" t="s">
        <v>2654</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12.75" customHeight="1">
      <c r="A185" s="3995" t="s">
        <v>6944</v>
      </c>
      <c r="B185" s="3996"/>
      <c r="C185" s="3996"/>
      <c r="D185" s="3996"/>
      <c r="E185" s="3996"/>
      <c r="F185" s="3996"/>
      <c r="G185" s="3996"/>
      <c r="H185" s="3996"/>
      <c r="I185" s="3996"/>
      <c r="J185" s="3996"/>
      <c r="K185" s="3996"/>
      <c r="L185" s="3996"/>
      <c r="M185" s="3996"/>
      <c r="N185" s="3996"/>
      <c r="O185" s="3996"/>
      <c r="P185" s="3996"/>
      <c r="Q185" s="3997"/>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3999"/>
      <c r="B187" s="4000"/>
      <c r="C187" s="4000"/>
      <c r="D187" s="4000"/>
      <c r="E187" s="4000"/>
      <c r="F187" s="4000"/>
      <c r="G187" s="4000"/>
      <c r="H187" s="4000"/>
      <c r="I187" s="4000"/>
      <c r="J187" s="4000"/>
      <c r="K187" s="4000"/>
      <c r="L187" s="4000"/>
      <c r="M187" s="4000"/>
      <c r="N187" s="4000"/>
      <c r="O187" s="4000"/>
      <c r="P187" s="4000"/>
      <c r="Q187" s="4001"/>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5" customHeight="1">
      <c r="A189" s="1138" t="s">
        <v>1605</v>
      </c>
      <c r="B189" s="1138" t="s">
        <v>2431</v>
      </c>
      <c r="C189" s="114"/>
      <c r="D189" s="1133"/>
      <c r="E189" s="1133"/>
      <c r="F189" s="1133"/>
      <c r="G189" s="1133"/>
      <c r="H189" s="1133"/>
      <c r="I189" s="1133"/>
      <c r="J189" s="1133"/>
      <c r="K189" s="1133"/>
      <c r="L189" s="1133"/>
      <c r="M189" s="1133"/>
      <c r="O189" s="132" t="s">
        <v>1731</v>
      </c>
      <c r="P189" s="4016"/>
      <c r="Q189" s="4005"/>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6930</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94" t="s">
        <v>6940</v>
      </c>
      <c r="L192" s="4102"/>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6723</v>
      </c>
      <c r="E193" s="878"/>
      <c r="F193" s="878"/>
      <c r="G193" s="878"/>
      <c r="H193" s="878"/>
      <c r="I193" s="42"/>
      <c r="J193" s="65" t="s">
        <v>1393</v>
      </c>
      <c r="K193" s="4045" t="s">
        <v>6941</v>
      </c>
      <c r="L193" s="4046"/>
      <c r="Q193" s="4023"/>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0" t="s">
        <v>6200</v>
      </c>
      <c r="D194" s="4021"/>
      <c r="E194" s="4021"/>
      <c r="F194" s="4021"/>
      <c r="G194" s="4021"/>
      <c r="H194" s="4021"/>
      <c r="I194" s="4021"/>
      <c r="J194" s="4021"/>
      <c r="K194" s="4021"/>
      <c r="L194" s="4021"/>
      <c r="M194" s="4021"/>
      <c r="N194" s="4021"/>
      <c r="O194" s="4022"/>
      <c r="Q194" s="4024"/>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042" t="s">
        <v>6989</v>
      </c>
      <c r="L195" s="4043"/>
      <c r="M195" s="4043"/>
      <c r="N195" s="4044"/>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6930</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3154</v>
      </c>
      <c r="O197" s="1560">
        <f>'Part V-Revenues &amp; Expenses'!$P$67</f>
        <v>60</v>
      </c>
      <c r="P197" s="4025" t="s">
        <v>3859</v>
      </c>
      <c r="Q197" s="4026"/>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27" t="s">
        <v>3903</v>
      </c>
      <c r="D199" s="4028"/>
      <c r="E199" s="4028"/>
      <c r="F199" s="4028"/>
      <c r="G199" s="4029"/>
      <c r="H199" s="478" t="s">
        <v>1964</v>
      </c>
      <c r="I199" s="4002" t="s">
        <v>3403</v>
      </c>
      <c r="J199" s="4003"/>
      <c r="K199" s="4003"/>
      <c r="L199" s="4003"/>
      <c r="M199" s="4003"/>
      <c r="N199" s="4003"/>
      <c r="O199" s="4030"/>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17" t="s">
        <v>3855</v>
      </c>
      <c r="D200" s="4018"/>
      <c r="E200" s="4018"/>
      <c r="F200" s="4018"/>
      <c r="G200" s="4019"/>
      <c r="H200" s="478" t="s">
        <v>1965</v>
      </c>
      <c r="I200" s="3404"/>
      <c r="J200" s="3405"/>
      <c r="K200" s="3405"/>
      <c r="L200" s="3405"/>
      <c r="M200" s="3405"/>
      <c r="N200" s="3405"/>
      <c r="O200" s="3407"/>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17" t="s">
        <v>951</v>
      </c>
      <c r="D201" s="4018"/>
      <c r="E201" s="4018"/>
      <c r="F201" s="4018"/>
      <c r="G201" s="4019"/>
      <c r="H201" s="478" t="s">
        <v>1612</v>
      </c>
      <c r="I201" s="3404" t="s">
        <v>3403</v>
      </c>
      <c r="J201" s="3405"/>
      <c r="K201" s="3405"/>
      <c r="L201" s="3405"/>
      <c r="M201" s="3405"/>
      <c r="N201" s="3405"/>
      <c r="O201" s="3407"/>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47" t="s">
        <v>951</v>
      </c>
      <c r="D202" s="4048"/>
      <c r="E202" s="4048"/>
      <c r="F202" s="4048"/>
      <c r="G202" s="4049"/>
      <c r="H202" s="478" t="s">
        <v>3869</v>
      </c>
      <c r="I202" s="3443"/>
      <c r="J202" s="3444"/>
      <c r="K202" s="3444"/>
      <c r="L202" s="3444"/>
      <c r="M202" s="3444"/>
      <c r="N202" s="3444"/>
      <c r="O202" s="3446"/>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6930</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3998" t="s">
        <v>6750</v>
      </c>
      <c r="D209" s="3998"/>
      <c r="E209" s="3998"/>
      <c r="F209" s="3998"/>
      <c r="G209" s="3998"/>
      <c r="H209" s="3998"/>
      <c r="I209" s="3998"/>
      <c r="J209" s="3998"/>
      <c r="K209" s="3998"/>
      <c r="L209" s="3998"/>
      <c r="M209" s="3998"/>
      <c r="N209" s="3998"/>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6102</v>
      </c>
      <c r="C210" s="52"/>
      <c r="E210" s="52"/>
      <c r="F210" s="52"/>
      <c r="G210" s="52"/>
      <c r="H210" s="52"/>
      <c r="I210" s="52"/>
      <c r="J210" s="52"/>
      <c r="K210" s="42"/>
      <c r="N210" s="2659" t="str">
        <f>'Part VII-Threshold Criteria'!J35</f>
        <v>HFOP</v>
      </c>
      <c r="O210" s="478" t="s">
        <v>1963</v>
      </c>
      <c r="P210" s="230" t="s">
        <v>6930</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2651</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t="s">
        <v>2651</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3995" t="s">
        <v>6942</v>
      </c>
      <c r="B214" s="3996"/>
      <c r="C214" s="3996"/>
      <c r="D214" s="3996"/>
      <c r="E214" s="3996"/>
      <c r="F214" s="3996"/>
      <c r="G214" s="3996"/>
      <c r="H214" s="3996"/>
      <c r="I214" s="3996"/>
      <c r="J214" s="3996"/>
      <c r="K214" s="3996"/>
      <c r="L214" s="3996"/>
      <c r="M214" s="3996"/>
      <c r="N214" s="3996"/>
      <c r="O214" s="3996"/>
      <c r="P214" s="3996"/>
      <c r="Q214" s="3997"/>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3999"/>
      <c r="B216" s="4000"/>
      <c r="C216" s="4000"/>
      <c r="D216" s="4000"/>
      <c r="E216" s="4000"/>
      <c r="F216" s="4000"/>
      <c r="G216" s="4000"/>
      <c r="H216" s="4000"/>
      <c r="I216" s="4000"/>
      <c r="J216" s="4000"/>
      <c r="K216" s="4000"/>
      <c r="L216" s="4000"/>
      <c r="M216" s="4000"/>
      <c r="N216" s="4000"/>
      <c r="O216" s="4000"/>
      <c r="P216" s="4000"/>
      <c r="Q216" s="4001"/>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5" customHeight="1">
      <c r="A217" s="1931" t="s">
        <v>2497</v>
      </c>
      <c r="B217" s="1931" t="s">
        <v>6119</v>
      </c>
      <c r="C217" s="40"/>
      <c r="D217" s="1932"/>
      <c r="E217" s="1932"/>
      <c r="F217" s="1932"/>
      <c r="G217" s="1932"/>
      <c r="H217" s="1932"/>
      <c r="I217" s="1932"/>
      <c r="J217" s="1932"/>
      <c r="K217" s="2659" t="s">
        <v>6745</v>
      </c>
      <c r="L217" s="1690" t="str">
        <f>'Part I-Project Identification'!$P$29</f>
        <v>No</v>
      </c>
      <c r="M217" s="1932"/>
      <c r="O217" s="132" t="s">
        <v>1731</v>
      </c>
      <c r="P217" s="4016"/>
      <c r="Q217" s="4005"/>
    </row>
    <row r="218" spans="1:44" ht="11.25" customHeight="1">
      <c r="A218" s="142" t="s">
        <v>1842</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002"/>
      <c r="C220" s="4003"/>
      <c r="D220" s="4003"/>
      <c r="E220" s="4003"/>
      <c r="F220" s="4003"/>
      <c r="G220" s="4003"/>
      <c r="H220" s="4003"/>
      <c r="I220" s="4003"/>
      <c r="J220" s="2667"/>
      <c r="K220" s="4002"/>
      <c r="L220" s="4003"/>
      <c r="M220" s="4003"/>
      <c r="N220" s="4003"/>
      <c r="O220" s="4003"/>
      <c r="P220" s="4003"/>
      <c r="Q220" s="2667"/>
      <c r="AE220" s="481"/>
      <c r="AF220" s="481"/>
    </row>
    <row r="221" spans="1:44" s="133" customFormat="1" ht="11.25" customHeight="1">
      <c r="A221" s="142"/>
      <c r="B221" s="3404"/>
      <c r="C221" s="3405"/>
      <c r="D221" s="3405"/>
      <c r="E221" s="3405"/>
      <c r="F221" s="3405"/>
      <c r="G221" s="3405"/>
      <c r="H221" s="3405"/>
      <c r="I221" s="3405"/>
      <c r="J221" s="2668"/>
      <c r="K221" s="3404"/>
      <c r="L221" s="3405"/>
      <c r="M221" s="3405"/>
      <c r="N221" s="3405"/>
      <c r="O221" s="3405"/>
      <c r="P221" s="3405"/>
      <c r="Q221" s="2668"/>
      <c r="AE221" s="481"/>
      <c r="AF221" s="481"/>
    </row>
    <row r="222" spans="1:44" s="133" customFormat="1" ht="11.25" customHeight="1">
      <c r="A222" s="142"/>
      <c r="B222" s="3404"/>
      <c r="C222" s="3405"/>
      <c r="D222" s="3405"/>
      <c r="E222" s="3405"/>
      <c r="F222" s="3405"/>
      <c r="G222" s="3405"/>
      <c r="H222" s="3405"/>
      <c r="I222" s="3405"/>
      <c r="J222" s="2668"/>
      <c r="K222" s="3404"/>
      <c r="L222" s="3405"/>
      <c r="M222" s="3405"/>
      <c r="N222" s="3405"/>
      <c r="O222" s="3405"/>
      <c r="P222" s="3405"/>
      <c r="Q222" s="2668"/>
      <c r="AE222" s="481"/>
      <c r="AF222" s="481"/>
    </row>
    <row r="223" spans="1:44" s="133" customFormat="1" ht="11.25" customHeight="1">
      <c r="A223" s="142"/>
      <c r="B223" s="3404"/>
      <c r="C223" s="3405"/>
      <c r="D223" s="3405"/>
      <c r="E223" s="3405"/>
      <c r="F223" s="3405"/>
      <c r="G223" s="3405"/>
      <c r="H223" s="3405"/>
      <c r="I223" s="3405"/>
      <c r="J223" s="2668"/>
      <c r="K223" s="3404"/>
      <c r="L223" s="3405"/>
      <c r="M223" s="3405"/>
      <c r="N223" s="3405"/>
      <c r="O223" s="3405"/>
      <c r="P223" s="3405"/>
      <c r="Q223" s="2668"/>
      <c r="AE223" s="481"/>
      <c r="AF223" s="481"/>
    </row>
    <row r="224" spans="1:44" s="133" customFormat="1" ht="11.25" customHeight="1">
      <c r="A224" s="142"/>
      <c r="B224" s="3404"/>
      <c r="C224" s="3405"/>
      <c r="D224" s="3405"/>
      <c r="E224" s="3405"/>
      <c r="F224" s="3405"/>
      <c r="G224" s="3405"/>
      <c r="H224" s="3405"/>
      <c r="I224" s="3405"/>
      <c r="J224" s="2668"/>
      <c r="K224" s="3404"/>
      <c r="L224" s="3405"/>
      <c r="M224" s="3405"/>
      <c r="N224" s="3405"/>
      <c r="O224" s="3405"/>
      <c r="P224" s="3405"/>
      <c r="Q224" s="2668"/>
      <c r="AE224" s="481"/>
      <c r="AF224" s="481"/>
    </row>
    <row r="225" spans="1:44" s="133" customFormat="1" ht="11.25" customHeight="1">
      <c r="A225" s="142"/>
      <c r="B225" s="3404"/>
      <c r="C225" s="3405"/>
      <c r="D225" s="3405"/>
      <c r="E225" s="3405"/>
      <c r="F225" s="3405"/>
      <c r="G225" s="3405"/>
      <c r="H225" s="3405"/>
      <c r="I225" s="3405"/>
      <c r="J225" s="2668"/>
      <c r="K225" s="3404"/>
      <c r="L225" s="3405"/>
      <c r="M225" s="3405"/>
      <c r="N225" s="3405"/>
      <c r="O225" s="3405"/>
      <c r="P225" s="3405"/>
      <c r="Q225" s="2668"/>
      <c r="AE225" s="481"/>
      <c r="AF225" s="481"/>
    </row>
    <row r="226" spans="1:44" s="133" customFormat="1" ht="11.25" customHeight="1">
      <c r="A226" s="142"/>
      <c r="B226" s="3404"/>
      <c r="C226" s="3405"/>
      <c r="D226" s="3405"/>
      <c r="E226" s="3405"/>
      <c r="F226" s="3405"/>
      <c r="G226" s="3405"/>
      <c r="H226" s="3405"/>
      <c r="I226" s="3405"/>
      <c r="J226" s="2668"/>
      <c r="K226" s="3404"/>
      <c r="L226" s="3405"/>
      <c r="M226" s="3405"/>
      <c r="N226" s="3405"/>
      <c r="O226" s="3405"/>
      <c r="P226" s="3405"/>
      <c r="Q226" s="2668"/>
      <c r="AE226" s="481"/>
      <c r="AF226" s="481"/>
    </row>
    <row r="227" spans="1:44" s="133" customFormat="1" ht="11.25" customHeight="1">
      <c r="B227" s="3443"/>
      <c r="C227" s="3444"/>
      <c r="D227" s="3444"/>
      <c r="E227" s="3444"/>
      <c r="F227" s="3444"/>
      <c r="G227" s="3444"/>
      <c r="H227" s="3444"/>
      <c r="I227" s="3444"/>
      <c r="J227" s="2669"/>
      <c r="K227" s="3443"/>
      <c r="L227" s="3444"/>
      <c r="M227" s="3444"/>
      <c r="N227" s="3444"/>
      <c r="O227" s="3444"/>
      <c r="P227" s="3444"/>
      <c r="Q227" s="2669"/>
      <c r="AE227" s="481"/>
      <c r="AF227" s="481"/>
    </row>
    <row r="228" spans="1:44" ht="12" customHeight="1">
      <c r="A228" s="142" t="s">
        <v>1844</v>
      </c>
      <c r="B228" s="1958" t="s">
        <v>6125</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3998" t="s">
        <v>6121</v>
      </c>
      <c r="C229" s="3998"/>
      <c r="D229" s="3998"/>
      <c r="E229" s="3998"/>
      <c r="F229" s="3998"/>
      <c r="G229" s="3998"/>
      <c r="H229" s="3998"/>
      <c r="I229" s="3998"/>
      <c r="J229" s="3998"/>
      <c r="K229" s="3998"/>
      <c r="L229" s="3998"/>
      <c r="M229" s="3998"/>
      <c r="N229" s="3998"/>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6120</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3995" t="s">
        <v>907</v>
      </c>
      <c r="B232" s="3996"/>
      <c r="C232" s="3996"/>
      <c r="D232" s="3996"/>
      <c r="E232" s="3996"/>
      <c r="F232" s="3996"/>
      <c r="G232" s="3996"/>
      <c r="H232" s="3996"/>
      <c r="I232" s="3996"/>
      <c r="J232" s="3996"/>
      <c r="K232" s="3996"/>
      <c r="L232" s="3996"/>
      <c r="M232" s="3996"/>
      <c r="N232" s="3996"/>
      <c r="O232" s="3996"/>
      <c r="P232" s="3996"/>
      <c r="Q232" s="3997"/>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3999"/>
      <c r="B234" s="4000"/>
      <c r="C234" s="4000"/>
      <c r="D234" s="4000"/>
      <c r="E234" s="4000"/>
      <c r="F234" s="4000"/>
      <c r="G234" s="4000"/>
      <c r="H234" s="4000"/>
      <c r="I234" s="4000"/>
      <c r="J234" s="4000"/>
      <c r="K234" s="4000"/>
      <c r="L234" s="4000"/>
      <c r="M234" s="4000"/>
      <c r="N234" s="4000"/>
      <c r="O234" s="4000"/>
      <c r="P234" s="4000"/>
      <c r="Q234" s="4001"/>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5" customHeight="1">
      <c r="A236" s="1931" t="s">
        <v>2081</v>
      </c>
      <c r="B236" s="4" t="s">
        <v>3955</v>
      </c>
      <c r="C236" s="4"/>
      <c r="D236" s="87"/>
      <c r="E236" s="87"/>
      <c r="F236" s="87"/>
      <c r="G236" s="87"/>
      <c r="H236" s="1133"/>
      <c r="I236" s="1133"/>
      <c r="J236" s="1133"/>
      <c r="K236" s="1133"/>
      <c r="L236" s="1596"/>
      <c r="M236" s="1597"/>
      <c r="O236" s="132" t="s">
        <v>1731</v>
      </c>
      <c r="P236" s="4016"/>
      <c r="Q236" s="4005"/>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5" customHeight="1">
      <c r="A238" s="47" t="s">
        <v>1842</v>
      </c>
      <c r="B238" s="52" t="s">
        <v>1193</v>
      </c>
      <c r="D238" s="42"/>
      <c r="E238" s="52"/>
      <c r="F238" s="52"/>
      <c r="J238" s="478" t="s">
        <v>1842</v>
      </c>
      <c r="K238" s="4061" t="s">
        <v>1647</v>
      </c>
      <c r="L238" s="4062"/>
      <c r="M238" s="4062"/>
      <c r="N238" s="4062"/>
      <c r="O238" s="4063"/>
      <c r="P238" s="4059" t="s">
        <v>1647</v>
      </c>
      <c r="Q238" s="4060"/>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89" t="s">
        <v>6202</v>
      </c>
      <c r="C239" s="4089"/>
      <c r="D239" s="4089"/>
      <c r="E239" s="4089"/>
      <c r="F239" s="4089"/>
      <c r="G239" s="4089"/>
      <c r="H239" s="4089"/>
      <c r="I239" s="4089"/>
      <c r="J239" s="4089"/>
      <c r="K239" s="4089"/>
      <c r="L239" s="4089"/>
      <c r="M239" s="4089"/>
      <c r="N239" s="4089"/>
      <c r="O239" s="4066"/>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07"/>
      <c r="L240" s="4108"/>
      <c r="M240" s="4108"/>
      <c r="N240" s="4108"/>
      <c r="O240" s="4109"/>
      <c r="P240" s="4103"/>
      <c r="Q240" s="4104"/>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06"/>
      <c r="L241" s="4007"/>
      <c r="M241" s="4007"/>
      <c r="N241" s="4007"/>
      <c r="O241" s="4008"/>
      <c r="P241" s="4105"/>
      <c r="Q241" s="4106"/>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3998" t="s">
        <v>6213</v>
      </c>
      <c r="D243" s="3998"/>
      <c r="E243" s="3998"/>
      <c r="F243" s="3998"/>
      <c r="G243" s="3998"/>
      <c r="H243" s="3998"/>
      <c r="I243" s="3998"/>
      <c r="J243" s="3998"/>
      <c r="K243" s="3998"/>
      <c r="L243" s="3998"/>
      <c r="M243" s="3998"/>
      <c r="N243" s="3998"/>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3998" t="s">
        <v>6214</v>
      </c>
      <c r="D244" s="3998"/>
      <c r="E244" s="3998"/>
      <c r="F244" s="3998"/>
      <c r="G244" s="3998"/>
      <c r="H244" s="3998"/>
      <c r="I244" s="3998"/>
      <c r="J244" s="3998"/>
      <c r="K244" s="3998"/>
      <c r="L244" s="3998"/>
      <c r="M244" s="3998"/>
      <c r="N244" s="3998"/>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0" t="s">
        <v>3246</v>
      </c>
      <c r="C246" s="4160"/>
      <c r="D246" s="4160"/>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0"/>
      <c r="C247" s="4160"/>
      <c r="D247" s="4160"/>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0"/>
      <c r="C248" s="4160"/>
      <c r="D248" s="4160"/>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0"/>
      <c r="C249" s="4160"/>
      <c r="D249" s="4160"/>
      <c r="E249" s="55" t="s">
        <v>3387</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3998" t="s">
        <v>6507</v>
      </c>
      <c r="F250" s="3998"/>
      <c r="G250" s="3998"/>
      <c r="H250" s="3998"/>
      <c r="I250" s="3998"/>
      <c r="J250" s="3998"/>
      <c r="K250" s="3998"/>
      <c r="L250" s="3998"/>
      <c r="M250" s="3998"/>
      <c r="N250" s="3998"/>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3995" t="s">
        <v>907</v>
      </c>
      <c r="B252" s="3996"/>
      <c r="C252" s="3996"/>
      <c r="D252" s="3996"/>
      <c r="E252" s="3996"/>
      <c r="F252" s="3996"/>
      <c r="G252" s="3996"/>
      <c r="H252" s="3996"/>
      <c r="I252" s="3996"/>
      <c r="J252" s="3996"/>
      <c r="K252" s="3996"/>
      <c r="L252" s="3996"/>
      <c r="M252" s="3996"/>
      <c r="N252" s="3996"/>
      <c r="O252" s="3996"/>
      <c r="P252" s="3996"/>
      <c r="Q252" s="3997"/>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3999"/>
      <c r="B254" s="4000"/>
      <c r="C254" s="4000"/>
      <c r="D254" s="4000"/>
      <c r="E254" s="4000"/>
      <c r="F254" s="4000"/>
      <c r="G254" s="4000"/>
      <c r="H254" s="4000"/>
      <c r="I254" s="4000"/>
      <c r="J254" s="4000"/>
      <c r="K254" s="4000"/>
      <c r="L254" s="4000"/>
      <c r="M254" s="4000"/>
      <c r="N254" s="4000"/>
      <c r="O254" s="4000"/>
      <c r="P254" s="4000"/>
      <c r="Q254" s="4001"/>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5" customHeight="1">
      <c r="A256" s="1931" t="s">
        <v>3372</v>
      </c>
      <c r="B256" s="4" t="s">
        <v>2432</v>
      </c>
      <c r="C256" s="4"/>
      <c r="D256" s="87"/>
      <c r="E256" s="87"/>
      <c r="F256" s="87"/>
      <c r="G256" s="87"/>
      <c r="H256" s="1133"/>
      <c r="I256" s="1133"/>
      <c r="J256" s="1133"/>
      <c r="K256" s="1133"/>
      <c r="L256" s="1133"/>
      <c r="M256" s="1133"/>
      <c r="O256" s="132" t="s">
        <v>1731</v>
      </c>
      <c r="P256" s="4016"/>
      <c r="Q256" s="4005"/>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3998" t="s">
        <v>4034</v>
      </c>
      <c r="D257" s="3998"/>
      <c r="E257" s="3998"/>
      <c r="F257" s="3998"/>
      <c r="G257" s="3998"/>
      <c r="H257" s="3998"/>
      <c r="I257" s="3998"/>
      <c r="J257" s="3998"/>
      <c r="K257" s="3998"/>
      <c r="L257" s="3998"/>
      <c r="M257" s="3998"/>
      <c r="N257" s="3998"/>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3998" t="s">
        <v>4060</v>
      </c>
      <c r="D260" s="3998"/>
      <c r="E260" s="3998"/>
      <c r="F260" s="3998"/>
      <c r="G260" s="3998"/>
      <c r="H260" s="3998"/>
      <c r="I260" s="3998"/>
      <c r="J260" s="3998"/>
      <c r="K260" s="3998"/>
      <c r="L260" s="3998"/>
      <c r="M260" s="3998"/>
      <c r="N260" s="3998"/>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3998" t="s">
        <v>6126</v>
      </c>
      <c r="C262" s="3998"/>
      <c r="D262" s="3998"/>
      <c r="E262" s="3998"/>
      <c r="F262" s="3998"/>
      <c r="G262" s="3998"/>
      <c r="H262" s="3998"/>
      <c r="I262" s="3998"/>
      <c r="J262" s="3998"/>
      <c r="K262" s="3998"/>
      <c r="L262" s="3998"/>
      <c r="M262" s="3998"/>
      <c r="N262" s="3998"/>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4" customHeight="1">
      <c r="A264" s="3995" t="s">
        <v>6950</v>
      </c>
      <c r="B264" s="3996"/>
      <c r="C264" s="3996"/>
      <c r="D264" s="3996"/>
      <c r="E264" s="3996"/>
      <c r="F264" s="3996"/>
      <c r="G264" s="3996"/>
      <c r="H264" s="3996"/>
      <c r="I264" s="3996"/>
      <c r="J264" s="3996"/>
      <c r="K264" s="3996"/>
      <c r="L264" s="3996"/>
      <c r="M264" s="3996"/>
      <c r="N264" s="3996"/>
      <c r="O264" s="3996"/>
      <c r="P264" s="3996"/>
      <c r="Q264" s="3997"/>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4" customHeight="1">
      <c r="A266" s="3999"/>
      <c r="B266" s="4000"/>
      <c r="C266" s="4000"/>
      <c r="D266" s="4000"/>
      <c r="E266" s="4000"/>
      <c r="F266" s="4000"/>
      <c r="G266" s="4000"/>
      <c r="H266" s="4000"/>
      <c r="I266" s="4000"/>
      <c r="J266" s="4000"/>
      <c r="K266" s="4000"/>
      <c r="L266" s="4000"/>
      <c r="M266" s="4000"/>
      <c r="N266" s="4000"/>
      <c r="O266" s="4000"/>
      <c r="P266" s="4000"/>
      <c r="Q266" s="4001"/>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5" customHeight="1">
      <c r="A268" s="1931" t="s">
        <v>3373</v>
      </c>
      <c r="B268" s="1138" t="s">
        <v>2433</v>
      </c>
      <c r="C268" s="1138"/>
      <c r="D268" s="1133"/>
      <c r="E268" s="1133"/>
      <c r="F268" s="1133"/>
      <c r="G268" s="1133"/>
      <c r="H268" s="1133"/>
      <c r="I268" s="1133"/>
      <c r="J268" s="1133"/>
      <c r="K268" s="1133"/>
      <c r="L268" s="1133"/>
      <c r="M268" s="1133"/>
      <c r="O268" s="132" t="s">
        <v>1731</v>
      </c>
      <c r="P268" s="4016"/>
      <c r="Q268" s="4005"/>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5" customHeight="1">
      <c r="B269" s="55" t="s">
        <v>6201</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5" customHeight="1">
      <c r="A270" s="47" t="s">
        <v>1842</v>
      </c>
      <c r="B270" s="190" t="s">
        <v>6205</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3998" t="s">
        <v>3851</v>
      </c>
      <c r="D271" s="3998"/>
      <c r="E271" s="3998"/>
      <c r="F271" s="3998"/>
      <c r="G271" s="3998"/>
      <c r="H271" s="3998"/>
      <c r="I271" s="3998"/>
      <c r="J271" s="3998"/>
      <c r="K271" s="3998"/>
      <c r="L271" s="3998"/>
      <c r="M271" s="3998"/>
      <c r="N271" s="3998"/>
      <c r="O271" s="1778" t="s">
        <v>1615</v>
      </c>
      <c r="P271" s="1158" t="s">
        <v>6930</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3998" t="s">
        <v>2509</v>
      </c>
      <c r="D272" s="3998"/>
      <c r="E272" s="3998"/>
      <c r="F272" s="3998"/>
      <c r="G272" s="3998"/>
      <c r="H272" s="3998"/>
      <c r="I272" s="3998"/>
      <c r="J272" s="3998"/>
      <c r="K272" s="3998"/>
      <c r="L272" s="3998"/>
      <c r="M272" s="3998"/>
      <c r="N272" s="3998"/>
      <c r="O272" s="1778" t="s">
        <v>1616</v>
      </c>
      <c r="P272" s="1162" t="s">
        <v>6930</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1" t="s">
        <v>3336</v>
      </c>
      <c r="M273" s="4162"/>
      <c r="N273" s="4162"/>
      <c r="O273" s="4162"/>
      <c r="P273" s="4163"/>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5"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5" customHeight="1">
      <c r="A275" s="139"/>
      <c r="B275" s="135" t="s">
        <v>6206</v>
      </c>
      <c r="C275" s="160"/>
      <c r="D275" s="586"/>
      <c r="E275" s="586"/>
      <c r="F275" s="160"/>
      <c r="H275" s="160"/>
      <c r="I275" s="160"/>
      <c r="N275" s="2377" t="s">
        <v>6207</v>
      </c>
      <c r="O275" s="478" t="s">
        <v>698</v>
      </c>
      <c r="P275" s="1160" t="s">
        <v>6930</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3995" t="s">
        <v>6939</v>
      </c>
      <c r="B277" s="3996"/>
      <c r="C277" s="3996"/>
      <c r="D277" s="3996"/>
      <c r="E277" s="3996"/>
      <c r="F277" s="3996"/>
      <c r="G277" s="3996"/>
      <c r="H277" s="3996"/>
      <c r="I277" s="3996"/>
      <c r="J277" s="3996"/>
      <c r="K277" s="3996"/>
      <c r="L277" s="3996"/>
      <c r="M277" s="3996"/>
      <c r="N277" s="3996"/>
      <c r="O277" s="3996"/>
      <c r="P277" s="3996"/>
      <c r="Q277" s="3997"/>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3999"/>
      <c r="B279" s="4000"/>
      <c r="C279" s="4000"/>
      <c r="D279" s="4000"/>
      <c r="E279" s="4000"/>
      <c r="F279" s="4000"/>
      <c r="G279" s="4000"/>
      <c r="H279" s="4000"/>
      <c r="I279" s="4000"/>
      <c r="J279" s="4000"/>
      <c r="K279" s="4000"/>
      <c r="L279" s="4000"/>
      <c r="M279" s="4000"/>
      <c r="N279" s="4000"/>
      <c r="O279" s="4000"/>
      <c r="P279" s="4000"/>
      <c r="Q279" s="4001"/>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5" customHeight="1">
      <c r="A281" s="1931" t="s">
        <v>3371</v>
      </c>
      <c r="B281" s="1138" t="s">
        <v>2434</v>
      </c>
      <c r="C281" s="149"/>
      <c r="D281" s="1136"/>
      <c r="E281" s="1133"/>
      <c r="F281" s="1133"/>
      <c r="G281" s="1133"/>
      <c r="H281" s="1133"/>
      <c r="I281" s="1133"/>
      <c r="J281" s="1133"/>
      <c r="K281" s="1133"/>
      <c r="L281" s="1133"/>
      <c r="M281" s="1133"/>
      <c r="O281" s="132" t="s">
        <v>1731</v>
      </c>
      <c r="P281" s="4016"/>
      <c r="Q281" s="4005"/>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5" customHeight="1">
      <c r="B282" s="55" t="s">
        <v>6201</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3998" t="s">
        <v>6664</v>
      </c>
      <c r="D284" s="3998"/>
      <c r="E284" s="3998"/>
      <c r="F284" s="3998"/>
      <c r="G284" s="3998"/>
      <c r="H284" s="3998"/>
      <c r="I284" s="3998"/>
      <c r="J284" s="3998"/>
      <c r="K284" s="3998"/>
      <c r="L284" s="3998"/>
      <c r="M284" s="3998"/>
      <c r="N284" s="3998"/>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3998" t="s">
        <v>6665</v>
      </c>
      <c r="D285" s="3998"/>
      <c r="E285" s="3998"/>
      <c r="F285" s="3998"/>
      <c r="G285" s="3998"/>
      <c r="H285" s="3998"/>
      <c r="I285" s="3998"/>
      <c r="J285" s="3998"/>
      <c r="K285" s="3998"/>
      <c r="L285" s="3998"/>
      <c r="M285" s="3998"/>
      <c r="N285" s="3998"/>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3998" t="s">
        <v>6208</v>
      </c>
      <c r="D286" s="3998"/>
      <c r="E286" s="3998"/>
      <c r="F286" s="3998"/>
      <c r="G286" s="3998"/>
      <c r="H286" s="3998"/>
      <c r="I286" s="3998"/>
      <c r="J286" s="3998"/>
      <c r="K286" s="3998"/>
      <c r="L286" s="3998"/>
      <c r="M286" s="3998"/>
      <c r="N286" s="3998"/>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3998" t="s">
        <v>6211</v>
      </c>
      <c r="E288" s="3998"/>
      <c r="F288" s="3998"/>
      <c r="G288" s="3998"/>
      <c r="H288" s="3998"/>
      <c r="I288" s="140"/>
      <c r="J288" s="4057" t="s">
        <v>3267</v>
      </c>
      <c r="K288" s="4164"/>
      <c r="L288" s="4164"/>
      <c r="M288" s="4070" t="s">
        <v>3248</v>
      </c>
      <c r="N288" s="4070"/>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3998"/>
      <c r="E289" s="3998"/>
      <c r="F289" s="3998"/>
      <c r="G289" s="3998"/>
      <c r="H289" s="3998"/>
      <c r="I289" s="1130"/>
      <c r="J289" s="4164"/>
      <c r="K289" s="4164"/>
      <c r="L289" s="4164"/>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4" customHeight="1">
      <c r="A290" s="327"/>
      <c r="B290" s="1535"/>
      <c r="D290" s="3998"/>
      <c r="E290" s="3998"/>
      <c r="F290" s="3998"/>
      <c r="G290" s="3998"/>
      <c r="H290" s="3998"/>
      <c r="I290" s="52" t="s">
        <v>3389</v>
      </c>
      <c r="K290" s="2066">
        <v>3</v>
      </c>
      <c r="L290" s="1001" t="str">
        <f>IF(K290&lt;M290,"Check!!!","")</f>
        <v/>
      </c>
      <c r="M290" s="2068">
        <f>ROUNDUP('Part V-Revenues &amp; Expenses'!$P$67*'Part VII-Threshold Criteria'!N290,0)</f>
        <v>3</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3998" t="s">
        <v>6212</v>
      </c>
      <c r="E291" s="3998"/>
      <c r="F291" s="3998"/>
      <c r="G291" s="3998"/>
      <c r="H291" s="3998"/>
      <c r="I291" s="869" t="s">
        <v>3390</v>
      </c>
      <c r="J291" s="315"/>
      <c r="K291" s="2067">
        <v>2</v>
      </c>
      <c r="L291" s="1001" t="str">
        <f>IF(K291&lt;M291,"Check!!!","")</f>
        <v/>
      </c>
      <c r="M291" s="2069">
        <f>ROUNDUP(K290*'Part VII-Threshold Criteria'!N291,0)</f>
        <v>2</v>
      </c>
      <c r="N291" s="1524">
        <f>'DCA Underwriting Assumptions'!$Q$118</f>
        <v>0.4</v>
      </c>
      <c r="O291" s="478" t="s">
        <v>1965</v>
      </c>
      <c r="P291" s="4167" t="s">
        <v>2651</v>
      </c>
      <c r="Q291" s="4165"/>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3998"/>
      <c r="E292" s="3998"/>
      <c r="F292" s="3998"/>
      <c r="G292" s="3998"/>
      <c r="H292" s="3998"/>
      <c r="O292" s="40"/>
      <c r="P292" s="4168"/>
      <c r="Q292" s="4166"/>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3998" t="s">
        <v>6746</v>
      </c>
      <c r="D293" s="3998"/>
      <c r="E293" s="3998"/>
      <c r="F293" s="3998"/>
      <c r="G293" s="3998"/>
      <c r="H293" s="3998"/>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3998"/>
      <c r="D294" s="3998"/>
      <c r="E294" s="3998"/>
      <c r="F294" s="3998"/>
      <c r="G294" s="3998"/>
      <c r="H294" s="3998"/>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3998"/>
      <c r="D295" s="3998"/>
      <c r="E295" s="3998"/>
      <c r="F295" s="3998"/>
      <c r="G295" s="3998"/>
      <c r="H295" s="3998"/>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89" t="s">
        <v>6724</v>
      </c>
      <c r="C297" s="4089"/>
      <c r="D297" s="4089"/>
      <c r="E297" s="4089"/>
      <c r="F297" s="4089"/>
      <c r="G297" s="4089"/>
      <c r="H297" s="4089"/>
      <c r="I297" s="4089"/>
      <c r="J297" s="4089"/>
      <c r="K297" s="4089"/>
      <c r="L297" s="4089"/>
      <c r="M297" s="4089"/>
      <c r="N297" s="4089"/>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125" t="s">
        <v>2854</v>
      </c>
      <c r="M298" s="4126"/>
      <c r="N298" s="4126"/>
      <c r="O298" s="4126"/>
      <c r="P298" s="4126"/>
      <c r="Q298" s="4127"/>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3998" t="s">
        <v>6666</v>
      </c>
      <c r="D299" s="3998"/>
      <c r="E299" s="3998"/>
      <c r="F299" s="3998"/>
      <c r="G299" s="3998"/>
      <c r="H299" s="3998"/>
      <c r="I299" s="3998"/>
      <c r="J299" s="3998"/>
      <c r="K299" s="3998"/>
      <c r="L299" s="3998"/>
      <c r="M299" s="3998"/>
      <c r="N299" s="3998"/>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3998" t="s">
        <v>3837</v>
      </c>
      <c r="D300" s="3998"/>
      <c r="E300" s="3998"/>
      <c r="F300" s="3998"/>
      <c r="G300" s="3998"/>
      <c r="H300" s="3998"/>
      <c r="I300" s="3998"/>
      <c r="J300" s="3998"/>
      <c r="K300" s="3998"/>
      <c r="L300" s="3998"/>
      <c r="M300" s="3998"/>
      <c r="N300" s="3998"/>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3998" t="s">
        <v>3171</v>
      </c>
      <c r="D301" s="3998"/>
      <c r="E301" s="3998"/>
      <c r="F301" s="3998"/>
      <c r="G301" s="3998"/>
      <c r="H301" s="3998"/>
      <c r="I301" s="3998"/>
      <c r="J301" s="3998"/>
      <c r="K301" s="3998"/>
      <c r="L301" s="3998"/>
      <c r="M301" s="3998"/>
      <c r="N301" s="3998"/>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3998" t="s">
        <v>3172</v>
      </c>
      <c r="D302" s="3998"/>
      <c r="E302" s="3998"/>
      <c r="F302" s="3998"/>
      <c r="G302" s="3998"/>
      <c r="H302" s="3998"/>
      <c r="I302" s="3998"/>
      <c r="J302" s="3998"/>
      <c r="K302" s="3998"/>
      <c r="L302" s="3998"/>
      <c r="M302" s="3998"/>
      <c r="N302" s="3998"/>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3995" t="s">
        <v>6938</v>
      </c>
      <c r="B304" s="3996"/>
      <c r="C304" s="3996"/>
      <c r="D304" s="3996"/>
      <c r="E304" s="3996"/>
      <c r="F304" s="3996"/>
      <c r="G304" s="3996"/>
      <c r="H304" s="3996"/>
      <c r="I304" s="3996"/>
      <c r="J304" s="3996"/>
      <c r="K304" s="3996"/>
      <c r="L304" s="3996"/>
      <c r="M304" s="3996"/>
      <c r="N304" s="3996"/>
      <c r="O304" s="3996"/>
      <c r="P304" s="3996"/>
      <c r="Q304" s="3997"/>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69"/>
      <c r="B306" s="4170"/>
      <c r="C306" s="4170"/>
      <c r="D306" s="4170"/>
      <c r="E306" s="4170"/>
      <c r="F306" s="4170"/>
      <c r="G306" s="4170"/>
      <c r="H306" s="4170"/>
      <c r="I306" s="4170"/>
      <c r="J306" s="4170"/>
      <c r="K306" s="4170"/>
      <c r="L306" s="4170"/>
      <c r="M306" s="4170"/>
      <c r="N306" s="4170"/>
      <c r="O306" s="4170"/>
      <c r="P306" s="4170"/>
      <c r="Q306" s="4171"/>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5" customHeight="1">
      <c r="A307" s="1931" t="s">
        <v>3374</v>
      </c>
      <c r="B307" s="10" t="s">
        <v>2435</v>
      </c>
      <c r="C307" s="10"/>
      <c r="D307" s="10"/>
      <c r="E307" s="10"/>
      <c r="F307" s="10"/>
      <c r="G307" s="10"/>
      <c r="H307" s="1133"/>
      <c r="I307" s="1133"/>
      <c r="J307" s="1133"/>
      <c r="K307" s="1133"/>
      <c r="L307" s="1133"/>
      <c r="M307" s="1133"/>
      <c r="O307" s="132" t="s">
        <v>1731</v>
      </c>
      <c r="P307" s="4064"/>
      <c r="Q307" s="4065"/>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5" customHeight="1">
      <c r="A310" s="2058"/>
      <c r="B310" s="2059" t="s">
        <v>3791</v>
      </c>
      <c r="E310" s="2059"/>
      <c r="F310" s="2059"/>
      <c r="G310" s="2059"/>
      <c r="H310" s="2059"/>
      <c r="I310" s="2060"/>
      <c r="J310" s="2056"/>
      <c r="K310" s="4061" t="s">
        <v>6990</v>
      </c>
      <c r="L310" s="4062"/>
      <c r="M310" s="4062"/>
      <c r="N310" s="4063"/>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5" customHeight="1">
      <c r="A311" s="142" t="s">
        <v>1842</v>
      </c>
      <c r="B311" s="194" t="s">
        <v>6677</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3998" t="s">
        <v>6676</v>
      </c>
      <c r="C312" s="3998"/>
      <c r="D312" s="3998"/>
      <c r="E312" s="3998"/>
      <c r="F312" s="3998"/>
      <c r="G312" s="3998"/>
      <c r="H312" s="3998"/>
      <c r="I312" s="3998"/>
      <c r="J312" s="3998"/>
      <c r="K312" s="3998"/>
      <c r="L312" s="3998"/>
      <c r="M312" s="3998"/>
      <c r="N312" s="3998"/>
      <c r="O312" s="163" t="s">
        <v>1842</v>
      </c>
      <c r="P312" s="162"/>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5"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15" t="s">
        <v>6312</v>
      </c>
      <c r="H314" s="4116"/>
      <c r="I314" s="4116"/>
      <c r="J314" s="4116"/>
      <c r="K314" s="4116"/>
      <c r="L314" s="4116"/>
      <c r="M314" s="4116"/>
      <c r="N314" s="4117"/>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3998" t="s">
        <v>1067</v>
      </c>
      <c r="D315" s="3998"/>
      <c r="E315" s="3998"/>
      <c r="F315" s="4066"/>
      <c r="G315" s="3443" t="s">
        <v>6209</v>
      </c>
      <c r="H315" s="4110"/>
      <c r="I315" s="4110"/>
      <c r="J315" s="4110"/>
      <c r="K315" s="4110"/>
      <c r="L315" s="4110"/>
      <c r="M315" s="4110"/>
      <c r="N315" s="4111"/>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159" t="s">
        <v>6128</v>
      </c>
      <c r="H317" s="4159"/>
      <c r="I317" s="4159"/>
      <c r="J317" s="4159"/>
      <c r="K317" s="4159"/>
      <c r="L317" s="4159"/>
      <c r="M317" s="4159"/>
      <c r="N317" s="4159"/>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22"/>
      <c r="D318" s="4123"/>
      <c r="E318" s="4123"/>
      <c r="F318" s="4123"/>
      <c r="G318" s="4123"/>
      <c r="H318" s="4123"/>
      <c r="I318" s="4123"/>
      <c r="J318" s="4123"/>
      <c r="K318" s="4123"/>
      <c r="L318" s="4123"/>
      <c r="M318" s="4123"/>
      <c r="N318" s="4124"/>
      <c r="O318" s="229" t="s">
        <v>6308</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47"/>
      <c r="D319" s="4048"/>
      <c r="E319" s="4048"/>
      <c r="F319" s="4048"/>
      <c r="G319" s="4048"/>
      <c r="H319" s="4048"/>
      <c r="I319" s="4048"/>
      <c r="J319" s="4048"/>
      <c r="K319" s="4048"/>
      <c r="L319" s="4048"/>
      <c r="M319" s="4048"/>
      <c r="N319" s="4049"/>
      <c r="O319" s="229" t="s">
        <v>6309</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89" t="s">
        <v>6129</v>
      </c>
      <c r="C320" s="4089"/>
      <c r="D320" s="4089"/>
      <c r="E320" s="4089"/>
      <c r="F320" s="4089"/>
      <c r="G320" s="4089"/>
      <c r="H320" s="4089"/>
      <c r="I320" s="4089"/>
      <c r="J320" s="4089"/>
      <c r="K320" s="4089"/>
      <c r="L320" s="4089"/>
      <c r="M320" s="4089"/>
      <c r="N320" s="4089"/>
      <c r="O320" s="163" t="s">
        <v>1963</v>
      </c>
      <c r="P320" s="1937" t="s">
        <v>6930</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5" customHeight="1">
      <c r="A323" s="3995" t="s">
        <v>6936</v>
      </c>
      <c r="B323" s="3996"/>
      <c r="C323" s="3996"/>
      <c r="D323" s="3996"/>
      <c r="E323" s="3996"/>
      <c r="F323" s="3996"/>
      <c r="G323" s="3996"/>
      <c r="H323" s="3996"/>
      <c r="I323" s="3996"/>
      <c r="J323" s="3996"/>
      <c r="K323" s="3996"/>
      <c r="L323" s="3996"/>
      <c r="M323" s="3996"/>
      <c r="N323" s="3996"/>
      <c r="O323" s="3996"/>
      <c r="P323" s="3996"/>
      <c r="Q323" s="3997"/>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5" customHeight="1">
      <c r="A325" s="3999"/>
      <c r="B325" s="4000"/>
      <c r="C325" s="4000"/>
      <c r="D325" s="4000"/>
      <c r="E325" s="4000"/>
      <c r="F325" s="4000"/>
      <c r="G325" s="4000"/>
      <c r="H325" s="4000"/>
      <c r="I325" s="4000"/>
      <c r="J325" s="4000"/>
      <c r="K325" s="4000"/>
      <c r="L325" s="4000"/>
      <c r="M325" s="4000"/>
      <c r="N325" s="4000"/>
      <c r="O325" s="4000"/>
      <c r="P325" s="4000"/>
      <c r="Q325" s="4001"/>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5" customHeight="1">
      <c r="A326" s="1931" t="s">
        <v>3375</v>
      </c>
      <c r="B326" s="192" t="s">
        <v>6541</v>
      </c>
      <c r="C326" s="1138"/>
      <c r="D326" s="1133"/>
      <c r="E326" s="1133"/>
      <c r="F326" s="1133"/>
      <c r="G326" s="1133"/>
      <c r="H326" s="1133"/>
      <c r="N326" s="1091" t="s">
        <v>6540</v>
      </c>
      <c r="O326" s="132" t="s">
        <v>1731</v>
      </c>
      <c r="P326" s="4016"/>
      <c r="Q326" s="4005"/>
      <c r="R326" s="1147" t="s">
        <v>6527</v>
      </c>
    </row>
    <row r="327" spans="1:256" ht="11.5" customHeight="1">
      <c r="A327" s="47" t="s">
        <v>1842</v>
      </c>
      <c r="B327" s="55" t="s">
        <v>6536</v>
      </c>
      <c r="O327" s="163" t="s">
        <v>1842</v>
      </c>
      <c r="P327" s="230" t="s">
        <v>2651</v>
      </c>
      <c r="Q327" s="549"/>
    </row>
    <row r="328" spans="1:256" ht="11.5" customHeight="1">
      <c r="A328" s="142" t="s">
        <v>1844</v>
      </c>
      <c r="B328" s="55" t="s">
        <v>6543</v>
      </c>
      <c r="O328" s="163" t="s">
        <v>1844</v>
      </c>
      <c r="P328" s="2315" t="s">
        <v>2651</v>
      </c>
      <c r="Q328" s="880"/>
    </row>
    <row r="329" spans="1:256" ht="11.5" customHeight="1">
      <c r="A329" s="142" t="s">
        <v>698</v>
      </c>
      <c r="B329" s="55" t="s">
        <v>6544</v>
      </c>
      <c r="K329" s="2311"/>
      <c r="M329" s="163" t="s">
        <v>698</v>
      </c>
      <c r="N329" s="4118" t="s">
        <v>2654</v>
      </c>
      <c r="O329" s="4119"/>
      <c r="P329" s="4120" t="s">
        <v>1647</v>
      </c>
      <c r="Q329" s="4121"/>
    </row>
    <row r="330" spans="1:256" ht="11.5" customHeight="1">
      <c r="A330" s="47" t="s">
        <v>1963</v>
      </c>
      <c r="B330" s="55" t="s">
        <v>6545</v>
      </c>
      <c r="O330" s="478" t="s">
        <v>1963</v>
      </c>
      <c r="P330" s="2049" t="s">
        <v>2654</v>
      </c>
      <c r="Q330" s="2107"/>
    </row>
    <row r="331" spans="1:256" ht="11.5" customHeight="1">
      <c r="A331" s="142" t="s">
        <v>1613</v>
      </c>
      <c r="B331" s="55" t="s">
        <v>6546</v>
      </c>
      <c r="N331" s="163" t="s">
        <v>1613</v>
      </c>
      <c r="O331" s="4112" t="s">
        <v>4052</v>
      </c>
      <c r="P331" s="4113"/>
      <c r="Q331" s="4114"/>
    </row>
    <row r="332" spans="1:256" ht="11.5" customHeight="1">
      <c r="A332" s="142" t="s">
        <v>1614</v>
      </c>
      <c r="B332" s="434" t="s">
        <v>2171</v>
      </c>
      <c r="N332" s="163" t="s">
        <v>1614</v>
      </c>
      <c r="O332" s="4067" t="s">
        <v>2561</v>
      </c>
      <c r="P332" s="4068"/>
      <c r="Q332" s="4069"/>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13.4" customHeight="1">
      <c r="A334" s="3995" t="s">
        <v>6937</v>
      </c>
      <c r="B334" s="3996"/>
      <c r="C334" s="3996"/>
      <c r="D334" s="3996"/>
      <c r="E334" s="3996"/>
      <c r="F334" s="3996"/>
      <c r="G334" s="3996"/>
      <c r="H334" s="3996"/>
      <c r="I334" s="3996"/>
      <c r="J334" s="3996"/>
      <c r="K334" s="3996"/>
      <c r="L334" s="3996"/>
      <c r="M334" s="3996"/>
      <c r="N334" s="3996"/>
      <c r="O334" s="3996"/>
      <c r="P334" s="3996"/>
      <c r="Q334" s="3997"/>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4" customHeight="1">
      <c r="A336" s="3999"/>
      <c r="B336" s="4000"/>
      <c r="C336" s="4000"/>
      <c r="D336" s="4000"/>
      <c r="E336" s="4000"/>
      <c r="F336" s="4000"/>
      <c r="G336" s="4000"/>
      <c r="H336" s="4000"/>
      <c r="I336" s="4000"/>
      <c r="J336" s="4000"/>
      <c r="K336" s="4000"/>
      <c r="L336" s="4000"/>
      <c r="M336" s="4000"/>
      <c r="N336" s="4000"/>
      <c r="O336" s="4000"/>
      <c r="P336" s="4000"/>
      <c r="Q336" s="4001"/>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5" customHeight="1">
      <c r="A338" s="2379" t="s">
        <v>3378</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2"/>
      <c r="Q338" s="4153"/>
    </row>
    <row r="339" spans="1:44" ht="14.15"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5" customHeight="1">
      <c r="A340" s="2379"/>
      <c r="B340" s="36" t="s">
        <v>6549</v>
      </c>
      <c r="C340" s="4"/>
      <c r="D340" s="4"/>
      <c r="E340" s="4"/>
      <c r="F340" s="4"/>
      <c r="G340" s="4"/>
      <c r="H340" s="2380"/>
      <c r="I340" s="2380"/>
      <c r="J340" s="2380"/>
      <c r="K340" s="2380"/>
      <c r="L340" s="2380"/>
      <c r="M340" s="2380"/>
      <c r="N340" s="1482"/>
      <c r="O340" s="132"/>
      <c r="P340" s="492"/>
      <c r="Q340" s="548"/>
    </row>
    <row r="341" spans="1:44" ht="21.75" customHeight="1">
      <c r="A341" s="142" t="s">
        <v>1842</v>
      </c>
      <c r="B341" s="3998" t="s">
        <v>6694</v>
      </c>
      <c r="C341" s="3998"/>
      <c r="D341" s="3998"/>
      <c r="E341" s="3998"/>
      <c r="F341" s="3998"/>
      <c r="G341" s="3998"/>
      <c r="H341" s="3998"/>
      <c r="I341" s="3998"/>
      <c r="J341" s="3998"/>
      <c r="K341" s="3998"/>
      <c r="L341" s="3998"/>
      <c r="M341" s="3998"/>
      <c r="N341" s="3998"/>
      <c r="O341" s="163" t="s">
        <v>1842</v>
      </c>
      <c r="P341" s="2395"/>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60</v>
      </c>
      <c r="F343" s="52" t="s">
        <v>3898</v>
      </c>
      <c r="G343" s="1967">
        <f>'Part V-Revenues &amp; Expenses'!$P$100</f>
        <v>0</v>
      </c>
      <c r="H343" s="94"/>
      <c r="I343" s="36" t="s">
        <v>832</v>
      </c>
      <c r="J343" s="94"/>
      <c r="K343" s="94"/>
      <c r="L343" s="1966">
        <f>'Part V-Revenues &amp; Expenses'!$P$111</f>
        <v>0</v>
      </c>
      <c r="M343" s="64" t="s">
        <v>6747</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3998" t="s">
        <v>6695</v>
      </c>
      <c r="C344" s="3998"/>
      <c r="D344" s="3998"/>
      <c r="E344" s="3998"/>
      <c r="F344" s="3998"/>
      <c r="G344" s="3998"/>
      <c r="H344" s="3998"/>
      <c r="I344" s="3998"/>
      <c r="J344" s="3998"/>
      <c r="K344" s="3998"/>
      <c r="L344" s="3998"/>
      <c r="M344" s="3998"/>
      <c r="N344" s="3998"/>
      <c r="O344" s="163" t="s">
        <v>1844</v>
      </c>
      <c r="P344" s="1160"/>
      <c r="Q344" s="1161"/>
    </row>
    <row r="345" spans="1:44" s="148" customFormat="1">
      <c r="A345" s="142"/>
      <c r="B345" s="1546"/>
      <c r="C345" s="52" t="s">
        <v>1668</v>
      </c>
      <c r="D345" s="52"/>
      <c r="E345" s="1966">
        <f>'Part V-Revenues &amp; Expenses'!$P$67</f>
        <v>60</v>
      </c>
      <c r="F345" s="52" t="s">
        <v>6697</v>
      </c>
      <c r="H345" s="94"/>
      <c r="L345" s="2616"/>
      <c r="M345" s="64" t="s">
        <v>6747</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3998" t="s">
        <v>6696</v>
      </c>
      <c r="C346" s="3998"/>
      <c r="D346" s="3998"/>
      <c r="E346" s="3998"/>
      <c r="F346" s="3998"/>
      <c r="G346" s="3998"/>
      <c r="H346" s="3998"/>
      <c r="I346" s="3998"/>
      <c r="J346" s="3998"/>
      <c r="K346" s="3998"/>
      <c r="L346" s="3998"/>
      <c r="M346" s="3998"/>
      <c r="N346" s="3998"/>
      <c r="O346" s="163" t="s">
        <v>698</v>
      </c>
      <c r="P346" s="2395"/>
      <c r="Q346" s="2396"/>
    </row>
    <row r="347" spans="1:44" s="68" customFormat="1" ht="14.15" customHeight="1">
      <c r="A347" s="2378"/>
      <c r="B347" s="869" t="s">
        <v>1615</v>
      </c>
      <c r="C347" s="1064" t="s">
        <v>6550</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60</v>
      </c>
      <c r="F348" s="52" t="s">
        <v>3898</v>
      </c>
      <c r="G348" s="1967">
        <f>'Part V-Revenues &amp; Expenses'!$P$100</f>
        <v>0</v>
      </c>
      <c r="H348" s="94"/>
      <c r="I348" s="36" t="s">
        <v>832</v>
      </c>
      <c r="J348" s="94"/>
      <c r="K348" s="94"/>
      <c r="L348" s="1966">
        <f>'Part V-Revenues &amp; Expenses'!$P$111</f>
        <v>0</v>
      </c>
      <c r="M348" s="64" t="s">
        <v>6747</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3995" t="s">
        <v>907</v>
      </c>
      <c r="B350" s="3996"/>
      <c r="C350" s="3996"/>
      <c r="D350" s="3996"/>
      <c r="E350" s="3996"/>
      <c r="F350" s="3996"/>
      <c r="G350" s="3996"/>
      <c r="H350" s="3996"/>
      <c r="I350" s="3996"/>
      <c r="J350" s="3996"/>
      <c r="K350" s="3996"/>
      <c r="L350" s="3996"/>
      <c r="M350" s="3996"/>
      <c r="N350" s="3996"/>
      <c r="O350" s="3996"/>
      <c r="P350" s="3996"/>
      <c r="Q350" s="3997"/>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3999"/>
      <c r="B352" s="4000"/>
      <c r="C352" s="4000"/>
      <c r="D352" s="4000"/>
      <c r="E352" s="4000"/>
      <c r="F352" s="4000"/>
      <c r="G352" s="4000"/>
      <c r="H352" s="4000"/>
      <c r="I352" s="4000"/>
      <c r="J352" s="4000"/>
      <c r="K352" s="4000"/>
      <c r="L352" s="4000"/>
      <c r="M352" s="4000"/>
      <c r="N352" s="4000"/>
      <c r="O352" s="4000"/>
      <c r="P352" s="4000"/>
      <c r="Q352" s="4001"/>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5"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1731</v>
      </c>
      <c r="P354" s="4004"/>
      <c r="Q354" s="4005"/>
    </row>
    <row r="355" spans="1:32" ht="10.5" customHeight="1">
      <c r="A355" s="47" t="s">
        <v>1842</v>
      </c>
      <c r="B355" s="135" t="s">
        <v>3361</v>
      </c>
      <c r="D355" s="151"/>
      <c r="E355" s="151"/>
      <c r="F355" s="151"/>
      <c r="G355" s="151"/>
      <c r="H355" s="478" t="s">
        <v>1842</v>
      </c>
      <c r="I355" s="4009" t="s">
        <v>6910</v>
      </c>
      <c r="J355" s="4010"/>
      <c r="K355" s="4010"/>
      <c r="L355" s="4010"/>
      <c r="M355" s="4010"/>
      <c r="N355" s="4010"/>
      <c r="O355" s="4010"/>
      <c r="P355" s="4011"/>
      <c r="Q355" s="549"/>
    </row>
    <row r="356" spans="1:32" ht="10.5" customHeight="1">
      <c r="A356" s="142" t="s">
        <v>1844</v>
      </c>
      <c r="B356" s="135" t="s">
        <v>3362</v>
      </c>
      <c r="D356" s="151"/>
      <c r="E356" s="151"/>
      <c r="F356" s="151"/>
      <c r="G356" s="151"/>
      <c r="H356" s="163" t="s">
        <v>1844</v>
      </c>
      <c r="I356" s="4006" t="s">
        <v>6935</v>
      </c>
      <c r="J356" s="4007"/>
      <c r="K356" s="4007"/>
      <c r="L356" s="4007"/>
      <c r="M356" s="4007"/>
      <c r="N356" s="4007"/>
      <c r="O356" s="4007"/>
      <c r="P356" s="4008"/>
      <c r="Q356" s="551"/>
    </row>
    <row r="357" spans="1:32" ht="21.75" customHeight="1">
      <c r="A357" s="142" t="s">
        <v>698</v>
      </c>
      <c r="B357" s="4157" t="s">
        <v>3353</v>
      </c>
      <c r="C357" s="4157"/>
      <c r="D357" s="4157"/>
      <c r="E357" s="4157"/>
      <c r="F357" s="4157"/>
      <c r="G357" s="4157"/>
      <c r="H357" s="4157"/>
      <c r="I357" s="4157"/>
      <c r="J357" s="4157"/>
      <c r="K357" s="4157"/>
      <c r="L357" s="4157"/>
      <c r="M357" s="4157"/>
      <c r="N357" s="4157"/>
      <c r="O357" s="163" t="s">
        <v>698</v>
      </c>
      <c r="P357" s="1063" t="s">
        <v>2651</v>
      </c>
      <c r="Q357" s="1157"/>
    </row>
    <row r="358" spans="1:32" ht="21.75" customHeight="1">
      <c r="A358" s="142" t="s">
        <v>1963</v>
      </c>
      <c r="B358" s="3998" t="s">
        <v>3354</v>
      </c>
      <c r="C358" s="3998"/>
      <c r="D358" s="3998"/>
      <c r="E358" s="3998"/>
      <c r="F358" s="3998"/>
      <c r="G358" s="3998"/>
      <c r="H358" s="3998"/>
      <c r="I358" s="3998"/>
      <c r="J358" s="3998"/>
      <c r="K358" s="3998"/>
      <c r="L358" s="3998"/>
      <c r="M358" s="3998"/>
      <c r="N358" s="3998"/>
      <c r="O358" s="163" t="s">
        <v>1963</v>
      </c>
      <c r="P358" s="561" t="s">
        <v>2651</v>
      </c>
      <c r="Q358" s="552"/>
    </row>
    <row r="359" spans="1:32" ht="10.5" customHeight="1">
      <c r="A359" s="142" t="s">
        <v>1613</v>
      </c>
      <c r="B359" s="52" t="s">
        <v>3355</v>
      </c>
      <c r="D359" s="52"/>
      <c r="E359" s="52"/>
      <c r="F359" s="52"/>
      <c r="G359" s="52"/>
      <c r="H359" s="52"/>
      <c r="I359" s="52"/>
      <c r="J359" s="52"/>
      <c r="K359" s="52"/>
      <c r="L359" s="52"/>
      <c r="M359" s="52"/>
      <c r="O359" s="163" t="s">
        <v>1613</v>
      </c>
      <c r="P359" s="389" t="s">
        <v>2651</v>
      </c>
      <c r="Q359" s="550"/>
    </row>
    <row r="360" spans="1:32" s="133" customFormat="1" ht="21.75" customHeight="1">
      <c r="A360" s="142" t="s">
        <v>1614</v>
      </c>
      <c r="B360" s="3998" t="s">
        <v>3356</v>
      </c>
      <c r="C360" s="3998"/>
      <c r="D360" s="3998"/>
      <c r="E360" s="3998"/>
      <c r="F360" s="3998"/>
      <c r="G360" s="3998"/>
      <c r="H360" s="3998"/>
      <c r="I360" s="3998"/>
      <c r="J360" s="3998"/>
      <c r="K360" s="3998"/>
      <c r="L360" s="3998"/>
      <c r="M360" s="3998"/>
      <c r="N360" s="3998"/>
      <c r="O360" s="163" t="s">
        <v>1614</v>
      </c>
      <c r="P360" s="864" t="s">
        <v>2654</v>
      </c>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t="s">
        <v>2651</v>
      </c>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3998" t="s">
        <v>3358</v>
      </c>
      <c r="C363" s="3998"/>
      <c r="D363" s="3998"/>
      <c r="E363" s="3998"/>
      <c r="F363" s="3998"/>
      <c r="G363" s="3998"/>
      <c r="H363" s="3998"/>
      <c r="I363" s="3998"/>
      <c r="J363" s="3998"/>
      <c r="K363" s="3998"/>
      <c r="L363" s="3998"/>
      <c r="M363" s="3998"/>
      <c r="N363" s="3998"/>
      <c r="O363" s="163" t="s">
        <v>3006</v>
      </c>
      <c r="P363" s="1158"/>
      <c r="Q363" s="1142"/>
    </row>
    <row r="364" spans="1:32" ht="33" customHeight="1">
      <c r="A364" s="142" t="s">
        <v>573</v>
      </c>
      <c r="B364" s="3998" t="s">
        <v>3359</v>
      </c>
      <c r="C364" s="3998"/>
      <c r="D364" s="3998"/>
      <c r="E364" s="3998"/>
      <c r="F364" s="3998"/>
      <c r="G364" s="3998"/>
      <c r="H364" s="3998"/>
      <c r="I364" s="3998"/>
      <c r="J364" s="3998"/>
      <c r="K364" s="3998"/>
      <c r="L364" s="3998"/>
      <c r="M364" s="3998"/>
      <c r="N364" s="3998"/>
      <c r="O364" s="163" t="s">
        <v>573</v>
      </c>
      <c r="P364" s="1174" t="s">
        <v>2651</v>
      </c>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3995" t="s">
        <v>6991</v>
      </c>
      <c r="B366" s="3996"/>
      <c r="C366" s="3996"/>
      <c r="D366" s="3996"/>
      <c r="E366" s="3996"/>
      <c r="F366" s="3996"/>
      <c r="G366" s="3996"/>
      <c r="H366" s="3996"/>
      <c r="I366" s="3996"/>
      <c r="J366" s="3996"/>
      <c r="K366" s="3996"/>
      <c r="L366" s="3996"/>
      <c r="M366" s="3996"/>
      <c r="N366" s="3996"/>
      <c r="O366" s="3996"/>
      <c r="P366" s="3996"/>
      <c r="Q366" s="3997"/>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3999"/>
      <c r="B368" s="4000"/>
      <c r="C368" s="4000"/>
      <c r="D368" s="4000"/>
      <c r="E368" s="4000"/>
      <c r="F368" s="4000"/>
      <c r="G368" s="4000"/>
      <c r="H368" s="4000"/>
      <c r="I368" s="4000"/>
      <c r="J368" s="4000"/>
      <c r="K368" s="4000"/>
      <c r="L368" s="4000"/>
      <c r="M368" s="4000"/>
      <c r="N368" s="4000"/>
      <c r="O368" s="4000"/>
      <c r="P368" s="4000"/>
      <c r="Q368" s="4001"/>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5"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16"/>
      <c r="Q371" s="4005"/>
      <c r="AF371" s="35"/>
    </row>
    <row r="372" spans="1:32" ht="11.5" customHeight="1">
      <c r="A372" s="47" t="s">
        <v>1842</v>
      </c>
      <c r="B372" s="118" t="s">
        <v>971</v>
      </c>
      <c r="E372" s="4132"/>
      <c r="F372" s="4133"/>
      <c r="G372" s="4133"/>
      <c r="H372" s="4133"/>
      <c r="I372" s="4134"/>
      <c r="J372" s="4135" t="s">
        <v>2438</v>
      </c>
      <c r="K372" s="4136"/>
      <c r="L372" s="4137"/>
      <c r="M372" s="4132"/>
      <c r="N372" s="4133"/>
      <c r="O372" s="4133"/>
      <c r="P372" s="4133"/>
      <c r="Q372" s="4134"/>
      <c r="AF372" s="35"/>
    </row>
    <row r="373" spans="1:32" s="133" customFormat="1" ht="22.5" customHeight="1">
      <c r="A373" s="142" t="s">
        <v>1844</v>
      </c>
      <c r="B373" s="3998" t="s">
        <v>3084</v>
      </c>
      <c r="C373" s="3998"/>
      <c r="D373" s="3998"/>
      <c r="E373" s="3998"/>
      <c r="F373" s="3998"/>
      <c r="G373" s="3998"/>
      <c r="H373" s="3998"/>
      <c r="I373" s="3998"/>
      <c r="J373" s="3998"/>
      <c r="K373" s="3998"/>
      <c r="L373" s="3998"/>
      <c r="M373" s="3998"/>
      <c r="N373" s="3998"/>
      <c r="O373" s="163" t="s">
        <v>1844</v>
      </c>
      <c r="P373" s="2048"/>
      <c r="Q373" s="2047"/>
      <c r="AE373" s="481"/>
    </row>
    <row r="374" spans="1:32" ht="13">
      <c r="A374" s="142" t="s">
        <v>698</v>
      </c>
      <c r="B374" s="55" t="s">
        <v>3204</v>
      </c>
      <c r="G374" s="1135"/>
      <c r="H374" s="1135"/>
      <c r="I374" s="1135"/>
      <c r="J374" s="878" t="s">
        <v>3205</v>
      </c>
      <c r="L374" s="1135"/>
      <c r="M374" s="4138">
        <f>'Part II-Sources of Funds'!I6</f>
        <v>0</v>
      </c>
      <c r="N374" s="4139"/>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5" customHeight="1">
      <c r="A376" s="3995" t="s">
        <v>907</v>
      </c>
      <c r="B376" s="3996"/>
      <c r="C376" s="3996"/>
      <c r="D376" s="3996"/>
      <c r="E376" s="3996"/>
      <c r="F376" s="3996"/>
      <c r="G376" s="3996"/>
      <c r="H376" s="3996"/>
      <c r="I376" s="3996"/>
      <c r="J376" s="3996"/>
      <c r="K376" s="3996"/>
      <c r="L376" s="3996"/>
      <c r="M376" s="3996"/>
      <c r="N376" s="3996"/>
      <c r="O376" s="3996"/>
      <c r="P376" s="3996"/>
      <c r="Q376" s="3997"/>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5" customHeight="1">
      <c r="A378" s="3999"/>
      <c r="B378" s="4000"/>
      <c r="C378" s="4000"/>
      <c r="D378" s="4000"/>
      <c r="E378" s="4000"/>
      <c r="F378" s="4000"/>
      <c r="G378" s="4000"/>
      <c r="H378" s="4000"/>
      <c r="I378" s="4000"/>
      <c r="J378" s="4000"/>
      <c r="K378" s="4000"/>
      <c r="L378" s="4000"/>
      <c r="M378" s="4000"/>
      <c r="N378" s="4000"/>
      <c r="O378" s="4000"/>
      <c r="P378" s="4000"/>
      <c r="Q378" s="4001"/>
      <c r="AF378" s="35"/>
    </row>
    <row r="379" spans="1:32" ht="3.65" customHeight="1">
      <c r="A379" s="1132"/>
      <c r="B379" s="1139"/>
      <c r="C379" s="1133"/>
      <c r="D379" s="1133"/>
      <c r="E379" s="1133"/>
      <c r="F379" s="1133"/>
      <c r="G379" s="1133"/>
      <c r="H379" s="1133"/>
      <c r="I379" s="1133"/>
      <c r="J379" s="1133"/>
      <c r="K379" s="1133"/>
      <c r="L379" s="1133"/>
      <c r="M379" s="1133"/>
      <c r="Q379" s="877"/>
      <c r="AF379" s="35"/>
    </row>
    <row r="380" spans="1:32" ht="14.15" customHeight="1">
      <c r="A380" s="1931" t="s">
        <v>3381</v>
      </c>
      <c r="B380" s="4" t="s">
        <v>2436</v>
      </c>
      <c r="C380" s="4"/>
      <c r="D380" s="4"/>
      <c r="E380" s="1133"/>
      <c r="G380" s="140" t="s">
        <v>655</v>
      </c>
      <c r="H380" s="1133"/>
      <c r="I380" s="1133"/>
      <c r="J380" s="1133"/>
      <c r="K380" s="1133"/>
      <c r="L380" s="1133"/>
      <c r="M380" s="1133"/>
      <c r="O380" s="132" t="s">
        <v>1731</v>
      </c>
      <c r="P380" s="4016"/>
      <c r="Q380" s="4128"/>
      <c r="AF380" s="35"/>
    </row>
    <row r="381" spans="1:32" ht="12" customHeight="1">
      <c r="A381" s="47" t="s">
        <v>1842</v>
      </c>
      <c r="B381" s="52" t="s">
        <v>2439</v>
      </c>
      <c r="D381" s="879"/>
      <c r="E381" s="879"/>
      <c r="O381" s="478" t="s">
        <v>1842</v>
      </c>
      <c r="P381" s="230" t="s">
        <v>2651</v>
      </c>
      <c r="Q381" s="549"/>
      <c r="AF381" s="35"/>
    </row>
    <row r="382" spans="1:32" ht="12" customHeight="1">
      <c r="A382" s="47" t="s">
        <v>1844</v>
      </c>
      <c r="B382" s="52" t="s">
        <v>3145</v>
      </c>
      <c r="D382" s="879"/>
      <c r="E382" s="879"/>
      <c r="O382" s="478" t="s">
        <v>1844</v>
      </c>
      <c r="P382" s="389" t="s">
        <v>2654</v>
      </c>
      <c r="Q382" s="550"/>
      <c r="AF382" s="35"/>
    </row>
    <row r="383" spans="1:32" ht="12" customHeight="1">
      <c r="A383" s="47" t="s">
        <v>698</v>
      </c>
      <c r="B383" s="52" t="s">
        <v>4035</v>
      </c>
      <c r="D383" s="879"/>
      <c r="E383" s="879"/>
      <c r="O383" s="478" t="s">
        <v>698</v>
      </c>
      <c r="P383" s="389" t="s">
        <v>2651</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177"/>
      <c r="I385" s="4178"/>
      <c r="J385" s="4178"/>
      <c r="K385" s="4178"/>
      <c r="L385" s="4178"/>
      <c r="M385" s="4178"/>
      <c r="N385" s="4178"/>
      <c r="O385" s="4179"/>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5" customHeight="1">
      <c r="A387" s="3995" t="s">
        <v>6991</v>
      </c>
      <c r="B387" s="3996"/>
      <c r="C387" s="3996"/>
      <c r="D387" s="3996"/>
      <c r="E387" s="3996"/>
      <c r="F387" s="3996"/>
      <c r="G387" s="3996"/>
      <c r="H387" s="3996"/>
      <c r="I387" s="3996"/>
      <c r="J387" s="3996"/>
      <c r="K387" s="3996"/>
      <c r="L387" s="3996"/>
      <c r="M387" s="3996"/>
      <c r="N387" s="3996"/>
      <c r="O387" s="3996"/>
      <c r="P387" s="3996"/>
      <c r="Q387" s="3997"/>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5" customHeight="1">
      <c r="A389" s="3999"/>
      <c r="B389" s="4000"/>
      <c r="C389" s="4000"/>
      <c r="D389" s="4000"/>
      <c r="E389" s="4000"/>
      <c r="F389" s="4000"/>
      <c r="G389" s="4000"/>
      <c r="H389" s="4000"/>
      <c r="I389" s="4000"/>
      <c r="J389" s="4000"/>
      <c r="K389" s="4000"/>
      <c r="L389" s="4000"/>
      <c r="M389" s="4000"/>
      <c r="N389" s="4000"/>
      <c r="O389" s="4000"/>
      <c r="P389" s="4000"/>
      <c r="Q389" s="4001"/>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5" customHeight="1">
      <c r="A391" s="1931" t="s">
        <v>3382</v>
      </c>
      <c r="B391" s="4" t="s">
        <v>3943</v>
      </c>
      <c r="C391" s="4"/>
      <c r="D391" s="4"/>
      <c r="E391" s="4"/>
      <c r="F391" s="4"/>
      <c r="G391" s="4"/>
      <c r="H391" s="1133"/>
      <c r="I391" s="1133"/>
      <c r="J391" s="1133"/>
      <c r="K391" s="1133"/>
      <c r="L391" s="1133"/>
      <c r="M391" s="1133"/>
      <c r="O391" s="132" t="s">
        <v>1731</v>
      </c>
      <c r="P391" s="4152"/>
      <c r="Q391" s="4153"/>
      <c r="AF391" s="35"/>
    </row>
    <row r="392" spans="1:32" ht="12" customHeight="1">
      <c r="B392" s="55" t="s">
        <v>6258</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100"/>
      <c r="Q395" s="4098"/>
      <c r="AF395" s="35"/>
    </row>
    <row r="396" spans="1:32" ht="12" customHeight="1">
      <c r="A396" s="47"/>
      <c r="D396" s="52" t="s">
        <v>6506</v>
      </c>
      <c r="E396" s="52"/>
      <c r="F396" s="52"/>
      <c r="G396" s="52"/>
      <c r="H396" s="52"/>
      <c r="I396" s="52"/>
      <c r="J396" s="52"/>
      <c r="K396" s="52"/>
      <c r="L396" s="52"/>
      <c r="M396" s="52"/>
      <c r="N396" s="42"/>
      <c r="O396" s="1768"/>
      <c r="P396" s="4101"/>
      <c r="Q396" s="4099"/>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3998" t="s">
        <v>6158</v>
      </c>
      <c r="D400" s="3998"/>
      <c r="E400" s="3998"/>
      <c r="F400" s="3998"/>
      <c r="G400" s="135" t="s">
        <v>3947</v>
      </c>
      <c r="J400" s="919"/>
      <c r="K400" s="556"/>
      <c r="M400" s="135" t="s">
        <v>6232</v>
      </c>
      <c r="P400" s="2316"/>
      <c r="Q400" s="2317"/>
    </row>
    <row r="401" spans="1:44" ht="12" customHeight="1">
      <c r="A401" s="47"/>
      <c r="C401" s="3998"/>
      <c r="D401" s="3998"/>
      <c r="E401" s="3998"/>
      <c r="F401" s="3998"/>
      <c r="G401" s="135" t="s">
        <v>6231</v>
      </c>
      <c r="J401" s="920"/>
      <c r="K401" s="557"/>
      <c r="M401" s="135" t="s">
        <v>6233</v>
      </c>
      <c r="P401" s="920"/>
      <c r="Q401" s="557"/>
    </row>
    <row r="402" spans="1:44" ht="8.25" customHeight="1">
      <c r="A402" s="47"/>
      <c r="C402" s="3998"/>
      <c r="D402" s="3998"/>
      <c r="E402" s="3998"/>
      <c r="F402" s="3998"/>
      <c r="J402" s="1959"/>
      <c r="L402" s="878"/>
      <c r="M402" s="42"/>
      <c r="N402" s="478"/>
    </row>
    <row r="403" spans="1:44" s="94" customFormat="1" ht="12.75" customHeight="1">
      <c r="A403" s="139"/>
      <c r="B403" s="192"/>
      <c r="D403" s="1141"/>
      <c r="E403" s="1141"/>
      <c r="F403" s="1141"/>
      <c r="G403" s="1141"/>
      <c r="H403" s="1141"/>
      <c r="I403" s="4057" t="s">
        <v>6188</v>
      </c>
      <c r="J403" s="4057" t="s">
        <v>6189</v>
      </c>
      <c r="K403" s="4057" t="s">
        <v>6191</v>
      </c>
      <c r="L403" s="4057"/>
      <c r="M403" s="4057"/>
      <c r="N403" s="4140" t="s">
        <v>6190</v>
      </c>
      <c r="O403" s="478"/>
      <c r="P403" s="3990" t="s">
        <v>6705</v>
      </c>
      <c r="Q403" s="3990"/>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58"/>
      <c r="J404" s="4057"/>
      <c r="K404" s="4057"/>
      <c r="L404" s="4057"/>
      <c r="M404" s="4057"/>
      <c r="N404" s="4141"/>
      <c r="O404" s="478"/>
      <c r="P404" s="3991"/>
      <c r="Q404" s="3991"/>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3998" t="s">
        <v>6302</v>
      </c>
      <c r="D405" s="3998"/>
      <c r="E405" s="3998"/>
      <c r="F405" s="3998"/>
      <c r="G405" s="3998"/>
      <c r="H405" s="3998"/>
      <c r="I405" s="1918">
        <f>K290</f>
        <v>3</v>
      </c>
      <c r="J405" s="2318"/>
      <c r="K405" s="4142"/>
      <c r="L405" s="4142"/>
      <c r="M405" s="4143"/>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3998"/>
      <c r="D406" s="3998"/>
      <c r="E406" s="3998"/>
      <c r="F406" s="3998"/>
      <c r="G406" s="3998"/>
      <c r="H406" s="3998"/>
      <c r="I406" s="2043"/>
      <c r="J406" s="2319"/>
      <c r="K406" s="4144"/>
      <c r="L406" s="4144"/>
      <c r="M406" s="4145"/>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2</v>
      </c>
      <c r="J408" s="2318"/>
      <c r="K408" s="4142"/>
      <c r="L408" s="4142"/>
      <c r="M408" s="4143"/>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4"/>
      <c r="L409" s="4144"/>
      <c r="M409" s="4145"/>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3998" t="s">
        <v>6303</v>
      </c>
      <c r="D411" s="3998"/>
      <c r="E411" s="3998"/>
      <c r="F411" s="3998"/>
      <c r="G411" s="3998"/>
      <c r="H411" s="3998"/>
      <c r="I411" s="1918">
        <f>K293</f>
        <v>2</v>
      </c>
      <c r="J411" s="2318"/>
      <c r="K411" s="4142"/>
      <c r="L411" s="4142"/>
      <c r="M411" s="4143"/>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3998"/>
      <c r="D412" s="3998"/>
      <c r="E412" s="3998"/>
      <c r="F412" s="3998"/>
      <c r="G412" s="3998"/>
      <c r="H412" s="3998"/>
      <c r="J412" s="2319"/>
      <c r="K412" s="4144"/>
      <c r="L412" s="4144"/>
      <c r="M412" s="4145"/>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2241</v>
      </c>
      <c r="P415" s="492" t="s">
        <v>1647</v>
      </c>
      <c r="Q415" s="548" t="s">
        <v>1647</v>
      </c>
    </row>
    <row r="416" spans="1:44" ht="12" customHeight="1">
      <c r="A416" s="42"/>
      <c r="B416" s="148"/>
      <c r="D416" s="4176" t="s">
        <v>6236</v>
      </c>
      <c r="E416" s="1506" t="s">
        <v>2264</v>
      </c>
      <c r="F416" s="457" t="s">
        <v>3289</v>
      </c>
      <c r="G416" s="4154"/>
      <c r="H416" s="4155"/>
      <c r="I416" s="4155"/>
      <c r="J416" s="4155"/>
      <c r="K416" s="4156"/>
      <c r="L416" s="1506"/>
    </row>
    <row r="417" spans="1:32" ht="12" customHeight="1">
      <c r="B417" s="148"/>
      <c r="D417" s="4176"/>
      <c r="E417" s="1506" t="s">
        <v>3944</v>
      </c>
      <c r="F417" s="457" t="s">
        <v>3945</v>
      </c>
      <c r="G417" s="4129" t="s">
        <v>3207</v>
      </c>
      <c r="H417" s="4130"/>
      <c r="I417" s="4131"/>
      <c r="J417" s="457" t="s">
        <v>3806</v>
      </c>
      <c r="K417" s="148"/>
      <c r="M417" s="4154"/>
      <c r="N417" s="4155"/>
      <c r="O417" s="4155"/>
      <c r="P417" s="4155"/>
      <c r="Q417" s="4156"/>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5" customHeight="1">
      <c r="B419" s="4146"/>
      <c r="C419" s="4147"/>
      <c r="D419" s="4147"/>
      <c r="E419" s="4147"/>
      <c r="F419" s="4147"/>
      <c r="G419" s="4147"/>
      <c r="H419" s="4147"/>
      <c r="I419" s="4147"/>
      <c r="J419" s="4147"/>
      <c r="K419" s="4147"/>
      <c r="L419" s="4147"/>
      <c r="M419" s="4147"/>
      <c r="N419" s="4147"/>
      <c r="O419" s="4147"/>
      <c r="P419" s="4147"/>
      <c r="Q419" s="4148"/>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75" t="s">
        <v>4038</v>
      </c>
      <c r="C421" s="3998"/>
      <c r="D421" s="3998"/>
      <c r="E421" s="3998"/>
      <c r="F421" s="3998"/>
      <c r="G421" s="3998"/>
      <c r="H421" s="3998"/>
      <c r="I421" s="3998"/>
      <c r="J421" s="3998"/>
      <c r="K421" s="3998"/>
      <c r="L421" s="3998"/>
      <c r="M421" s="3998"/>
      <c r="N421" s="3998"/>
      <c r="T421" s="482"/>
      <c r="AE421" s="482"/>
      <c r="AF421" s="482"/>
    </row>
    <row r="422" spans="1:32" s="148" customFormat="1" ht="45" customHeight="1">
      <c r="B422" s="3998" t="s">
        <v>6551</v>
      </c>
      <c r="C422" s="3998"/>
      <c r="D422" s="3998"/>
      <c r="E422" s="3998"/>
      <c r="F422" s="3998"/>
      <c r="G422" s="3998"/>
      <c r="H422" s="3998"/>
      <c r="I422" s="3998"/>
      <c r="J422" s="3998"/>
      <c r="K422" s="3998"/>
      <c r="L422" s="3998"/>
      <c r="M422" s="3998"/>
      <c r="N422" s="3998"/>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65" customHeight="1">
      <c r="A424" s="3995" t="s">
        <v>907</v>
      </c>
      <c r="B424" s="3996"/>
      <c r="C424" s="3996"/>
      <c r="D424" s="3996"/>
      <c r="E424" s="3996"/>
      <c r="F424" s="3996"/>
      <c r="G424" s="3996"/>
      <c r="H424" s="3996"/>
      <c r="I424" s="3996"/>
      <c r="J424" s="3996"/>
      <c r="K424" s="3996"/>
      <c r="L424" s="3996"/>
      <c r="M424" s="3996"/>
      <c r="N424" s="3996"/>
      <c r="O424" s="3996"/>
      <c r="P424" s="3996"/>
      <c r="Q424" s="3997"/>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5" customHeight="1">
      <c r="A426" s="3999"/>
      <c r="B426" s="4000"/>
      <c r="C426" s="4000"/>
      <c r="D426" s="4000"/>
      <c r="E426" s="4000"/>
      <c r="F426" s="4000"/>
      <c r="G426" s="4000"/>
      <c r="H426" s="4000"/>
      <c r="I426" s="4000"/>
      <c r="J426" s="4000"/>
      <c r="K426" s="4000"/>
      <c r="L426" s="4000"/>
      <c r="M426" s="4000"/>
      <c r="N426" s="4000"/>
      <c r="O426" s="4000"/>
      <c r="P426" s="4000"/>
      <c r="Q426" s="4001"/>
    </row>
    <row r="427" spans="1:32" ht="3" customHeight="1">
      <c r="A427" s="1132"/>
      <c r="B427" s="1139"/>
      <c r="C427" s="1133"/>
      <c r="D427" s="1133"/>
      <c r="E427" s="1133"/>
      <c r="F427" s="1133"/>
      <c r="G427" s="1133"/>
      <c r="H427" s="1133"/>
      <c r="I427" s="1133"/>
      <c r="J427" s="1133"/>
      <c r="K427" s="1133"/>
      <c r="L427" s="1133"/>
      <c r="M427" s="1133"/>
      <c r="Q427" s="877"/>
    </row>
    <row r="428" spans="1:32" ht="14.15" customHeight="1">
      <c r="A428" s="1931" t="s">
        <v>3383</v>
      </c>
      <c r="B428" s="4" t="s">
        <v>2510</v>
      </c>
      <c r="C428" s="4"/>
      <c r="D428" s="87"/>
      <c r="E428" s="1133"/>
      <c r="F428" s="1133"/>
      <c r="G428" s="1133"/>
      <c r="H428" s="1133"/>
      <c r="O428" s="132" t="s">
        <v>1731</v>
      </c>
      <c r="P428" s="4016"/>
      <c r="Q428" s="4005"/>
    </row>
    <row r="429" spans="1:32" ht="14.15" customHeight="1">
      <c r="B429" s="87" t="s">
        <v>3901</v>
      </c>
      <c r="C429" s="4"/>
      <c r="D429" s="87"/>
      <c r="E429" s="1133"/>
      <c r="F429" s="1133"/>
      <c r="G429" s="1133"/>
      <c r="H429" s="1133"/>
    </row>
    <row r="430" spans="1:32" s="133" customFormat="1" ht="21.75" customHeight="1">
      <c r="A430" s="142" t="s">
        <v>1842</v>
      </c>
      <c r="B430" s="4089" t="s">
        <v>3314</v>
      </c>
      <c r="C430" s="4089"/>
      <c r="D430" s="4089"/>
      <c r="E430" s="4089"/>
      <c r="F430" s="4089"/>
      <c r="G430" s="4089"/>
      <c r="H430" s="4089"/>
      <c r="I430" s="4089"/>
      <c r="J430" s="4089"/>
      <c r="K430" s="4089"/>
      <c r="L430" s="4089"/>
      <c r="M430" s="4089"/>
      <c r="N430" s="4089"/>
      <c r="O430" s="163" t="s">
        <v>1842</v>
      </c>
      <c r="P430" s="1143" t="s">
        <v>6930</v>
      </c>
      <c r="Q430" s="1142"/>
      <c r="AE430" s="481"/>
      <c r="AF430" s="481"/>
    </row>
    <row r="431" spans="1:32" s="133" customFormat="1" ht="22.5" customHeight="1">
      <c r="A431" s="142" t="s">
        <v>1844</v>
      </c>
      <c r="B431" s="4089" t="s">
        <v>3313</v>
      </c>
      <c r="C431" s="4089"/>
      <c r="D431" s="4089"/>
      <c r="E431" s="4089"/>
      <c r="F431" s="4089"/>
      <c r="G431" s="4089"/>
      <c r="H431" s="4089"/>
      <c r="I431" s="4089"/>
      <c r="J431" s="4089"/>
      <c r="K431" s="4089"/>
      <c r="L431" s="4089"/>
      <c r="M431" s="4089"/>
      <c r="N431" s="4089"/>
      <c r="O431" s="163" t="s">
        <v>1844</v>
      </c>
      <c r="P431" s="561" t="s">
        <v>6930</v>
      </c>
      <c r="Q431" s="552"/>
      <c r="AE431" s="481"/>
      <c r="AF431" s="481"/>
    </row>
    <row r="432" spans="1:32" s="133" customFormat="1" ht="22.5" customHeight="1">
      <c r="B432" s="1546" t="s">
        <v>1615</v>
      </c>
      <c r="C432" s="4089" t="s">
        <v>3871</v>
      </c>
      <c r="D432" s="4089"/>
      <c r="E432" s="4089"/>
      <c r="F432" s="4089"/>
      <c r="G432" s="4089"/>
      <c r="H432" s="4089"/>
      <c r="I432" s="4089"/>
      <c r="J432" s="4089"/>
      <c r="K432" s="4089"/>
      <c r="L432" s="4089"/>
      <c r="M432" s="4089"/>
      <c r="N432" s="4089"/>
      <c r="O432" s="163" t="s">
        <v>1615</v>
      </c>
      <c r="P432" s="561" t="s">
        <v>6930</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6930</v>
      </c>
      <c r="Q433" s="550"/>
      <c r="AE433" s="50"/>
      <c r="AF433" s="50"/>
    </row>
    <row r="434" spans="1:32" s="133" customFormat="1" ht="33" customHeight="1">
      <c r="B434" s="491" t="s">
        <v>1617</v>
      </c>
      <c r="C434" s="4089" t="s">
        <v>3873</v>
      </c>
      <c r="D434" s="4089"/>
      <c r="E434" s="4089"/>
      <c r="F434" s="4089"/>
      <c r="G434" s="4089"/>
      <c r="H434" s="4089"/>
      <c r="I434" s="4089"/>
      <c r="J434" s="4089"/>
      <c r="K434" s="4089"/>
      <c r="L434" s="4089"/>
      <c r="M434" s="4089"/>
      <c r="N434" s="4089"/>
      <c r="O434" s="163" t="s">
        <v>1617</v>
      </c>
      <c r="P434" s="561" t="s">
        <v>6930</v>
      </c>
      <c r="Q434" s="552"/>
      <c r="AE434" s="481"/>
      <c r="AF434" s="481"/>
    </row>
    <row r="435" spans="1:32" s="133" customFormat="1" ht="22.5" customHeight="1">
      <c r="B435" s="491" t="s">
        <v>2183</v>
      </c>
      <c r="C435" s="4089" t="s">
        <v>3874</v>
      </c>
      <c r="D435" s="4089"/>
      <c r="E435" s="4089"/>
      <c r="F435" s="4089"/>
      <c r="G435" s="4089"/>
      <c r="H435" s="4089"/>
      <c r="I435" s="4089"/>
      <c r="J435" s="4089"/>
      <c r="K435" s="4089"/>
      <c r="L435" s="4089"/>
      <c r="M435" s="4089"/>
      <c r="N435" s="4089"/>
      <c r="O435" s="163" t="s">
        <v>2183</v>
      </c>
      <c r="P435" s="561" t="s">
        <v>6930</v>
      </c>
      <c r="Q435" s="552"/>
      <c r="AE435" s="481"/>
      <c r="AF435" s="481"/>
    </row>
    <row r="436" spans="1:32" s="133" customFormat="1" ht="22.5" customHeight="1">
      <c r="A436" s="142" t="s">
        <v>698</v>
      </c>
      <c r="B436" s="4089" t="s">
        <v>3315</v>
      </c>
      <c r="C436" s="4089"/>
      <c r="D436" s="4089"/>
      <c r="E436" s="4089"/>
      <c r="F436" s="4089"/>
      <c r="G436" s="4089"/>
      <c r="H436" s="4089"/>
      <c r="I436" s="4089"/>
      <c r="J436" s="4089"/>
      <c r="K436" s="4089"/>
      <c r="L436" s="4089"/>
      <c r="M436" s="4089"/>
      <c r="N436" s="4089"/>
      <c r="O436" s="163" t="s">
        <v>698</v>
      </c>
      <c r="P436" s="561" t="s">
        <v>6930</v>
      </c>
      <c r="Q436" s="552"/>
      <c r="AE436" s="481"/>
      <c r="AF436" s="481"/>
    </row>
    <row r="437" spans="1:32" s="133" customFormat="1" ht="22.5" customHeight="1">
      <c r="A437" s="142" t="s">
        <v>1963</v>
      </c>
      <c r="B437" s="4089" t="s">
        <v>3922</v>
      </c>
      <c r="C437" s="4089"/>
      <c r="D437" s="4089"/>
      <c r="E437" s="4089"/>
      <c r="F437" s="4089"/>
      <c r="G437" s="4089"/>
      <c r="H437" s="4089"/>
      <c r="I437" s="4089"/>
      <c r="J437" s="4089"/>
      <c r="K437" s="4089"/>
      <c r="L437" s="4089"/>
      <c r="M437" s="4089"/>
      <c r="N437" s="4089"/>
      <c r="O437" s="163" t="s">
        <v>1963</v>
      </c>
      <c r="P437" s="561" t="s">
        <v>6930</v>
      </c>
      <c r="Q437" s="552"/>
      <c r="AE437" s="481"/>
      <c r="AF437" s="481"/>
    </row>
    <row r="438" spans="1:32" s="133" customFormat="1" ht="21.75" customHeight="1">
      <c r="A438" s="142" t="s">
        <v>1613</v>
      </c>
      <c r="B438" s="4089" t="s">
        <v>3923</v>
      </c>
      <c r="C438" s="4089"/>
      <c r="D438" s="4089"/>
      <c r="E438" s="4089"/>
      <c r="F438" s="4089"/>
      <c r="G438" s="4089"/>
      <c r="H438" s="4089"/>
      <c r="I438" s="4089"/>
      <c r="J438" s="4089"/>
      <c r="K438" s="4089"/>
      <c r="L438" s="4089"/>
      <c r="M438" s="4089"/>
      <c r="N438" s="4089"/>
      <c r="O438" s="163" t="s">
        <v>1613</v>
      </c>
      <c r="P438" s="561" t="s">
        <v>6930</v>
      </c>
      <c r="Q438" s="552"/>
      <c r="AE438" s="481"/>
      <c r="AF438" s="481"/>
    </row>
    <row r="439" spans="1:32" s="438" customFormat="1" ht="21.75" customHeight="1">
      <c r="A439" s="142" t="s">
        <v>1614</v>
      </c>
      <c r="B439" s="4089" t="s">
        <v>3956</v>
      </c>
      <c r="C439" s="4089"/>
      <c r="D439" s="4089"/>
      <c r="E439" s="4089"/>
      <c r="F439" s="4089"/>
      <c r="G439" s="4089"/>
      <c r="H439" s="4089"/>
      <c r="I439" s="4089"/>
      <c r="J439" s="4089"/>
      <c r="K439" s="4089"/>
      <c r="L439" s="4089"/>
      <c r="M439" s="4089"/>
      <c r="N439" s="4089"/>
      <c r="O439" s="163" t="s">
        <v>1614</v>
      </c>
      <c r="P439" s="1174" t="s">
        <v>6930</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3995" t="s">
        <v>6934</v>
      </c>
      <c r="B441" s="3996"/>
      <c r="C441" s="3996"/>
      <c r="D441" s="3996"/>
      <c r="E441" s="3996"/>
      <c r="F441" s="3996"/>
      <c r="G441" s="3996"/>
      <c r="H441" s="3996"/>
      <c r="I441" s="3996"/>
      <c r="J441" s="3996"/>
      <c r="K441" s="3996"/>
      <c r="L441" s="3996"/>
      <c r="M441" s="3996"/>
      <c r="N441" s="3996"/>
      <c r="O441" s="3996"/>
      <c r="P441" s="3996"/>
      <c r="Q441" s="3997"/>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3999"/>
      <c r="B443" s="4000"/>
      <c r="C443" s="4000"/>
      <c r="D443" s="4000"/>
      <c r="E443" s="4000"/>
      <c r="F443" s="4000"/>
      <c r="G443" s="4000"/>
      <c r="H443" s="4000"/>
      <c r="I443" s="4000"/>
      <c r="J443" s="4000"/>
      <c r="K443" s="4000"/>
      <c r="L443" s="4000"/>
      <c r="M443" s="4000"/>
      <c r="N443" s="4000"/>
      <c r="O443" s="4000"/>
      <c r="P443" s="4000"/>
      <c r="Q443" s="4001"/>
    </row>
    <row r="444" spans="1:32" ht="3" customHeight="1">
      <c r="A444" s="1132"/>
      <c r="B444" s="1139"/>
      <c r="C444" s="1133"/>
      <c r="D444" s="1133"/>
      <c r="E444" s="1133"/>
      <c r="F444" s="1133"/>
      <c r="G444" s="1133"/>
      <c r="H444" s="1133"/>
      <c r="I444" s="1133"/>
      <c r="J444" s="1133"/>
      <c r="K444" s="1133"/>
      <c r="L444" s="1133"/>
      <c r="M444" s="1133"/>
      <c r="Q444" s="877"/>
    </row>
    <row r="445" spans="1:32" ht="14.15" customHeight="1">
      <c r="A445" s="1511" t="s">
        <v>3807</v>
      </c>
      <c r="B445" s="4"/>
      <c r="C445" s="4" t="s">
        <v>2437</v>
      </c>
      <c r="D445" s="87"/>
      <c r="E445" s="1133"/>
      <c r="F445" s="1133"/>
      <c r="G445" s="1133"/>
      <c r="H445" s="1133"/>
      <c r="J445" s="1133"/>
      <c r="K445" s="1133"/>
      <c r="L445" s="1133"/>
      <c r="M445" s="1133"/>
      <c r="O445" s="132" t="s">
        <v>1731</v>
      </c>
      <c r="P445" s="4016"/>
      <c r="Q445" s="4005"/>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27" customHeight="1">
      <c r="A447" s="3995" t="s">
        <v>7008</v>
      </c>
      <c r="B447" s="3996"/>
      <c r="C447" s="3996"/>
      <c r="D447" s="3996"/>
      <c r="E447" s="3996"/>
      <c r="F447" s="3996"/>
      <c r="G447" s="3996"/>
      <c r="H447" s="3996"/>
      <c r="I447" s="3996"/>
      <c r="J447" s="3996"/>
      <c r="K447" s="3996"/>
      <c r="L447" s="3996"/>
      <c r="M447" s="3996"/>
      <c r="N447" s="3996"/>
      <c r="O447" s="3996"/>
      <c r="P447" s="3996"/>
      <c r="Q447" s="3997"/>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3999"/>
      <c r="B449" s="4000"/>
      <c r="C449" s="4000"/>
      <c r="D449" s="4000"/>
      <c r="E449" s="4000"/>
      <c r="F449" s="4000"/>
      <c r="G449" s="4000"/>
      <c r="H449" s="4000"/>
      <c r="I449" s="4000"/>
      <c r="J449" s="4000"/>
      <c r="K449" s="4000"/>
      <c r="L449" s="4000"/>
      <c r="M449" s="4000"/>
      <c r="N449" s="4000"/>
      <c r="O449" s="4000"/>
      <c r="P449" s="4000"/>
      <c r="Q449" s="4001"/>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0.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0.5">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0.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0.5">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0.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0.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0.5">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0.5">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0.5">
      <c r="A464" s="457"/>
      <c r="B464" s="457"/>
      <c r="C464" s="2504" t="s">
        <v>1978</v>
      </c>
      <c r="J464" s="2502" t="s">
        <v>1604</v>
      </c>
      <c r="N464" s="1023"/>
      <c r="O464" s="1022" t="s">
        <v>3280</v>
      </c>
      <c r="P464" s="2503"/>
      <c r="R464" s="457"/>
      <c r="AE464" s="1774"/>
      <c r="AF464" s="1774"/>
    </row>
    <row r="465" spans="1:32" s="1022" customFormat="1" ht="10.5">
      <c r="A465" s="457"/>
      <c r="B465" s="457"/>
      <c r="C465" s="2504" t="s">
        <v>1979</v>
      </c>
      <c r="J465" s="2502" t="s">
        <v>1547</v>
      </c>
      <c r="N465" s="1023"/>
      <c r="O465" s="2502"/>
      <c r="P465" s="2503"/>
      <c r="R465" s="457"/>
      <c r="AE465" s="1774"/>
      <c r="AF465" s="1774"/>
    </row>
    <row r="466" spans="1:32" s="1022" customFormat="1" ht="10.5">
      <c r="A466" s="457"/>
      <c r="B466" s="457"/>
      <c r="C466" s="2504" t="s">
        <v>1980</v>
      </c>
      <c r="J466" s="2502" t="s">
        <v>1539</v>
      </c>
      <c r="N466" s="1023"/>
      <c r="O466" s="2503"/>
      <c r="P466" s="2503"/>
      <c r="R466" s="457"/>
      <c r="AE466" s="1774"/>
      <c r="AF466" s="1774"/>
    </row>
    <row r="467" spans="1:32" s="1022" customFormat="1" ht="10.5">
      <c r="A467" s="457"/>
      <c r="B467" s="457"/>
      <c r="C467" s="2504" t="s">
        <v>1312</v>
      </c>
      <c r="J467" s="2502" t="s">
        <v>1953</v>
      </c>
      <c r="N467" s="1023"/>
      <c r="O467" s="2502"/>
      <c r="P467" s="2503"/>
      <c r="R467" s="457"/>
      <c r="AE467" s="1774"/>
      <c r="AF467" s="1774"/>
    </row>
    <row r="468" spans="1:32" s="1022" customFormat="1" ht="10.5">
      <c r="A468" s="457"/>
      <c r="B468" s="457"/>
      <c r="C468" s="2504" t="s">
        <v>2109</v>
      </c>
      <c r="N468" s="1023"/>
      <c r="O468" s="2503"/>
      <c r="P468" s="2503"/>
      <c r="R468" s="457"/>
      <c r="AE468" s="1774"/>
      <c r="AF468" s="1774"/>
    </row>
    <row r="469" spans="1:32" s="1022" customFormat="1" ht="10.5">
      <c r="A469" s="457"/>
      <c r="B469" s="457"/>
      <c r="N469" s="1023"/>
      <c r="O469" s="2503"/>
      <c r="P469" s="2503"/>
      <c r="R469" s="457"/>
      <c r="AE469" s="1774"/>
      <c r="AF469" s="1774"/>
    </row>
    <row r="470" spans="1:32" s="1021" customFormat="1" ht="10">
      <c r="A470" s="55"/>
      <c r="B470" s="55"/>
      <c r="R470" s="55"/>
      <c r="S470" s="55"/>
      <c r="T470" s="55"/>
      <c r="U470" s="55"/>
      <c r="V470" s="55"/>
      <c r="AE470" s="1024"/>
      <c r="AF470" s="1024"/>
    </row>
    <row r="471" spans="1:32" s="1021" customFormat="1" ht="10">
      <c r="A471" s="55"/>
      <c r="B471" s="55"/>
      <c r="C471" s="2506" t="s">
        <v>1665</v>
      </c>
      <c r="R471" s="55"/>
      <c r="AE471" s="1024"/>
      <c r="AF471" s="1024"/>
    </row>
    <row r="472" spans="1:32" s="1021" customFormat="1" ht="10">
      <c r="A472" s="55"/>
      <c r="B472" s="55"/>
      <c r="C472" s="1021" t="s">
        <v>869</v>
      </c>
      <c r="R472" s="55"/>
      <c r="AE472" s="1024"/>
      <c r="AF472" s="1024"/>
    </row>
    <row r="473" spans="1:32" s="1021" customFormat="1" ht="10">
      <c r="A473" s="55"/>
      <c r="B473" s="55"/>
      <c r="C473" s="2504" t="s">
        <v>1523</v>
      </c>
      <c r="R473" s="55"/>
      <c r="AE473" s="1024"/>
      <c r="AF473" s="1024"/>
    </row>
    <row r="474" spans="1:32" s="1021" customFormat="1" ht="10">
      <c r="A474" s="55"/>
      <c r="B474" s="55"/>
      <c r="C474" s="2504" t="s">
        <v>672</v>
      </c>
      <c r="L474" s="2504"/>
      <c r="R474" s="55"/>
      <c r="AE474" s="1024"/>
      <c r="AF474" s="1024"/>
    </row>
    <row r="475" spans="1:32" s="1021" customFormat="1" ht="10">
      <c r="A475" s="55"/>
      <c r="B475" s="55"/>
      <c r="C475" s="2504" t="s">
        <v>673</v>
      </c>
      <c r="L475" s="2504"/>
      <c r="R475" s="55"/>
      <c r="AE475" s="1024"/>
      <c r="AF475" s="1024"/>
    </row>
    <row r="476" spans="1:32" s="1021" customFormat="1" ht="10">
      <c r="A476" s="55"/>
      <c r="B476" s="55"/>
      <c r="C476" s="2504" t="s">
        <v>2002</v>
      </c>
      <c r="L476" s="2504"/>
      <c r="R476" s="55"/>
      <c r="AE476" s="1024"/>
      <c r="AF476" s="1024"/>
    </row>
    <row r="477" spans="1:32" s="1021" customFormat="1" ht="10">
      <c r="A477" s="55"/>
      <c r="B477" s="55"/>
      <c r="C477" s="2504" t="s">
        <v>120</v>
      </c>
      <c r="L477" s="2504"/>
      <c r="R477" s="55"/>
      <c r="AE477" s="1024"/>
      <c r="AF477" s="1024"/>
    </row>
    <row r="478" spans="1:32" s="1021" customFormat="1" ht="10">
      <c r="A478" s="55"/>
      <c r="B478" s="55"/>
      <c r="C478" s="1024" t="s">
        <v>118</v>
      </c>
      <c r="L478" s="2504"/>
      <c r="R478" s="55"/>
      <c r="AE478" s="1024"/>
      <c r="AF478" s="1024"/>
    </row>
    <row r="479" spans="1:32" s="1021" customFormat="1" ht="10">
      <c r="A479" s="55"/>
      <c r="B479" s="55"/>
      <c r="C479" s="1024" t="s">
        <v>1741</v>
      </c>
      <c r="R479" s="55"/>
      <c r="AE479" s="1024"/>
      <c r="AF479" s="1024"/>
    </row>
    <row r="480" spans="1:32" s="1021" customFormat="1" ht="10">
      <c r="A480" s="55"/>
      <c r="B480" s="55"/>
      <c r="C480" s="2504" t="s">
        <v>888</v>
      </c>
      <c r="L480" s="2504"/>
      <c r="R480" s="55"/>
      <c r="AE480" s="1024"/>
      <c r="AF480" s="1024"/>
    </row>
    <row r="481" spans="1:32" s="1021" customFormat="1" ht="10">
      <c r="A481" s="55"/>
      <c r="B481" s="55"/>
      <c r="C481" s="1024" t="s">
        <v>119</v>
      </c>
      <c r="L481" s="2504"/>
      <c r="R481" s="55"/>
      <c r="AE481" s="1024"/>
      <c r="AF481" s="1024"/>
    </row>
    <row r="482" spans="1:32" s="1021" customFormat="1" ht="10">
      <c r="A482" s="55"/>
      <c r="B482" s="55"/>
      <c r="C482" s="1024" t="s">
        <v>120</v>
      </c>
      <c r="L482" s="2504"/>
      <c r="R482" s="55"/>
      <c r="AE482" s="1024"/>
      <c r="AF482" s="1024"/>
    </row>
    <row r="483" spans="1:32" s="1021" customFormat="1" ht="10">
      <c r="A483" s="55"/>
      <c r="B483" s="55"/>
      <c r="C483" s="1024" t="s">
        <v>121</v>
      </c>
      <c r="L483" s="2504"/>
      <c r="R483" s="55"/>
      <c r="AE483" s="1024"/>
      <c r="AF483" s="1024"/>
    </row>
    <row r="484" spans="1:32" s="1021" customFormat="1" ht="10">
      <c r="A484" s="55"/>
      <c r="B484" s="55"/>
      <c r="C484" s="1024" t="s">
        <v>2440</v>
      </c>
      <c r="R484" s="55"/>
      <c r="AE484" s="1024"/>
      <c r="AF484" s="1024"/>
    </row>
    <row r="485" spans="1:32" s="1021" customFormat="1" ht="10">
      <c r="A485" s="55"/>
      <c r="B485" s="55"/>
      <c r="C485" s="2504" t="s">
        <v>1866</v>
      </c>
      <c r="L485" s="2504"/>
      <c r="R485" s="55"/>
      <c r="AE485" s="1024"/>
      <c r="AF485" s="1024"/>
    </row>
    <row r="486" spans="1:32" s="1021" customFormat="1" ht="10">
      <c r="A486" s="55"/>
      <c r="B486" s="55"/>
      <c r="C486" s="1024" t="s">
        <v>2441</v>
      </c>
      <c r="L486" s="2504"/>
      <c r="R486" s="55"/>
      <c r="AE486" s="1024"/>
      <c r="AF486" s="1024"/>
    </row>
    <row r="487" spans="1:32" s="1021" customFormat="1" ht="10">
      <c r="A487" s="55"/>
      <c r="B487" s="55"/>
      <c r="C487" s="1024" t="s">
        <v>1305</v>
      </c>
      <c r="L487" s="2504"/>
      <c r="R487" s="55"/>
      <c r="AE487" s="1024"/>
      <c r="AF487" s="1024"/>
    </row>
    <row r="488" spans="1:32" s="1021" customFormat="1" ht="10">
      <c r="A488" s="55"/>
      <c r="B488" s="55"/>
      <c r="C488" s="1024" t="s">
        <v>1486</v>
      </c>
      <c r="K488" s="2507" t="s">
        <v>434</v>
      </c>
      <c r="L488" s="2504"/>
      <c r="R488" s="55"/>
      <c r="AE488" s="1024"/>
      <c r="AF488" s="1024"/>
    </row>
    <row r="489" spans="1:32" s="1021" customFormat="1" ht="10">
      <c r="A489" s="55"/>
      <c r="B489" s="55"/>
      <c r="C489" s="1024" t="s">
        <v>2442</v>
      </c>
      <c r="K489" s="1021" t="s">
        <v>1019</v>
      </c>
      <c r="L489" s="2504"/>
      <c r="R489" s="55"/>
      <c r="AE489" s="1024"/>
      <c r="AF489" s="1024"/>
    </row>
    <row r="490" spans="1:32" s="1021" customFormat="1" ht="10">
      <c r="A490" s="55"/>
      <c r="B490" s="55"/>
      <c r="C490" s="1024" t="s">
        <v>2443</v>
      </c>
      <c r="K490" s="1021" t="s">
        <v>3250</v>
      </c>
      <c r="R490" s="55"/>
      <c r="AE490" s="1024"/>
      <c r="AF490" s="1024"/>
    </row>
    <row r="491" spans="1:32" s="1021" customFormat="1" ht="10">
      <c r="A491" s="55"/>
      <c r="B491" s="55"/>
      <c r="C491" s="2504" t="s">
        <v>1131</v>
      </c>
      <c r="K491" s="1021" t="s">
        <v>6209</v>
      </c>
      <c r="R491" s="55"/>
      <c r="AE491" s="1024"/>
      <c r="AF491" s="1024"/>
    </row>
    <row r="492" spans="1:32" s="1021" customFormat="1" ht="10">
      <c r="A492" s="55"/>
      <c r="B492" s="55"/>
      <c r="R492" s="55"/>
      <c r="AE492" s="1024"/>
      <c r="AF492" s="1024"/>
    </row>
    <row r="493" spans="1:32" s="1021" customFormat="1" ht="10">
      <c r="A493" s="55"/>
      <c r="B493" s="55"/>
      <c r="C493" s="2506" t="s">
        <v>244</v>
      </c>
      <c r="K493" s="2507" t="s">
        <v>2073</v>
      </c>
      <c r="R493" s="55"/>
      <c r="AE493" s="1024"/>
      <c r="AF493" s="1024"/>
    </row>
    <row r="494" spans="1:32" s="1021" customFormat="1" ht="10">
      <c r="A494" s="55"/>
      <c r="B494" s="55"/>
      <c r="C494" s="1021" t="s">
        <v>1020</v>
      </c>
      <c r="K494" s="1021" t="s">
        <v>2148</v>
      </c>
      <c r="R494" s="55"/>
      <c r="AE494" s="1024"/>
      <c r="AF494" s="1024"/>
    </row>
    <row r="495" spans="1:32" s="1021" customFormat="1" ht="10">
      <c r="A495" s="55"/>
      <c r="B495" s="55"/>
      <c r="C495" s="1021" t="s">
        <v>163</v>
      </c>
      <c r="K495" s="2508" t="s">
        <v>6312</v>
      </c>
      <c r="R495" s="55"/>
      <c r="AE495" s="1024"/>
      <c r="AF495" s="1024"/>
    </row>
    <row r="496" spans="1:32" s="1021" customFormat="1" ht="10">
      <c r="A496" s="55"/>
      <c r="B496" s="55"/>
      <c r="C496" s="1021" t="s">
        <v>1430</v>
      </c>
      <c r="K496" s="1021" t="s">
        <v>6311</v>
      </c>
      <c r="R496" s="55"/>
      <c r="AE496" s="1024"/>
      <c r="AF496" s="1024"/>
    </row>
    <row r="497" spans="1:32" s="1021" customFormat="1" ht="10">
      <c r="A497" s="55"/>
      <c r="B497" s="55"/>
      <c r="C497" s="1021" t="s">
        <v>1966</v>
      </c>
      <c r="K497" s="1021" t="s">
        <v>6210</v>
      </c>
      <c r="R497" s="55"/>
      <c r="AE497" s="1024"/>
      <c r="AF497" s="1024"/>
    </row>
    <row r="498" spans="1:32" s="1021" customFormat="1" ht="10">
      <c r="A498" s="55"/>
      <c r="B498" s="55"/>
      <c r="C498" s="1021" t="s">
        <v>162</v>
      </c>
      <c r="K498" s="1021" t="s">
        <v>6313</v>
      </c>
      <c r="R498" s="55"/>
      <c r="AE498" s="1024"/>
      <c r="AF498" s="1024"/>
    </row>
    <row r="499" spans="1:32" s="1021" customFormat="1" ht="10">
      <c r="A499" s="55"/>
      <c r="B499" s="55"/>
      <c r="K499" s="2507" t="s">
        <v>1809</v>
      </c>
      <c r="R499" s="55"/>
      <c r="AE499" s="1024"/>
      <c r="AF499" s="1024"/>
    </row>
    <row r="500" spans="1:32" s="1021" customFormat="1" ht="10">
      <c r="A500" s="55"/>
      <c r="B500" s="55"/>
      <c r="K500" s="1021" t="s">
        <v>1018</v>
      </c>
      <c r="R500" s="55"/>
      <c r="AE500" s="1024"/>
      <c r="AF500" s="1024"/>
    </row>
    <row r="501" spans="1:32" s="1021" customFormat="1" ht="10">
      <c r="A501" s="55"/>
      <c r="B501" s="55"/>
      <c r="K501" s="1021" t="s">
        <v>1629</v>
      </c>
      <c r="R501" s="55"/>
      <c r="AE501" s="1024"/>
      <c r="AF501" s="1024"/>
    </row>
    <row r="502" spans="1:32" s="1021" customFormat="1" ht="10">
      <c r="A502" s="55"/>
      <c r="B502" s="55"/>
      <c r="K502" s="1021" t="s">
        <v>1068</v>
      </c>
      <c r="R502" s="55"/>
      <c r="AE502" s="1024"/>
      <c r="AF502" s="1024"/>
    </row>
    <row r="503" spans="1:32" s="1021" customFormat="1" ht="10">
      <c r="A503" s="55"/>
      <c r="B503" s="55"/>
      <c r="K503" s="1021" t="s">
        <v>1630</v>
      </c>
      <c r="R503" s="55"/>
      <c r="AE503" s="1024"/>
      <c r="AF503" s="1024"/>
    </row>
    <row r="504" spans="1:32" s="1021" customFormat="1" ht="10">
      <c r="A504" s="55"/>
      <c r="B504" s="55"/>
      <c r="K504" s="1021" t="s">
        <v>2186</v>
      </c>
      <c r="R504" s="55"/>
      <c r="AE504" s="1024"/>
      <c r="AF504" s="1024"/>
    </row>
    <row r="505" spans="1:32" s="1021" customFormat="1" ht="10">
      <c r="A505" s="55"/>
      <c r="B505" s="55"/>
      <c r="R505" s="55"/>
      <c r="AE505" s="1024"/>
      <c r="AF505" s="1024"/>
    </row>
    <row r="506" spans="1:32" s="1021" customFormat="1" ht="10">
      <c r="A506" s="55"/>
      <c r="B506" s="55"/>
      <c r="C506" s="2506" t="s">
        <v>952</v>
      </c>
      <c r="M506" s="2506" t="s">
        <v>3856</v>
      </c>
      <c r="R506" s="55"/>
      <c r="AE506" s="1024"/>
      <c r="AF506" s="1024"/>
    </row>
    <row r="507" spans="1:32" s="1021" customFormat="1" ht="10">
      <c r="A507" s="55"/>
      <c r="B507" s="55"/>
      <c r="C507" s="1021" t="s">
        <v>951</v>
      </c>
      <c r="M507" s="1021" t="s">
        <v>951</v>
      </c>
      <c r="R507" s="55"/>
      <c r="AE507" s="1024"/>
      <c r="AF507" s="1024"/>
    </row>
    <row r="508" spans="1:32" s="1021" customFormat="1" ht="10">
      <c r="A508" s="55"/>
      <c r="B508" s="55"/>
      <c r="C508" s="1021" t="s">
        <v>1939</v>
      </c>
      <c r="M508" s="1021" t="s">
        <v>3853</v>
      </c>
      <c r="R508" s="55"/>
      <c r="AE508" s="1024"/>
      <c r="AF508" s="1024"/>
    </row>
    <row r="509" spans="1:32" s="1021" customFormat="1" ht="10">
      <c r="A509" s="55"/>
      <c r="B509" s="55"/>
      <c r="C509" s="1021" t="s">
        <v>2342</v>
      </c>
      <c r="M509" s="1021" t="s">
        <v>3884</v>
      </c>
      <c r="R509" s="55"/>
      <c r="AE509" s="1024"/>
      <c r="AF509" s="1024"/>
    </row>
    <row r="510" spans="1:32" s="1021" customFormat="1" ht="10">
      <c r="A510" s="55"/>
      <c r="B510" s="55"/>
      <c r="C510" s="1021" t="s">
        <v>1940</v>
      </c>
      <c r="M510" s="1021" t="s">
        <v>1541</v>
      </c>
      <c r="R510" s="55"/>
      <c r="AE510" s="1024"/>
      <c r="AF510" s="1024"/>
    </row>
    <row r="511" spans="1:32" s="1021" customFormat="1" ht="10">
      <c r="A511" s="55"/>
      <c r="B511" s="55"/>
      <c r="C511" s="1021" t="s">
        <v>1810</v>
      </c>
      <c r="M511" s="1021" t="s">
        <v>3854</v>
      </c>
      <c r="R511" s="55"/>
      <c r="AE511" s="1024"/>
      <c r="AF511" s="1024"/>
    </row>
    <row r="512" spans="1:32" s="1021" customFormat="1" ht="10">
      <c r="A512" s="55"/>
      <c r="B512" s="55"/>
      <c r="C512" s="1021" t="s">
        <v>548</v>
      </c>
      <c r="M512" s="2508" t="s">
        <v>3903</v>
      </c>
      <c r="R512" s="55"/>
      <c r="AE512" s="1024"/>
      <c r="AF512" s="1024"/>
    </row>
    <row r="513" spans="1:32" s="1021" customFormat="1" ht="10">
      <c r="A513" s="55"/>
      <c r="B513" s="55"/>
      <c r="C513" s="1021" t="s">
        <v>2036</v>
      </c>
      <c r="M513" s="2508" t="s">
        <v>3904</v>
      </c>
      <c r="R513" s="55"/>
      <c r="AE513" s="1024"/>
      <c r="AF513" s="1024"/>
    </row>
    <row r="514" spans="1:32" s="1021" customFormat="1" ht="10">
      <c r="A514" s="55"/>
      <c r="B514" s="55"/>
      <c r="C514" s="2509" t="s">
        <v>30</v>
      </c>
      <c r="M514" s="1021" t="s">
        <v>3855</v>
      </c>
      <c r="R514" s="55"/>
      <c r="AE514" s="1024"/>
      <c r="AF514" s="1024"/>
    </row>
    <row r="515" spans="1:32" s="1021" customFormat="1" ht="10">
      <c r="A515" s="55"/>
      <c r="B515" s="55"/>
      <c r="M515" s="2510" t="s">
        <v>1953</v>
      </c>
      <c r="R515" s="55"/>
      <c r="AE515" s="1024"/>
      <c r="AF515" s="1024"/>
    </row>
    <row r="516" spans="1:32" s="1021" customFormat="1" ht="10">
      <c r="A516" s="55"/>
      <c r="B516" s="55"/>
      <c r="R516" s="55"/>
      <c r="AE516" s="1024"/>
      <c r="AF516" s="1024"/>
    </row>
    <row r="517" spans="1:32" s="1021" customFormat="1" ht="10">
      <c r="A517" s="55"/>
      <c r="B517" s="55"/>
      <c r="R517" s="55"/>
      <c r="AE517" s="1024"/>
      <c r="AF517" s="1024"/>
    </row>
    <row r="518" spans="1:32" s="1021" customFormat="1" ht="10.5">
      <c r="A518" s="55"/>
      <c r="B518" s="55"/>
      <c r="M518" s="2511" t="s">
        <v>3262</v>
      </c>
      <c r="R518" s="55"/>
      <c r="AE518" s="1024"/>
      <c r="AF518" s="1024"/>
    </row>
    <row r="519" spans="1:32" s="1021" customFormat="1" ht="10">
      <c r="A519" s="55"/>
      <c r="B519" s="55"/>
      <c r="M519" s="1021" t="s">
        <v>3339</v>
      </c>
      <c r="R519" s="55"/>
      <c r="AE519" s="1024"/>
      <c r="AF519" s="1024"/>
    </row>
    <row r="520" spans="1:32" s="1021" customFormat="1" ht="10">
      <c r="A520" s="55"/>
      <c r="B520" s="55"/>
      <c r="M520" s="1021" t="s">
        <v>3334</v>
      </c>
      <c r="R520" s="55"/>
      <c r="AE520" s="1024"/>
      <c r="AF520" s="1024"/>
    </row>
    <row r="521" spans="1:32" s="1021" customFormat="1" ht="10">
      <c r="A521" s="55"/>
      <c r="B521" s="55"/>
      <c r="M521" s="1021" t="s">
        <v>3255</v>
      </c>
      <c r="R521" s="55"/>
      <c r="AE521" s="1024"/>
      <c r="AF521" s="1024"/>
    </row>
    <row r="522" spans="1:32" s="1021" customFormat="1" ht="10">
      <c r="A522" s="55"/>
      <c r="B522" s="55"/>
      <c r="M522" s="1021" t="s">
        <v>3330</v>
      </c>
      <c r="R522" s="55"/>
      <c r="AE522" s="1024"/>
      <c r="AF522" s="1024"/>
    </row>
    <row r="523" spans="1:32" s="1021" customFormat="1" ht="10.5">
      <c r="A523" s="55"/>
      <c r="B523" s="55"/>
      <c r="D523" s="2511" t="s">
        <v>1889</v>
      </c>
      <c r="M523" s="1021" t="s">
        <v>3256</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5" customHeight="1">
      <c r="A2" s="4190" t="s">
        <v>6532</v>
      </c>
      <c r="B2" s="4190"/>
      <c r="C2" s="183"/>
      <c r="D2" s="1474">
        <v>2021</v>
      </c>
      <c r="E2" s="180"/>
      <c r="F2" s="4227" t="s">
        <v>3001</v>
      </c>
      <c r="G2" s="4228"/>
      <c r="H2" s="4228"/>
      <c r="I2" s="4228"/>
      <c r="J2" s="4229"/>
      <c r="K2" s="303"/>
      <c r="L2" s="580" t="s">
        <v>3144</v>
      </c>
      <c r="M2" s="303"/>
      <c r="N2" s="4227" t="s">
        <v>3001</v>
      </c>
      <c r="O2" s="4228"/>
      <c r="P2" s="4228"/>
      <c r="Q2" s="4228"/>
      <c r="R2" s="4229"/>
      <c r="S2" s="313"/>
      <c r="T2" s="180"/>
      <c r="U2" s="180"/>
      <c r="V2" s="970"/>
      <c r="W2" s="970"/>
      <c r="X2" s="970"/>
      <c r="AA2" s="523"/>
      <c r="AB2" s="523"/>
    </row>
    <row r="3" spans="1:28" s="293" customFormat="1" ht="11.5" customHeight="1">
      <c r="A3" s="4190"/>
      <c r="B3" s="4190"/>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5" customHeight="1">
      <c r="A4" s="4190"/>
      <c r="B4" s="4190"/>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ht="13">
      <c r="A42" s="2375" t="s">
        <v>6533</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16"/>
      <c r="Q44" s="4005"/>
      <c r="AE44" s="128"/>
      <c r="AF44" s="128"/>
    </row>
    <row r="45" spans="1:295" s="35" customFormat="1" ht="11.25" customHeight="1">
      <c r="A45" s="4198"/>
      <c r="B45" s="4198"/>
      <c r="C45" s="4198"/>
      <c r="D45" s="4198"/>
      <c r="E45" s="4198"/>
      <c r="F45" s="1574"/>
      <c r="G45" s="4181" t="s">
        <v>2466</v>
      </c>
      <c r="H45" s="4182"/>
      <c r="I45" s="635"/>
      <c r="J45" s="42"/>
      <c r="K45" s="4183" t="s">
        <v>3167</v>
      </c>
      <c r="L45" s="4184"/>
      <c r="M45" s="4184"/>
      <c r="N45" s="4185"/>
      <c r="AE45" s="128"/>
      <c r="AF45" s="128"/>
    </row>
    <row r="46" spans="1:295" s="35" customFormat="1" ht="11.25" customHeight="1">
      <c r="A46" s="4198"/>
      <c r="B46" s="4198"/>
      <c r="C46" s="4198"/>
      <c r="D46" s="4198"/>
      <c r="E46" s="4198"/>
      <c r="F46" s="1574"/>
      <c r="G46" s="4186" t="s">
        <v>333</v>
      </c>
      <c r="H46" s="4187"/>
      <c r="I46" s="635"/>
      <c r="J46" s="42"/>
      <c r="K46" s="4192" t="s">
        <v>3168</v>
      </c>
      <c r="L46" s="4193"/>
      <c r="M46" s="4193"/>
      <c r="N46" s="4194"/>
      <c r="P46" s="533" t="s">
        <v>2475</v>
      </c>
      <c r="Q46" s="96"/>
      <c r="AE46" s="128"/>
      <c r="AF46" s="128"/>
    </row>
    <row r="47" spans="1:295" s="35" customFormat="1" ht="4.5" customHeight="1">
      <c r="A47" s="1574"/>
      <c r="B47" s="1574"/>
      <c r="C47" s="1574"/>
      <c r="D47" s="1574"/>
      <c r="E47" s="1574"/>
      <c r="F47" s="1574"/>
      <c r="G47" s="227"/>
      <c r="H47" s="227"/>
      <c r="I47" s="227"/>
      <c r="J47" s="42"/>
      <c r="K47" s="4195"/>
      <c r="L47" s="4195"/>
      <c r="M47" s="4195"/>
      <c r="N47" s="4195"/>
      <c r="P47" s="4196" t="s">
        <v>3940</v>
      </c>
      <c r="Q47" s="4196"/>
      <c r="AE47" s="128"/>
      <c r="AF47" s="128"/>
    </row>
    <row r="48" spans="1:295" s="83" customFormat="1" ht="10.5" customHeight="1">
      <c r="D48" s="636" t="s">
        <v>2465</v>
      </c>
      <c r="E48" s="35"/>
      <c r="F48" s="637" t="s">
        <v>3070</v>
      </c>
      <c r="G48" s="4212" t="s">
        <v>3897</v>
      </c>
      <c r="H48" s="4212"/>
      <c r="I48" s="4212"/>
      <c r="J48" s="35"/>
      <c r="K48" s="637" t="s">
        <v>3070</v>
      </c>
      <c r="L48" s="4212" t="s">
        <v>3896</v>
      </c>
      <c r="M48" s="4212"/>
      <c r="N48" s="4212"/>
      <c r="O48" s="35"/>
      <c r="P48" s="4196"/>
      <c r="Q48" s="4196"/>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0" t="s">
        <v>3000</v>
      </c>
      <c r="B49" s="4180"/>
      <c r="C49" s="4180"/>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197"/>
      <c r="Q49" s="4197"/>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0"/>
      <c r="B50" s="4180"/>
      <c r="C50" s="4180"/>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03" t="str">
        <f>IF('Part I-Project Identification'!$F$30="","",VLOOKUP('Part I-Project Identification'!$J$30,'DCA Underwriting Assumptions'!$G$136:$N$295,8,FALSE))</f>
        <v>Atlanta</v>
      </c>
      <c r="Q50" s="4204"/>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0"/>
      <c r="B51" s="4180"/>
      <c r="C51" s="4180"/>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05"/>
      <c r="Q51" s="4206"/>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0"/>
      <c r="B52" s="4180"/>
      <c r="C52" s="4180"/>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3990" t="s">
        <v>3941</v>
      </c>
      <c r="Q52" s="3990"/>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88">
        <f>'Part III-A-Uses of Funds'!$G$146</f>
        <v>17043481.5</v>
      </c>
      <c r="Q53" s="4189"/>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0" t="s">
        <v>3932</v>
      </c>
      <c r="Q54" s="3990"/>
      <c r="R54" s="4230" t="s">
        <v>6307</v>
      </c>
      <c r="S54" s="4230"/>
      <c r="T54" s="4230"/>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0" t="s">
        <v>2995</v>
      </c>
      <c r="B56" s="4180"/>
      <c r="C56" s="4180"/>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88">
        <f>'Part III-A-Uses of Funds'!$G$146-'Part III-A-Uses of Funds'!$G$92-'Part III-A-Uses of Funds'!$G$114-'Part III-A-Uses of Funds'!$G$130-'Part III-A-Uses of Funds'!$G$131-'Part III-A-Uses of Funds'!$G$132</f>
        <v>16326009.5</v>
      </c>
      <c r="Q56" s="4189"/>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0"/>
      <c r="B57" s="4180"/>
      <c r="C57" s="4180"/>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07" t="s">
        <v>3367</v>
      </c>
      <c r="Q57" s="4207"/>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0"/>
      <c r="B58" s="4180"/>
      <c r="C58" s="4180"/>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08"/>
      <c r="Q58" s="4209"/>
      <c r="R58" s="430"/>
      <c r="S58" s="4213" t="s">
        <v>3935</v>
      </c>
      <c r="T58" s="4214"/>
      <c r="U58" s="4214"/>
      <c r="V58" s="4215"/>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10"/>
      <c r="Q59" s="4211"/>
      <c r="S59" s="4216"/>
      <c r="T59" s="4217"/>
      <c r="U59" s="4217"/>
      <c r="V59" s="4218"/>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191" t="s">
        <v>3163</v>
      </c>
      <c r="Q60" s="4191"/>
      <c r="S60" s="4216"/>
      <c r="T60" s="4217"/>
      <c r="U60" s="4217"/>
      <c r="V60" s="4218"/>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16"/>
      <c r="T61" s="4217"/>
      <c r="U61" s="4217"/>
      <c r="V61" s="4218"/>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16"/>
      <c r="T62" s="4217"/>
      <c r="U62" s="4217"/>
      <c r="V62" s="4218"/>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16"/>
      <c r="T63" s="4217"/>
      <c r="U63" s="4217"/>
      <c r="V63" s="4218"/>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191" t="s">
        <v>3164</v>
      </c>
      <c r="Q64" s="4191"/>
      <c r="S64" s="4216"/>
      <c r="T64" s="4217"/>
      <c r="U64" s="4217"/>
      <c r="V64" s="4218"/>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216"/>
      <c r="T65" s="4217"/>
      <c r="U65" s="4217"/>
      <c r="V65" s="4218"/>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2</v>
      </c>
      <c r="Q66" s="1113">
        <f>'Part VIII Scoring Criteria'!P112</f>
        <v>3</v>
      </c>
      <c r="S66" s="4216"/>
      <c r="T66" s="4217"/>
      <c r="U66" s="4217"/>
      <c r="V66" s="4218"/>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25" t="s">
        <v>2493</v>
      </c>
      <c r="Q67" s="4225"/>
      <c r="S67" s="4216"/>
      <c r="T67" s="4217"/>
      <c r="U67" s="4217"/>
      <c r="V67" s="4218"/>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225"/>
      <c r="Q68" s="4225"/>
      <c r="S68" s="4216"/>
      <c r="T68" s="4217"/>
      <c r="U68" s="4217"/>
      <c r="V68" s="4218"/>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25"/>
      <c r="Q69" s="4225"/>
      <c r="R69" s="430"/>
      <c r="S69" s="4216"/>
      <c r="T69" s="4217"/>
      <c r="U69" s="4217"/>
      <c r="V69" s="4218"/>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26"/>
      <c r="Q70" s="4226"/>
      <c r="R70" s="430"/>
      <c r="S70" s="4219"/>
      <c r="T70" s="4220"/>
      <c r="U70" s="4220"/>
      <c r="V70" s="4221"/>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60</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60 units = </v>
      </c>
      <c r="I71" s="1573">
        <f>IF(F71="","",F71*G71)</f>
        <v>11721099</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199">
        <f>IF(P58&gt;1,P58, IF(OR('Part VIII Scoring Criteria'!$O$112='Part VIII Scoring Criteria'!$M$112,AND('Part III-A-Uses of Funds'!$T$179="Yes",'Part VIII Scoring Criteria'!$O$377&gt;0)),H77+M77,H77))</f>
        <v>11721099</v>
      </c>
      <c r="Q71" s="4200"/>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3" t="str">
        <f>IF(F72="","",F72*G72)</f>
        <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01"/>
      <c r="Q72" s="4202"/>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22" t="s">
        <v>3451</v>
      </c>
      <c r="Q73" s="4222"/>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23"/>
      <c r="Q74" s="4223"/>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60</v>
      </c>
      <c r="G75" s="638"/>
      <c r="H75" s="1107"/>
      <c r="I75" s="1110">
        <f>SUM(I70:I74)</f>
        <v>11721099</v>
      </c>
      <c r="J75" s="1109"/>
      <c r="K75" s="1106">
        <f>SUM(K70:K74)</f>
        <v>0</v>
      </c>
      <c r="L75" s="1109"/>
      <c r="M75" s="1107"/>
      <c r="N75" s="1110">
        <f>SUM(N70:N74)</f>
        <v>0</v>
      </c>
      <c r="O75" s="578"/>
      <c r="P75" s="4223"/>
      <c r="Q75" s="4223"/>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3"/>
      <c r="Q76" s="4223"/>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60</v>
      </c>
      <c r="G77" s="341"/>
      <c r="H77" s="4231">
        <f>I54+I61+I68+I75</f>
        <v>11721099</v>
      </c>
      <c r="I77" s="4231"/>
      <c r="J77" s="4231"/>
      <c r="K77" s="629">
        <f>K54+K61+K68+K75</f>
        <v>0</v>
      </c>
      <c r="L77" s="630"/>
      <c r="M77" s="4231">
        <f>N54+N61+N68+N75</f>
        <v>0</v>
      </c>
      <c r="N77" s="4231"/>
      <c r="O77" s="4231"/>
      <c r="P77" s="4223"/>
      <c r="Q77" s="4223"/>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224"/>
      <c r="Q78" s="4224"/>
      <c r="AE78" s="128"/>
      <c r="AF78" s="128"/>
    </row>
    <row r="79" spans="1:295" s="35" customFormat="1" ht="10.5" customHeight="1">
      <c r="A79" s="3995"/>
      <c r="B79" s="3996"/>
      <c r="C79" s="3996"/>
      <c r="D79" s="3996"/>
      <c r="E79" s="3996"/>
      <c r="F79" s="3996"/>
      <c r="G79" s="3996"/>
      <c r="H79" s="3996"/>
      <c r="I79" s="3996"/>
      <c r="J79" s="3997"/>
      <c r="K79" s="3999"/>
      <c r="L79" s="4000"/>
      <c r="M79" s="4000"/>
      <c r="N79" s="4000"/>
      <c r="O79" s="4000"/>
      <c r="P79" s="4000"/>
      <c r="Q79" s="4001"/>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397" zoomScaleNormal="100" workbookViewId="0">
      <selection activeCell="A413" sqref="A413:P413"/>
    </sheetView>
  </sheetViews>
  <sheetFormatPr defaultColWidth="9.1796875" defaultRowHeight="13"/>
  <cols>
    <col min="1" max="1" width="6"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6.7265625" style="1202" customWidth="1"/>
    <col min="17" max="17" width="6" style="27" customWidth="1"/>
    <col min="18" max="21" width="9.1796875" style="27" customWidth="1"/>
    <col min="22" max="23" width="10" style="27" customWidth="1"/>
    <col min="24" max="16384" width="9.1796875" style="27"/>
  </cols>
  <sheetData>
    <row r="1" spans="1:25" s="35" customFormat="1" ht="14.15" customHeight="1">
      <c r="A1" s="3616" t="str">
        <f>CONCATENATE("PART EIGHT - SCORING CRITERIA","  -  ",'Part I-Project Identification'!$O$7," ",'Part I-Project Identification'!$F$29,", ",'Part I-Project Identification'!F30,", ",'Part I-Project Identification'!J30," County")</f>
        <v>PART EIGHT - SCORING CRITERIA  -  2022-0 Villa Rica Senior, Villa Rica, Carroll County</v>
      </c>
      <c r="B1" s="3617"/>
      <c r="C1" s="3617"/>
      <c r="D1" s="3617"/>
      <c r="E1" s="3617"/>
      <c r="F1" s="3617"/>
      <c r="G1" s="3617"/>
      <c r="H1" s="3617"/>
      <c r="I1" s="3617"/>
      <c r="J1" s="3617"/>
      <c r="K1" s="3617"/>
      <c r="L1" s="3617"/>
      <c r="M1" s="3617"/>
      <c r="N1" s="3617"/>
      <c r="O1" s="3617"/>
      <c r="P1" s="3618"/>
      <c r="Q1" s="4527" t="s">
        <v>6653</v>
      </c>
      <c r="R1" s="4527"/>
      <c r="S1" s="4527"/>
      <c r="T1" s="4527"/>
      <c r="U1" s="4527"/>
      <c r="V1" s="4527"/>
      <c r="W1" s="2662"/>
      <c r="X1" s="2601"/>
    </row>
    <row r="2" spans="1:25" s="35" customFormat="1" ht="4.4000000000000004" customHeight="1">
      <c r="A2" s="36"/>
      <c r="B2" s="36"/>
      <c r="C2" s="37"/>
      <c r="D2" s="36"/>
      <c r="E2" s="36"/>
      <c r="F2" s="36"/>
      <c r="G2" s="36"/>
      <c r="H2" s="36"/>
      <c r="I2" s="36"/>
      <c r="J2" s="36"/>
      <c r="K2" s="36"/>
      <c r="L2" s="36"/>
      <c r="M2" s="38"/>
      <c r="N2" s="72"/>
      <c r="O2" s="1203"/>
      <c r="P2" s="1203"/>
      <c r="Q2" s="4527"/>
      <c r="R2" s="4527"/>
      <c r="S2" s="4527"/>
      <c r="T2" s="4527"/>
      <c r="U2" s="4527"/>
      <c r="V2" s="4527"/>
      <c r="W2" s="2662"/>
      <c r="X2" s="2601"/>
    </row>
    <row r="3" spans="1:25" s="42" customFormat="1" ht="12" customHeight="1">
      <c r="A3" s="4416" t="s">
        <v>6667</v>
      </c>
      <c r="B3" s="4416"/>
      <c r="C3" s="4416"/>
      <c r="D3" s="4416"/>
      <c r="E3" s="4416"/>
      <c r="F3" s="4416"/>
      <c r="G3" s="4416"/>
      <c r="H3" s="4416"/>
      <c r="I3" s="4416"/>
      <c r="J3" s="4416"/>
      <c r="K3" s="4416"/>
      <c r="L3" s="4416"/>
      <c r="M3" s="855"/>
      <c r="N3" s="73"/>
      <c r="O3" s="84" t="s">
        <v>2051</v>
      </c>
      <c r="P3" s="1171" t="s">
        <v>245</v>
      </c>
      <c r="Q3" s="4527"/>
      <c r="R3" s="4527"/>
      <c r="S3" s="4527"/>
      <c r="T3" s="4527"/>
      <c r="U3" s="4527"/>
      <c r="V3" s="4527"/>
      <c r="W3" s="2662"/>
      <c r="X3" s="2601"/>
    </row>
    <row r="4" spans="1:25" s="44" customFormat="1" ht="12" customHeight="1">
      <c r="A4" s="4416"/>
      <c r="B4" s="4416"/>
      <c r="C4" s="4416"/>
      <c r="D4" s="4416"/>
      <c r="E4" s="4416"/>
      <c r="F4" s="4416"/>
      <c r="G4" s="4416"/>
      <c r="H4" s="4416"/>
      <c r="I4" s="4416"/>
      <c r="J4" s="4416"/>
      <c r="K4" s="4416"/>
      <c r="L4" s="4416"/>
      <c r="M4" s="855"/>
      <c r="N4" s="85"/>
      <c r="O4" s="186" t="s">
        <v>2052</v>
      </c>
      <c r="P4" s="186" t="s">
        <v>2052</v>
      </c>
      <c r="Q4" s="4527"/>
      <c r="R4" s="4527"/>
      <c r="S4" s="4527"/>
      <c r="T4" s="4527"/>
      <c r="U4" s="4527"/>
      <c r="V4" s="4527"/>
    </row>
    <row r="5" spans="1:25" s="44" customFormat="1" ht="3" customHeight="1" thickBot="1">
      <c r="A5" s="42"/>
      <c r="B5" s="42"/>
      <c r="C5" s="42"/>
      <c r="D5" s="42"/>
      <c r="E5" s="42"/>
      <c r="F5" s="42"/>
      <c r="G5" s="42"/>
      <c r="H5" s="42"/>
      <c r="I5" s="42"/>
      <c r="J5" s="42"/>
      <c r="K5" s="42"/>
      <c r="M5" s="2133"/>
      <c r="N5" s="10"/>
      <c r="O5" s="872"/>
      <c r="P5" s="30"/>
      <c r="Q5" s="4527"/>
      <c r="R5" s="4527"/>
      <c r="S5" s="4527"/>
      <c r="T5" s="4527"/>
      <c r="U5" s="4527"/>
      <c r="V5" s="4527"/>
    </row>
    <row r="6" spans="1:25" s="44" customFormat="1" ht="13.5" customHeight="1" thickTop="1" thickBot="1">
      <c r="A6" s="42"/>
      <c r="B6" s="4446" t="str">
        <f>'Part I-Project Identification'!$A$6</f>
        <v>May 12 2022 Core Application</v>
      </c>
      <c r="C6" s="4446"/>
      <c r="D6" s="4446"/>
      <c r="E6" s="4446"/>
      <c r="F6" s="4446"/>
      <c r="G6" s="484"/>
      <c r="H6" s="42"/>
      <c r="I6" s="42"/>
      <c r="J6" s="42"/>
      <c r="L6" s="69" t="s">
        <v>1153</v>
      </c>
      <c r="M6" s="3"/>
      <c r="N6" s="9"/>
      <c r="O6" s="2099">
        <f>O441</f>
        <v>67</v>
      </c>
      <c r="P6" s="2099">
        <f>P441</f>
        <v>25</v>
      </c>
      <c r="Q6" s="2656" t="s">
        <v>6744</v>
      </c>
      <c r="R6" s="2653"/>
      <c r="S6" s="2653"/>
      <c r="T6" s="2653"/>
      <c r="U6" s="2653"/>
      <c r="V6" s="2653"/>
      <c r="W6" s="2653"/>
      <c r="X6" s="2653"/>
      <c r="Y6" s="2653"/>
    </row>
    <row r="7" spans="1:25" s="43" customFormat="1" ht="3.65"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5"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443" t="s">
        <v>6501</v>
      </c>
      <c r="G12" s="4443"/>
      <c r="H12" s="4443"/>
      <c r="I12" s="4443"/>
      <c r="J12" s="4443"/>
      <c r="K12" s="4443"/>
      <c r="L12" s="4443"/>
      <c r="M12" s="4443"/>
      <c r="N12" s="4443"/>
      <c r="O12" s="1520" t="s">
        <v>3814</v>
      </c>
      <c r="P12" s="1521">
        <f>SUM(P13:P31)</f>
        <v>0</v>
      </c>
      <c r="Q12" s="4526" t="s">
        <v>6553</v>
      </c>
      <c r="R12" s="4526"/>
      <c r="S12" s="4526"/>
      <c r="T12" s="4526"/>
      <c r="U12" s="4526"/>
      <c r="V12" s="1495"/>
    </row>
    <row r="13" spans="1:25" s="42" customFormat="1" ht="10.5" customHeight="1">
      <c r="A13" s="1183" t="s">
        <v>1669</v>
      </c>
      <c r="B13" s="1180" t="s">
        <v>3396</v>
      </c>
      <c r="C13" s="1181"/>
      <c r="D13" s="1182"/>
      <c r="E13" s="1514">
        <f>$O$102</f>
        <v>20</v>
      </c>
      <c r="F13" s="4444" t="str">
        <f>$A$108</f>
        <v xml:space="preserve">We have included the Desirable/Undesirable Certification form along with the accompanying maps and photos in Tab 27. Future planned activities within the master development include an adjacent Publix with construction to start in 2023, a YMCA, a restaurant and a Tanner Medical facility with construction to begin in 2023.  </v>
      </c>
      <c r="G13" s="4445"/>
      <c r="H13" s="4445"/>
      <c r="I13" s="4445"/>
      <c r="J13" s="4445"/>
      <c r="K13" s="4445"/>
      <c r="L13" s="4445"/>
      <c r="M13" s="4445"/>
      <c r="N13" s="4445"/>
      <c r="O13" s="4445"/>
      <c r="P13" s="1527"/>
      <c r="Q13" s="4526"/>
      <c r="R13" s="4526"/>
      <c r="S13" s="4526"/>
      <c r="T13" s="4526"/>
      <c r="U13" s="4526"/>
      <c r="V13" s="1495"/>
    </row>
    <row r="14" spans="1:25" s="42" customFormat="1" ht="10.5" customHeight="1">
      <c r="A14" s="1183" t="s">
        <v>496</v>
      </c>
      <c r="B14" s="953" t="s">
        <v>4042</v>
      </c>
      <c r="C14" s="1102"/>
      <c r="D14" s="1184"/>
      <c r="E14" s="2329">
        <f>$O$112</f>
        <v>2</v>
      </c>
      <c r="F14" s="4437" t="str">
        <f>$A$146</f>
        <v>This site is within the on call service area for Carroll Connection.</v>
      </c>
      <c r="G14" s="4438"/>
      <c r="H14" s="4438"/>
      <c r="I14" s="4438"/>
      <c r="J14" s="4438"/>
      <c r="K14" s="4438"/>
      <c r="L14" s="4438"/>
      <c r="M14" s="4438"/>
      <c r="N14" s="4438"/>
      <c r="O14" s="4439"/>
      <c r="P14" s="1528"/>
      <c r="Q14" s="4526"/>
      <c r="R14" s="4526"/>
      <c r="S14" s="4526"/>
      <c r="T14" s="4526"/>
      <c r="U14" s="4526"/>
    </row>
    <row r="15" spans="1:25" s="42" customFormat="1" ht="10.5" customHeight="1">
      <c r="A15" s="1183" t="s">
        <v>720</v>
      </c>
      <c r="B15" s="953" t="s">
        <v>3341</v>
      </c>
      <c r="C15" s="1102"/>
      <c r="D15" s="1184"/>
      <c r="E15" s="2329">
        <f>$O$151</f>
        <v>3</v>
      </c>
      <c r="F15" s="4437" t="str">
        <f>$A$164</f>
        <v>All zoned schools meet the quality education criteria.</v>
      </c>
      <c r="G15" s="4438"/>
      <c r="H15" s="4438"/>
      <c r="I15" s="4438"/>
      <c r="J15" s="4438"/>
      <c r="K15" s="4438"/>
      <c r="L15" s="4438"/>
      <c r="M15" s="4438"/>
      <c r="N15" s="4438"/>
      <c r="O15" s="4439"/>
      <c r="P15" s="1528"/>
      <c r="Q15" s="3295"/>
      <c r="R15" s="3295"/>
      <c r="S15" s="3295"/>
      <c r="T15" s="3295"/>
      <c r="U15" s="3295"/>
    </row>
    <row r="16" spans="1:25" s="42" customFormat="1" ht="10.5" customHeight="1">
      <c r="A16" s="2096" t="s">
        <v>280</v>
      </c>
      <c r="B16" s="953" t="s">
        <v>3397</v>
      </c>
      <c r="C16" s="1102"/>
      <c r="D16" s="1184"/>
      <c r="E16" s="1516">
        <f>$O$168</f>
        <v>0</v>
      </c>
      <c r="F16" s="4437" t="str">
        <f>$A$185</f>
        <v>N/A</v>
      </c>
      <c r="G16" s="4438"/>
      <c r="H16" s="4438"/>
      <c r="I16" s="4438"/>
      <c r="J16" s="4438"/>
      <c r="K16" s="4438"/>
      <c r="L16" s="4438"/>
      <c r="M16" s="4438"/>
      <c r="N16" s="4438"/>
      <c r="O16" s="4439"/>
      <c r="P16" s="1528"/>
      <c r="Q16" s="3295"/>
      <c r="R16" s="3295"/>
      <c r="S16" s="3295"/>
      <c r="T16" s="3295"/>
      <c r="U16" s="3295"/>
    </row>
    <row r="17" spans="1:35" s="42" customFormat="1" ht="10.5" customHeight="1">
      <c r="A17" s="1183" t="s">
        <v>401</v>
      </c>
      <c r="B17" s="1190" t="s">
        <v>3398</v>
      </c>
      <c r="C17" s="1191"/>
      <c r="D17" s="1192"/>
      <c r="E17" s="1517" t="s">
        <v>1611</v>
      </c>
      <c r="F17" s="4447" t="str">
        <f>$A$200</f>
        <v>N/A</v>
      </c>
      <c r="G17" s="4448"/>
      <c r="H17" s="4448"/>
      <c r="I17" s="4448"/>
      <c r="J17" s="4448"/>
      <c r="K17" s="4448"/>
      <c r="L17" s="4448"/>
      <c r="M17" s="4448"/>
      <c r="N17" s="4448"/>
      <c r="O17" s="4449"/>
      <c r="P17" s="1528"/>
      <c r="Q17" s="3295"/>
      <c r="R17" s="3295"/>
      <c r="S17" s="3295"/>
      <c r="T17" s="3295"/>
      <c r="U17" s="3295"/>
    </row>
    <row r="18" spans="1:35" s="42" customFormat="1" ht="10.5" customHeight="1">
      <c r="A18" s="1183" t="s">
        <v>342</v>
      </c>
      <c r="B18" s="953" t="s">
        <v>4043</v>
      </c>
      <c r="C18" s="1102"/>
      <c r="D18" s="1184"/>
      <c r="E18" s="1515">
        <f>$O$204</f>
        <v>8</v>
      </c>
      <c r="F18" s="4437" t="str">
        <f>$A$219</f>
        <v>This census tract income level is middle and three indicators meet the required metric.</v>
      </c>
      <c r="G18" s="4438"/>
      <c r="H18" s="4438"/>
      <c r="I18" s="4438"/>
      <c r="J18" s="4438"/>
      <c r="K18" s="4438"/>
      <c r="L18" s="4438"/>
      <c r="M18" s="4438"/>
      <c r="N18" s="4438"/>
      <c r="O18" s="4439"/>
      <c r="P18" s="1528"/>
      <c r="Q18" s="4493" t="str">
        <f>IF(OR($A$108="",$A$146="",$A$164="",$A$185="",$A$200="",$A$219="",$A$237="",$A$247="",$A$256="",$A$280="",$A$305="",$A$313="",$A$337="",$A$373="",$A$392="",$A$413="",$A$419="",$A$429="",$A$437=""),"Some Applicant Scoring Justification boxes are empty! Check to see if points claimed.","")</f>
        <v/>
      </c>
      <c r="R18" s="4494"/>
      <c r="S18" s="4494"/>
    </row>
    <row r="19" spans="1:35" s="42" customFormat="1" ht="10.5" customHeight="1">
      <c r="A19" s="1183" t="s">
        <v>4045</v>
      </c>
      <c r="B19" s="953" t="s">
        <v>3263</v>
      </c>
      <c r="C19" s="1102"/>
      <c r="D19" s="1184"/>
      <c r="E19" s="1515">
        <f>$O$232</f>
        <v>0</v>
      </c>
      <c r="F19" s="4437" t="str">
        <f>$A$237</f>
        <v>N/A</v>
      </c>
      <c r="G19" s="4438"/>
      <c r="H19" s="4438"/>
      <c r="I19" s="4438"/>
      <c r="J19" s="4438"/>
      <c r="K19" s="4438"/>
      <c r="L19" s="4438"/>
      <c r="M19" s="4438"/>
      <c r="N19" s="4438"/>
      <c r="O19" s="4439"/>
      <c r="P19" s="1528"/>
      <c r="Q19" s="4493"/>
      <c r="R19" s="4494"/>
      <c r="S19" s="4494"/>
    </row>
    <row r="20" spans="1:35" s="42" customFormat="1" ht="10.5" customHeight="1">
      <c r="A20" s="1183" t="s">
        <v>4057</v>
      </c>
      <c r="B20" s="953" t="s">
        <v>4046</v>
      </c>
      <c r="C20" s="1102"/>
      <c r="D20" s="1184"/>
      <c r="E20" s="1517">
        <f>$O$241</f>
        <v>0</v>
      </c>
      <c r="F20" s="4437" t="str">
        <f>$A$247</f>
        <v>N/A</v>
      </c>
      <c r="G20" s="4438"/>
      <c r="H20" s="4438"/>
      <c r="I20" s="4438"/>
      <c r="J20" s="4438"/>
      <c r="K20" s="4438"/>
      <c r="L20" s="4438"/>
      <c r="M20" s="4438"/>
      <c r="N20" s="4438"/>
      <c r="O20" s="4439"/>
      <c r="P20" s="1528"/>
      <c r="Q20" s="4493"/>
      <c r="R20" s="4494"/>
      <c r="S20" s="4494"/>
    </row>
    <row r="21" spans="1:35" s="42" customFormat="1" ht="10.5" customHeight="1">
      <c r="A21" s="1189" t="s">
        <v>6250</v>
      </c>
      <c r="B21" s="1190" t="s">
        <v>4047</v>
      </c>
      <c r="C21" s="1191"/>
      <c r="D21" s="1192"/>
      <c r="E21" s="1518">
        <f>$O$251</f>
        <v>0</v>
      </c>
      <c r="F21" s="4447" t="str">
        <f>$A$256</f>
        <v>N/A</v>
      </c>
      <c r="G21" s="4448"/>
      <c r="H21" s="4448"/>
      <c r="I21" s="4448"/>
      <c r="J21" s="4448"/>
      <c r="K21" s="4448"/>
      <c r="L21" s="4448"/>
      <c r="M21" s="4448"/>
      <c r="N21" s="4448"/>
      <c r="O21" s="4449"/>
      <c r="P21" s="1528"/>
      <c r="Q21" s="4493"/>
      <c r="R21" s="4494"/>
      <c r="S21" s="4494"/>
    </row>
    <row r="22" spans="1:35" s="42" customFormat="1" ht="10.5" customHeight="1">
      <c r="A22" s="1183" t="s">
        <v>6645</v>
      </c>
      <c r="B22" s="953" t="s">
        <v>6557</v>
      </c>
      <c r="C22" s="1102"/>
      <c r="D22" s="1184"/>
      <c r="E22" s="1515">
        <f>$O$273</f>
        <v>0</v>
      </c>
      <c r="F22" s="4437" t="str">
        <f>$A$280</f>
        <v>See Tab 47</v>
      </c>
      <c r="G22" s="4438"/>
      <c r="H22" s="4438"/>
      <c r="I22" s="4438"/>
      <c r="J22" s="4438"/>
      <c r="K22" s="4438"/>
      <c r="L22" s="4438"/>
      <c r="M22" s="4438"/>
      <c r="N22" s="4438"/>
      <c r="O22" s="4439"/>
      <c r="P22" s="1528"/>
      <c r="Q22" s="4493"/>
      <c r="R22" s="4494"/>
      <c r="S22" s="4494"/>
    </row>
    <row r="23" spans="1:35" s="42" customFormat="1" ht="10.5" customHeight="1">
      <c r="A23" s="1183" t="s">
        <v>6647</v>
      </c>
      <c r="B23" s="953" t="s">
        <v>6646</v>
      </c>
      <c r="C23" s="1102"/>
      <c r="D23" s="1184"/>
      <c r="E23" s="1515">
        <f>$O$284</f>
        <v>2</v>
      </c>
      <c r="F23" s="4437" t="str">
        <f>$A$305</f>
        <v>We have signed an engagement with Goode Van Slyke, a qualified MBE.</v>
      </c>
      <c r="G23" s="4438"/>
      <c r="H23" s="4438"/>
      <c r="I23" s="4438"/>
      <c r="J23" s="4438"/>
      <c r="K23" s="4438"/>
      <c r="L23" s="4438"/>
      <c r="M23" s="4438"/>
      <c r="N23" s="4438"/>
      <c r="O23" s="4439"/>
      <c r="P23" s="1528"/>
      <c r="Q23" s="4493"/>
      <c r="R23" s="4494"/>
      <c r="S23" s="4494"/>
    </row>
    <row r="24" spans="1:35" s="42" customFormat="1" ht="10.5" customHeight="1">
      <c r="A24" s="2096" t="s">
        <v>3371</v>
      </c>
      <c r="B24" s="2534" t="s">
        <v>6563</v>
      </c>
      <c r="C24" s="2535"/>
      <c r="D24" s="2536"/>
      <c r="E24" s="1516">
        <f>$O$309</f>
        <v>2</v>
      </c>
      <c r="F24" s="4487" t="str">
        <f>$A$313</f>
        <v>National Church is a highly qualified service provider with a CORES certification. A evidenced in our budget, we are providing service coordination on site.</v>
      </c>
      <c r="G24" s="4488"/>
      <c r="H24" s="4488"/>
      <c r="I24" s="4488"/>
      <c r="J24" s="4488"/>
      <c r="K24" s="4488"/>
      <c r="L24" s="4488"/>
      <c r="M24" s="4488"/>
      <c r="N24" s="4488"/>
      <c r="O24" s="4489"/>
      <c r="P24" s="1528"/>
      <c r="Q24" s="4493"/>
      <c r="R24" s="4494"/>
      <c r="S24" s="4494"/>
    </row>
    <row r="25" spans="1:35" s="42" customFormat="1" ht="10.5" customHeight="1">
      <c r="A25" s="1183" t="s">
        <v>3375</v>
      </c>
      <c r="B25" s="953" t="s">
        <v>3399</v>
      </c>
      <c r="C25" s="1102"/>
      <c r="D25" s="1184"/>
      <c r="E25" s="1515">
        <f>$O$333</f>
        <v>0</v>
      </c>
      <c r="F25" s="4437" t="str">
        <f>$A$337</f>
        <v>N/A</v>
      </c>
      <c r="G25" s="4438"/>
      <c r="H25" s="4438"/>
      <c r="I25" s="4438"/>
      <c r="J25" s="4438"/>
      <c r="K25" s="4438"/>
      <c r="L25" s="4438"/>
      <c r="M25" s="4438"/>
      <c r="N25" s="4438"/>
      <c r="O25" s="4439"/>
      <c r="P25" s="1528"/>
      <c r="Q25" s="4493"/>
      <c r="R25" s="4494"/>
      <c r="S25" s="4494"/>
    </row>
    <row r="26" spans="1:35" s="42" customFormat="1" ht="10.5" customHeight="1">
      <c r="A26" s="1183" t="s">
        <v>3378</v>
      </c>
      <c r="B26" s="953" t="s">
        <v>3400</v>
      </c>
      <c r="C26" s="1102"/>
      <c r="D26" s="1184"/>
      <c r="E26" s="1515">
        <f>$O$341</f>
        <v>0</v>
      </c>
      <c r="F26" s="4437" t="str">
        <f>$A$373</f>
        <v>N/A</v>
      </c>
      <c r="G26" s="4438"/>
      <c r="H26" s="4438"/>
      <c r="I26" s="4438"/>
      <c r="J26" s="4438"/>
      <c r="K26" s="4438"/>
      <c r="L26" s="4438"/>
      <c r="M26" s="4438"/>
      <c r="N26" s="4438"/>
      <c r="O26" s="4439"/>
      <c r="P26" s="1528"/>
      <c r="Q26" s="4493"/>
      <c r="R26" s="4494"/>
      <c r="S26" s="4494"/>
    </row>
    <row r="27" spans="1:35" s="42" customFormat="1" ht="10.5" customHeight="1">
      <c r="A27" s="1183" t="s">
        <v>3379</v>
      </c>
      <c r="B27" s="953" t="s">
        <v>3401</v>
      </c>
      <c r="C27" s="1102"/>
      <c r="D27" s="1184"/>
      <c r="E27" s="1517">
        <f>$O$377</f>
        <v>0</v>
      </c>
      <c r="F27" s="4437" t="str">
        <f>$A$392</f>
        <v>N/A</v>
      </c>
      <c r="G27" s="4438"/>
      <c r="H27" s="4438"/>
      <c r="I27" s="4438"/>
      <c r="J27" s="4438"/>
      <c r="K27" s="4438"/>
      <c r="L27" s="4438"/>
      <c r="M27" s="4438"/>
      <c r="N27" s="4438"/>
      <c r="O27" s="4439"/>
      <c r="P27" s="1528"/>
      <c r="Q27" s="2652"/>
      <c r="R27" s="2128"/>
      <c r="S27" s="2128"/>
      <c r="AA27" s="4"/>
      <c r="AB27" s="4"/>
      <c r="AC27" s="4"/>
      <c r="AD27" s="4"/>
      <c r="AE27" s="4"/>
      <c r="AF27" s="4"/>
    </row>
    <row r="28" spans="1:35" s="42" customFormat="1" ht="10.5" customHeight="1">
      <c r="A28" s="1185" t="s">
        <v>3381</v>
      </c>
      <c r="B28" s="1186" t="s">
        <v>6644</v>
      </c>
      <c r="C28" s="1187"/>
      <c r="D28" s="1188"/>
      <c r="E28" s="2116">
        <f>$O$404</f>
        <v>3</v>
      </c>
      <c r="F28" s="4440" t="str">
        <f>$A$413</f>
        <v>National Church Residences is a highly experienced 811 provider and intends to accept 811 subsidy from DCA upon request.</v>
      </c>
      <c r="G28" s="4441"/>
      <c r="H28" s="4441"/>
      <c r="I28" s="4441"/>
      <c r="J28" s="4441"/>
      <c r="K28" s="4441"/>
      <c r="L28" s="4441"/>
      <c r="M28" s="4441"/>
      <c r="N28" s="4441"/>
      <c r="O28" s="4442"/>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6138</v>
      </c>
      <c r="C29" s="1102"/>
      <c r="D29" s="1184"/>
      <c r="E29" s="1515">
        <f>$O$417</f>
        <v>0</v>
      </c>
      <c r="F29" s="4437" t="str">
        <f>$A$419</f>
        <v>N/A</v>
      </c>
      <c r="G29" s="4438"/>
      <c r="H29" s="4438"/>
      <c r="I29" s="4438"/>
      <c r="J29" s="4438"/>
      <c r="K29" s="4438"/>
      <c r="L29" s="4438"/>
      <c r="M29" s="4438"/>
      <c r="N29" s="4438"/>
      <c r="O29" s="4439"/>
      <c r="P29" s="1528"/>
      <c r="Q29" s="2652"/>
      <c r="R29" s="2128"/>
      <c r="S29" s="2128"/>
    </row>
    <row r="30" spans="1:35" s="42" customFormat="1" ht="10.5" customHeight="1">
      <c r="A30" s="1183" t="s">
        <v>3807</v>
      </c>
      <c r="B30" s="953" t="s">
        <v>6561</v>
      </c>
      <c r="C30" s="1102"/>
      <c r="D30" s="1184"/>
      <c r="E30" s="1515">
        <f>$O$427</f>
        <v>0</v>
      </c>
      <c r="F30" s="4437" t="str">
        <f>$A$429</f>
        <v>N/A</v>
      </c>
      <c r="G30" s="4438"/>
      <c r="H30" s="4438"/>
      <c r="I30" s="4438"/>
      <c r="J30" s="4438"/>
      <c r="K30" s="4438"/>
      <c r="L30" s="4438"/>
      <c r="M30" s="4438"/>
      <c r="N30" s="4438"/>
      <c r="O30" s="4439"/>
      <c r="P30" s="1528"/>
      <c r="Q30" s="2652"/>
      <c r="R30" s="2128"/>
      <c r="S30" s="2128"/>
      <c r="AA30" s="3953" t="s">
        <v>6571</v>
      </c>
      <c r="AB30" s="3953"/>
      <c r="AC30" s="3953"/>
      <c r="AD30" s="3953"/>
      <c r="AE30" s="3953"/>
      <c r="AF30" s="3953"/>
    </row>
    <row r="31" spans="1:35" s="42" customFormat="1" ht="10.5" customHeight="1">
      <c r="A31" s="1185" t="s">
        <v>6564</v>
      </c>
      <c r="B31" s="1186" t="s">
        <v>6562</v>
      </c>
      <c r="C31" s="1187"/>
      <c r="D31" s="1188"/>
      <c r="E31" s="2116">
        <f>$O$433</f>
        <v>0</v>
      </c>
      <c r="F31" s="4440" t="str">
        <f>$A$437</f>
        <v>N/A</v>
      </c>
      <c r="G31" s="4441"/>
      <c r="H31" s="4441"/>
      <c r="I31" s="4441"/>
      <c r="J31" s="4441"/>
      <c r="K31" s="4441"/>
      <c r="L31" s="4441"/>
      <c r="M31" s="4441"/>
      <c r="N31" s="4441"/>
      <c r="O31" s="4442"/>
      <c r="P31" s="1529"/>
      <c r="Q31" s="2652"/>
      <c r="R31" s="2128"/>
      <c r="S31" s="2128"/>
      <c r="X31" s="3953" t="s">
        <v>6572</v>
      </c>
      <c r="Y31" s="3953"/>
      <c r="Z31" s="3953"/>
      <c r="AA31" s="3953"/>
      <c r="AB31" s="3953"/>
      <c r="AC31" s="3953"/>
      <c r="AD31" s="3953" t="s">
        <v>6573</v>
      </c>
      <c r="AE31" s="3953"/>
      <c r="AF31" s="3953"/>
      <c r="AG31" s="3953"/>
      <c r="AH31" s="3953"/>
      <c r="AI31" s="3953"/>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498" t="s">
        <v>6131</v>
      </c>
      <c r="H33" s="4498"/>
      <c r="I33" s="4495" t="s">
        <v>6511</v>
      </c>
      <c r="J33" s="4496"/>
      <c r="K33" s="4496"/>
      <c r="L33" s="4497"/>
      <c r="M33" s="4450" t="s">
        <v>6144</v>
      </c>
      <c r="N33" s="4450"/>
      <c r="O33" s="4450"/>
      <c r="P33" s="4450"/>
      <c r="Q33" s="1972"/>
      <c r="R33" s="1972"/>
      <c r="S33" s="107" t="s">
        <v>6143</v>
      </c>
      <c r="T33" s="1972"/>
      <c r="U33" s="1972"/>
      <c r="V33" s="1972"/>
      <c r="X33" s="4481" t="s">
        <v>6131</v>
      </c>
      <c r="Y33" s="4483"/>
      <c r="Z33" s="4481" t="s">
        <v>6511</v>
      </c>
      <c r="AA33" s="4482"/>
      <c r="AB33" s="4482"/>
      <c r="AC33" s="4483"/>
      <c r="AD33" s="4490" t="s">
        <v>6131</v>
      </c>
      <c r="AE33" s="4491"/>
      <c r="AF33" s="4492" t="s">
        <v>6511</v>
      </c>
      <c r="AG33" s="4490"/>
      <c r="AH33" s="4490"/>
      <c r="AI33" s="4491"/>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484" t="str">
        <f>'Part I-Project Identification'!F12</f>
        <v>9% Credit Competitive Round only</v>
      </c>
      <c r="N34" s="4485"/>
      <c r="O34" s="4485"/>
      <c r="P34" s="4486"/>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232" t="s">
        <v>6570</v>
      </c>
      <c r="N39" s="4233"/>
      <c r="O39" s="4233"/>
      <c r="P39" s="4233"/>
      <c r="Q39" s="1969"/>
      <c r="R39" s="2409" t="s">
        <v>720</v>
      </c>
      <c r="S39" s="2273" t="s">
        <v>3341</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232"/>
      <c r="N40" s="4233"/>
      <c r="O40" s="4233"/>
      <c r="P40" s="4233"/>
      <c r="Q40" s="1969"/>
      <c r="R40" s="2409" t="s">
        <v>280</v>
      </c>
      <c r="S40" s="2273" t="s">
        <v>3397</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6565</v>
      </c>
      <c r="N41" s="183"/>
      <c r="O41" s="183"/>
      <c r="P41" s="1559" t="s">
        <v>2651</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c r="Q42" s="1969"/>
      <c r="R42" s="2409" t="s">
        <v>342</v>
      </c>
      <c r="S42" s="2273" t="s">
        <v>4043</v>
      </c>
      <c r="T42" s="2468"/>
      <c r="U42" s="2469"/>
      <c r="V42" s="2469"/>
      <c r="W42" s="2469"/>
      <c r="X42" s="2332">
        <f>O204</f>
        <v>8</v>
      </c>
      <c r="Y42" s="2345">
        <f>O204</f>
        <v>8</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c r="Q43" s="1969"/>
      <c r="R43" s="2409" t="s">
        <v>343</v>
      </c>
      <c r="S43" s="2273" t="s">
        <v>6134</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6519</v>
      </c>
      <c r="N44" s="2463"/>
      <c r="O44" s="568" t="s">
        <v>6148</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6566</v>
      </c>
      <c r="P45" s="2585" t="str">
        <f>IF('Part VII-Threshold Criteria'!P344="Agree","Yes","")</f>
        <v/>
      </c>
      <c r="Q45" s="1969"/>
      <c r="R45" s="2409" t="s">
        <v>1605</v>
      </c>
      <c r="S45" s="2273" t="s">
        <v>6135</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3372</v>
      </c>
      <c r="S46" s="2273" t="s">
        <v>4047</v>
      </c>
      <c r="T46" s="2470"/>
      <c r="U46" s="2471"/>
      <c r="V46" s="2471"/>
      <c r="W46" s="2471"/>
      <c r="X46" s="2332">
        <f>O251</f>
        <v>0</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3372</v>
      </c>
      <c r="B48" s="2273" t="s">
        <v>6557</v>
      </c>
      <c r="C48" s="2279"/>
      <c r="D48" s="2280"/>
      <c r="E48" s="2280"/>
      <c r="F48" s="2280"/>
      <c r="G48" s="2276">
        <v>2</v>
      </c>
      <c r="H48" s="2277">
        <v>2</v>
      </c>
      <c r="I48" s="2277">
        <v>2</v>
      </c>
      <c r="J48" s="2276">
        <v>2</v>
      </c>
      <c r="K48" s="2278">
        <v>2</v>
      </c>
      <c r="L48" s="2278">
        <v>2</v>
      </c>
      <c r="M48" s="2460" t="s">
        <v>6568</v>
      </c>
      <c r="N48" s="2461"/>
      <c r="O48" s="2462"/>
      <c r="P48" s="2497" t="s">
        <v>2654</v>
      </c>
      <c r="R48" s="2409" t="s">
        <v>3372</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6707</v>
      </c>
      <c r="AR48" s="2465"/>
      <c r="AS48" s="586"/>
      <c r="AT48" s="2582">
        <f>'Part V-Revenues &amp; Expenses'!P115+'Part V-Revenues &amp; Expenses'!P122+'Part V-Revenues &amp; Expenses'!P123</f>
        <v>60</v>
      </c>
    </row>
    <row r="49" spans="1:46" s="160" customFormat="1" ht="10.5" customHeight="1">
      <c r="A49" s="2409" t="s">
        <v>3373</v>
      </c>
      <c r="B49" s="2273" t="s">
        <v>6558</v>
      </c>
      <c r="C49" s="2279"/>
      <c r="D49" s="2280"/>
      <c r="E49" s="2280"/>
      <c r="F49" s="2280"/>
      <c r="G49" s="2276">
        <v>2</v>
      </c>
      <c r="H49" s="2277">
        <v>2</v>
      </c>
      <c r="I49" s="2277">
        <v>2</v>
      </c>
      <c r="J49" s="2276">
        <v>2</v>
      </c>
      <c r="K49" s="2278">
        <v>2</v>
      </c>
      <c r="L49" s="2278">
        <v>2</v>
      </c>
      <c r="M49" s="183" t="s">
        <v>6569</v>
      </c>
      <c r="N49" s="586"/>
      <c r="O49" s="586"/>
      <c r="P49" s="595" t="str">
        <f>'Part II-Sources of Funds'!$L$14</f>
        <v>No</v>
      </c>
      <c r="R49" s="2409" t="s">
        <v>3373</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6699</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6563</v>
      </c>
      <c r="C50" s="2279"/>
      <c r="D50" s="2280"/>
      <c r="E50" s="2280"/>
      <c r="F50" s="2280"/>
      <c r="G50" s="2276">
        <v>2</v>
      </c>
      <c r="H50" s="2277"/>
      <c r="I50" s="2277"/>
      <c r="J50" s="2276">
        <v>2</v>
      </c>
      <c r="K50" s="2278">
        <v>2</v>
      </c>
      <c r="L50" s="2278">
        <v>2</v>
      </c>
      <c r="Q50" s="1969"/>
      <c r="R50" s="2409" t="s">
        <v>3371</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6136</v>
      </c>
      <c r="C51" s="2279"/>
      <c r="D51" s="2280"/>
      <c r="E51" s="2280"/>
      <c r="F51" s="2280"/>
      <c r="G51" s="2276">
        <v>2</v>
      </c>
      <c r="H51" s="2277"/>
      <c r="I51" s="2277"/>
      <c r="J51" s="2276">
        <v>2</v>
      </c>
      <c r="K51" s="2278">
        <v>2</v>
      </c>
      <c r="L51" s="2278">
        <v>2</v>
      </c>
      <c r="M51" s="4236" t="s">
        <v>6742</v>
      </c>
      <c r="N51" s="4237"/>
      <c r="O51" s="4237"/>
      <c r="P51" s="4237"/>
      <c r="Q51" s="536"/>
      <c r="R51" s="2409" t="s">
        <v>3374</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236"/>
      <c r="N52" s="4237"/>
      <c r="O52" s="4237"/>
      <c r="P52" s="4237"/>
      <c r="R52" s="2409" t="s">
        <v>3375</v>
      </c>
      <c r="S52" s="2273" t="s">
        <v>3399</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238"/>
      <c r="N53" s="4239"/>
      <c r="O53" s="4239"/>
      <c r="P53" s="4239"/>
      <c r="R53" s="2409" t="s">
        <v>3378</v>
      </c>
      <c r="S53" s="2273" t="s">
        <v>3400</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451" t="s">
        <v>6131</v>
      </c>
      <c r="N54" s="4452"/>
      <c r="O54" s="4452"/>
      <c r="P54" s="4453"/>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6137</v>
      </c>
      <c r="C55" s="2279"/>
      <c r="D55" s="2280"/>
      <c r="E55" s="2280"/>
      <c r="F55" s="2280"/>
      <c r="G55" s="2276">
        <v>10</v>
      </c>
      <c r="H55" s="2277">
        <v>10</v>
      </c>
      <c r="I55" s="2277">
        <v>10</v>
      </c>
      <c r="J55" s="2276">
        <v>10</v>
      </c>
      <c r="K55" s="2278">
        <v>10</v>
      </c>
      <c r="L55" s="2278">
        <v>10</v>
      </c>
      <c r="M55" s="4454"/>
      <c r="N55" s="4455"/>
      <c r="O55" s="4455"/>
      <c r="P55" s="4456"/>
      <c r="R55" s="2409" t="s">
        <v>3380</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6559</v>
      </c>
      <c r="C56" s="2279"/>
      <c r="D56" s="2280"/>
      <c r="E56" s="2280"/>
      <c r="F56" s="2280"/>
      <c r="G56" s="2276">
        <v>3</v>
      </c>
      <c r="H56" s="2277">
        <v>3</v>
      </c>
      <c r="I56" s="2277">
        <v>3</v>
      </c>
      <c r="J56" s="2276">
        <v>3</v>
      </c>
      <c r="K56" s="2278">
        <v>3</v>
      </c>
      <c r="L56" s="2278">
        <v>3</v>
      </c>
      <c r="R56" s="2409" t="s">
        <v>3381</v>
      </c>
      <c r="S56" s="2273" t="s">
        <v>6559</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3382</v>
      </c>
      <c r="B57" s="2273" t="s">
        <v>6138</v>
      </c>
      <c r="C57" s="2279"/>
      <c r="D57" s="2280"/>
      <c r="E57" s="2280"/>
      <c r="F57" s="2280"/>
      <c r="G57" s="2276"/>
      <c r="H57" s="2277"/>
      <c r="I57" s="2277">
        <v>6</v>
      </c>
      <c r="J57" s="2276">
        <v>6</v>
      </c>
      <c r="K57" s="2278">
        <v>6</v>
      </c>
      <c r="L57" s="2278">
        <v>6</v>
      </c>
      <c r="M57" s="4232" t="s">
        <v>6146</v>
      </c>
      <c r="N57" s="4233"/>
      <c r="O57" s="4233"/>
      <c r="P57" s="4233"/>
      <c r="Q57" s="1969"/>
      <c r="R57" s="2409" t="s">
        <v>3382</v>
      </c>
      <c r="S57" s="2273" t="s">
        <v>6138</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6560</v>
      </c>
      <c r="C58" s="2279"/>
      <c r="D58" s="2280"/>
      <c r="E58" s="2280"/>
      <c r="F58" s="2280"/>
      <c r="G58" s="2276"/>
      <c r="H58" s="2277"/>
      <c r="I58" s="2277">
        <v>6</v>
      </c>
      <c r="J58" s="2276">
        <v>6</v>
      </c>
      <c r="K58" s="2278">
        <v>6</v>
      </c>
      <c r="L58" s="2278">
        <v>6</v>
      </c>
      <c r="M58" s="4234"/>
      <c r="N58" s="4235"/>
      <c r="O58" s="4235"/>
      <c r="P58" s="4235"/>
      <c r="Q58" s="1969"/>
      <c r="R58" s="2409" t="s">
        <v>3383</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6561</v>
      </c>
      <c r="C59" s="2279"/>
      <c r="D59" s="2280"/>
      <c r="E59" s="2280"/>
      <c r="F59" s="2280"/>
      <c r="G59" s="2276"/>
      <c r="H59" s="2277"/>
      <c r="I59" s="2277">
        <v>4</v>
      </c>
      <c r="J59" s="2276">
        <v>4</v>
      </c>
      <c r="K59" s="2278">
        <v>4</v>
      </c>
      <c r="L59" s="2278">
        <v>4</v>
      </c>
      <c r="M59" s="4532" t="s">
        <v>2393</v>
      </c>
      <c r="N59" s="4533"/>
      <c r="O59" s="4533"/>
      <c r="P59" s="4534"/>
      <c r="R59" s="2409" t="s">
        <v>3807</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535"/>
      <c r="N60" s="4536"/>
      <c r="O60" s="4536"/>
      <c r="P60" s="4537"/>
      <c r="Q60" s="1969"/>
      <c r="R60" s="2409" t="s">
        <v>6564</v>
      </c>
      <c r="S60" s="2281" t="s">
        <v>6562</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67</v>
      </c>
      <c r="Y62" s="2343">
        <f t="shared" ref="Y62" si="1">SUM(Y35:Y60)</f>
        <v>64</v>
      </c>
      <c r="Z62" s="2343">
        <f>SUM(Z35:Z60)</f>
        <v>31</v>
      </c>
      <c r="AA62" s="2343">
        <f>SUM(AA35:AA60)</f>
        <v>31</v>
      </c>
      <c r="AB62" s="2343">
        <f>SUM(AB35:AB60)</f>
        <v>33</v>
      </c>
      <c r="AC62" s="2343">
        <f>SUM(AC35:AC60)</f>
        <v>33</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5"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6249</v>
      </c>
    </row>
    <row r="66" spans="1:20" s="43" customFormat="1" ht="12.75" customHeight="1">
      <c r="A66" s="191"/>
      <c r="B66" s="2094" t="s">
        <v>1845</v>
      </c>
      <c r="C66" s="111" t="s">
        <v>3812</v>
      </c>
      <c r="D66" s="48"/>
      <c r="E66" s="48"/>
      <c r="F66" s="1207"/>
      <c r="H66" s="185" t="s">
        <v>3177</v>
      </c>
      <c r="J66" s="49"/>
      <c r="N66" s="415" t="s">
        <v>1845</v>
      </c>
      <c r="P66" s="1152">
        <f>F74</f>
        <v>0</v>
      </c>
    </row>
    <row r="67" spans="1:20" s="43" customFormat="1" ht="12.75" customHeight="1">
      <c r="A67" s="191"/>
      <c r="B67" s="2094" t="s">
        <v>1847</v>
      </c>
      <c r="C67" s="111" t="s">
        <v>6248</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270" t="s">
        <v>3899</v>
      </c>
      <c r="D69" s="4271"/>
      <c r="E69" s="4271"/>
      <c r="F69" s="4271"/>
      <c r="G69" s="4271"/>
      <c r="H69" s="4271"/>
      <c r="I69" s="4271"/>
      <c r="J69" s="4271"/>
      <c r="K69" s="4271"/>
      <c r="L69" s="4271"/>
      <c r="M69" s="4271"/>
      <c r="N69" s="4271"/>
      <c r="O69" s="4271"/>
      <c r="P69" s="4272"/>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196" t="s">
        <v>6077</v>
      </c>
      <c r="B73" s="4196"/>
      <c r="C73" s="4196"/>
      <c r="D73" s="4196"/>
      <c r="E73" s="4196"/>
      <c r="F73" s="1492" t="s">
        <v>3393</v>
      </c>
      <c r="G73" s="4429" t="s">
        <v>6079</v>
      </c>
      <c r="H73" s="4429"/>
      <c r="I73" s="4429"/>
      <c r="J73" s="1492" t="s">
        <v>3393</v>
      </c>
      <c r="K73" s="4433" t="s">
        <v>6078</v>
      </c>
      <c r="L73" s="4433"/>
      <c r="M73" s="4433"/>
      <c r="N73" s="4433"/>
      <c r="O73" s="4427" t="s">
        <v>3393</v>
      </c>
      <c r="P73" s="4428"/>
      <c r="R73" s="468"/>
      <c r="S73" s="159"/>
    </row>
    <row r="74" spans="1:20" s="42" customFormat="1" ht="12.75" customHeight="1">
      <c r="A74" s="4426"/>
      <c r="B74" s="4426"/>
      <c r="C74" s="4426"/>
      <c r="D74" s="4426"/>
      <c r="E74" s="4426"/>
      <c r="F74" s="76">
        <f>SUM(F75:F86)</f>
        <v>0</v>
      </c>
      <c r="G74" s="4430"/>
      <c r="H74" s="4431"/>
      <c r="I74" s="4432"/>
      <c r="J74" s="76">
        <f>SUM(J75:J86)</f>
        <v>0</v>
      </c>
      <c r="K74" s="4434"/>
      <c r="L74" s="4435"/>
      <c r="M74" s="4435"/>
      <c r="N74" s="4436"/>
      <c r="O74" s="4417">
        <f>SUM(O75:O86)</f>
        <v>0</v>
      </c>
      <c r="P74" s="4418"/>
      <c r="Q74" s="468"/>
      <c r="R74" s="159"/>
    </row>
    <row r="75" spans="1:20" s="42" customFormat="1" ht="24.75" customHeight="1">
      <c r="A75" s="4419">
        <v>1</v>
      </c>
      <c r="B75" s="4420"/>
      <c r="C75" s="4420"/>
      <c r="D75" s="4420"/>
      <c r="E75" s="4421"/>
      <c r="F75" s="866"/>
      <c r="G75" s="4419">
        <v>1</v>
      </c>
      <c r="H75" s="4420"/>
      <c r="I75" s="4421"/>
      <c r="J75" s="870" t="s">
        <v>1611</v>
      </c>
      <c r="K75" s="4422">
        <v>1</v>
      </c>
      <c r="L75" s="4423"/>
      <c r="M75" s="4423"/>
      <c r="N75" s="4423"/>
      <c r="O75" s="4424" t="s">
        <v>1611</v>
      </c>
      <c r="P75" s="4425"/>
      <c r="Q75" s="466" t="s">
        <v>1181</v>
      </c>
      <c r="R75" s="159"/>
    </row>
    <row r="76" spans="1:20" s="42" customFormat="1" ht="24.75" customHeight="1">
      <c r="A76" s="4263">
        <v>2</v>
      </c>
      <c r="B76" s="4264"/>
      <c r="C76" s="4264"/>
      <c r="D76" s="4264"/>
      <c r="E76" s="4265"/>
      <c r="F76" s="867"/>
      <c r="G76" s="4263">
        <v>2</v>
      </c>
      <c r="H76" s="4264"/>
      <c r="I76" s="4265"/>
      <c r="J76" s="867"/>
      <c r="K76" s="4266">
        <v>2</v>
      </c>
      <c r="L76" s="4267"/>
      <c r="M76" s="4267"/>
      <c r="N76" s="4267"/>
      <c r="O76" s="4268"/>
      <c r="P76" s="4269"/>
      <c r="Q76" s="467"/>
      <c r="R76" s="159"/>
    </row>
    <row r="77" spans="1:20" s="42" customFormat="1" ht="24.75" customHeight="1">
      <c r="A77" s="4263">
        <v>3</v>
      </c>
      <c r="B77" s="4264"/>
      <c r="C77" s="4264"/>
      <c r="D77" s="4264"/>
      <c r="E77" s="4265"/>
      <c r="F77" s="867"/>
      <c r="G77" s="4263">
        <v>3</v>
      </c>
      <c r="H77" s="4264"/>
      <c r="I77" s="4265"/>
      <c r="J77" s="1193" t="s">
        <v>2578</v>
      </c>
      <c r="K77" s="4266">
        <v>3</v>
      </c>
      <c r="L77" s="4267"/>
      <c r="M77" s="4267"/>
      <c r="N77" s="4267"/>
      <c r="O77" s="4242" t="s">
        <v>2578</v>
      </c>
      <c r="P77" s="4243"/>
      <c r="Q77" s="4240" t="s">
        <v>3813</v>
      </c>
      <c r="R77" s="4241"/>
      <c r="S77" s="1495"/>
      <c r="T77" s="1495"/>
    </row>
    <row r="78" spans="1:20" s="42" customFormat="1" ht="24.75" customHeight="1">
      <c r="A78" s="4263">
        <v>4</v>
      </c>
      <c r="B78" s="4264"/>
      <c r="C78" s="4264"/>
      <c r="D78" s="4264"/>
      <c r="E78" s="4265"/>
      <c r="F78" s="867"/>
      <c r="G78" s="4263">
        <v>4</v>
      </c>
      <c r="H78" s="4264"/>
      <c r="I78" s="4265"/>
      <c r="J78" s="867"/>
      <c r="K78" s="4266">
        <v>4</v>
      </c>
      <c r="L78" s="4267"/>
      <c r="M78" s="4267"/>
      <c r="N78" s="4267"/>
      <c r="O78" s="4242" t="s">
        <v>2578</v>
      </c>
      <c r="P78" s="4243"/>
      <c r="Q78" s="4240"/>
      <c r="R78" s="4241"/>
      <c r="S78" s="1495"/>
      <c r="T78" s="1495"/>
    </row>
    <row r="79" spans="1:20" s="42" customFormat="1" ht="24.75" customHeight="1">
      <c r="A79" s="4263">
        <v>5</v>
      </c>
      <c r="B79" s="4264"/>
      <c r="C79" s="4264"/>
      <c r="D79" s="4264"/>
      <c r="E79" s="4265"/>
      <c r="F79" s="867"/>
      <c r="G79" s="4263">
        <v>5</v>
      </c>
      <c r="H79" s="4264"/>
      <c r="I79" s="4265"/>
      <c r="J79" s="1193" t="s">
        <v>3147</v>
      </c>
      <c r="K79" s="4266">
        <v>5</v>
      </c>
      <c r="L79" s="4267"/>
      <c r="M79" s="4267"/>
      <c r="N79" s="4267"/>
      <c r="O79" s="4268"/>
      <c r="P79" s="4269"/>
      <c r="Q79" s="4240"/>
      <c r="R79" s="4241"/>
      <c r="S79" s="1495"/>
      <c r="T79" s="1495"/>
    </row>
    <row r="80" spans="1:20" s="42" customFormat="1" ht="24" customHeight="1">
      <c r="A80" s="4263">
        <v>6</v>
      </c>
      <c r="B80" s="4264"/>
      <c r="C80" s="4264"/>
      <c r="D80" s="4264"/>
      <c r="E80" s="4265"/>
      <c r="F80" s="867"/>
      <c r="G80" s="4263">
        <v>6</v>
      </c>
      <c r="H80" s="4264"/>
      <c r="I80" s="4265"/>
      <c r="J80" s="867"/>
      <c r="K80" s="4266">
        <v>6</v>
      </c>
      <c r="L80" s="4267"/>
      <c r="M80" s="4267"/>
      <c r="N80" s="4267"/>
      <c r="O80" s="4268"/>
      <c r="P80" s="4269"/>
      <c r="Q80" s="4240"/>
      <c r="R80" s="4241"/>
    </row>
    <row r="81" spans="1:19" s="42" customFormat="1" ht="24.75" customHeight="1">
      <c r="A81" s="4263">
        <v>7</v>
      </c>
      <c r="B81" s="4264"/>
      <c r="C81" s="4264"/>
      <c r="D81" s="4264"/>
      <c r="E81" s="4265"/>
      <c r="F81" s="867"/>
      <c r="G81" s="4263">
        <v>7</v>
      </c>
      <c r="H81" s="4264"/>
      <c r="I81" s="4265"/>
      <c r="J81" s="1193" t="s">
        <v>3148</v>
      </c>
      <c r="K81" s="4266">
        <v>7</v>
      </c>
      <c r="L81" s="4267"/>
      <c r="M81" s="4267"/>
      <c r="N81" s="4267"/>
      <c r="O81" s="4268"/>
      <c r="P81" s="4269"/>
      <c r="Q81" s="159"/>
      <c r="R81" s="159"/>
    </row>
    <row r="82" spans="1:19" s="42" customFormat="1" ht="24.75" customHeight="1">
      <c r="A82" s="4263">
        <v>8</v>
      </c>
      <c r="B82" s="4264"/>
      <c r="C82" s="4264"/>
      <c r="D82" s="4264"/>
      <c r="E82" s="4265"/>
      <c r="F82" s="867"/>
      <c r="G82" s="4263">
        <v>8</v>
      </c>
      <c r="H82" s="4264"/>
      <c r="I82" s="4265"/>
      <c r="J82" s="867"/>
      <c r="K82" s="4266">
        <v>8</v>
      </c>
      <c r="L82" s="4267"/>
      <c r="M82" s="4267"/>
      <c r="N82" s="4267"/>
      <c r="O82" s="4268"/>
      <c r="P82" s="4269"/>
      <c r="Q82" s="159"/>
      <c r="R82" s="159"/>
    </row>
    <row r="83" spans="1:19" s="42" customFormat="1" ht="24.75" customHeight="1">
      <c r="A83" s="4263">
        <v>9</v>
      </c>
      <c r="B83" s="4264"/>
      <c r="C83" s="4264"/>
      <c r="D83" s="4264"/>
      <c r="E83" s="4265"/>
      <c r="F83" s="867"/>
      <c r="G83" s="4263">
        <v>9</v>
      </c>
      <c r="H83" s="4264"/>
      <c r="I83" s="4265"/>
      <c r="J83" s="1193" t="s">
        <v>3149</v>
      </c>
      <c r="K83" s="4266">
        <v>9</v>
      </c>
      <c r="L83" s="4267"/>
      <c r="M83" s="4267"/>
      <c r="N83" s="4267"/>
      <c r="O83" s="4268"/>
      <c r="P83" s="4269"/>
      <c r="Q83" s="159"/>
      <c r="R83" s="159"/>
    </row>
    <row r="84" spans="1:19" s="42" customFormat="1" ht="24.75" customHeight="1">
      <c r="A84" s="4263">
        <v>10</v>
      </c>
      <c r="B84" s="4264"/>
      <c r="C84" s="4264"/>
      <c r="D84" s="4264"/>
      <c r="E84" s="4265"/>
      <c r="F84" s="867"/>
      <c r="G84" s="4263">
        <v>10</v>
      </c>
      <c r="H84" s="4264"/>
      <c r="I84" s="4265"/>
      <c r="J84" s="867"/>
      <c r="K84" s="4266">
        <v>10</v>
      </c>
      <c r="L84" s="4267"/>
      <c r="M84" s="4267"/>
      <c r="N84" s="4267"/>
      <c r="O84" s="4268"/>
      <c r="P84" s="4269"/>
      <c r="Q84" s="159"/>
    </row>
    <row r="85" spans="1:19" s="42" customFormat="1" ht="24.75" customHeight="1">
      <c r="A85" s="4263">
        <v>11</v>
      </c>
      <c r="B85" s="4264"/>
      <c r="C85" s="4264"/>
      <c r="D85" s="4264"/>
      <c r="E85" s="4265"/>
      <c r="F85" s="867"/>
      <c r="G85" s="4263">
        <v>11</v>
      </c>
      <c r="H85" s="4264"/>
      <c r="I85" s="4265"/>
      <c r="J85" s="1193" t="s">
        <v>3150</v>
      </c>
      <c r="K85" s="4263">
        <v>11</v>
      </c>
      <c r="L85" s="4264"/>
      <c r="M85" s="4264"/>
      <c r="N85" s="4265"/>
      <c r="O85" s="4268"/>
      <c r="P85" s="4269"/>
      <c r="Q85" s="159"/>
      <c r="R85" s="159"/>
    </row>
    <row r="86" spans="1:19" s="42" customFormat="1" ht="24.75" customHeight="1">
      <c r="A86" s="4504">
        <v>12</v>
      </c>
      <c r="B86" s="4505"/>
      <c r="C86" s="4505"/>
      <c r="D86" s="4505"/>
      <c r="E86" s="4506"/>
      <c r="F86" s="868"/>
      <c r="G86" s="4504">
        <v>12</v>
      </c>
      <c r="H86" s="4505"/>
      <c r="I86" s="4506"/>
      <c r="J86" s="868"/>
      <c r="K86" s="4504">
        <v>12</v>
      </c>
      <c r="L86" s="4505"/>
      <c r="M86" s="4505"/>
      <c r="N86" s="4506"/>
      <c r="O86" s="4507"/>
      <c r="P86" s="4508"/>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6147</v>
      </c>
      <c r="E90" s="57"/>
      <c r="G90" s="88"/>
      <c r="H90" s="55" t="s">
        <v>6654</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289" t="s">
        <v>3816</v>
      </c>
      <c r="C91" s="4289"/>
      <c r="D91" s="4289"/>
      <c r="E91" s="4289"/>
      <c r="F91" s="4289"/>
      <c r="G91" s="4289"/>
      <c r="H91" s="4289"/>
      <c r="I91" s="4289"/>
      <c r="J91" s="4289"/>
      <c r="K91" s="4289"/>
      <c r="L91" s="4289"/>
      <c r="M91" s="872"/>
      <c r="N91" s="7"/>
      <c r="Q91" s="7"/>
      <c r="R91" s="401"/>
    </row>
    <row r="92" spans="1:19" s="103" customFormat="1" ht="13.5" customHeight="1">
      <c r="B92" s="4289"/>
      <c r="C92" s="4289"/>
      <c r="D92" s="4289"/>
      <c r="E92" s="4289"/>
      <c r="F92" s="4289"/>
      <c r="G92" s="4289"/>
      <c r="H92" s="4289"/>
      <c r="I92" s="4289"/>
      <c r="J92" s="4289"/>
      <c r="K92" s="4289"/>
      <c r="L92" s="4289"/>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56.153846153846153</v>
      </c>
      <c r="L93" s="4319" t="str">
        <f>IF(AND(O93&gt;0,O94&gt;0), "CHOOSE EITHER A OR B, NOT BOTH!", "")</f>
        <v/>
      </c>
      <c r="M93" s="1019">
        <v>2</v>
      </c>
      <c r="N93" s="187" t="s">
        <v>1845</v>
      </c>
      <c r="O93" s="534"/>
      <c r="P93" s="544"/>
      <c r="Q93" s="1532" t="str">
        <f>IF(OR($O93=$M93,$O93=0,$O93=""),"","*CHECK!*")</f>
        <v/>
      </c>
      <c r="R93" s="1001" t="s">
        <v>4063</v>
      </c>
    </row>
    <row r="94" spans="1:19" s="103" customFormat="1" ht="13.5" customHeight="1">
      <c r="A94" s="1499" t="s">
        <v>2986</v>
      </c>
      <c r="B94" s="1512" t="s">
        <v>1847</v>
      </c>
      <c r="C94" s="1500" t="s">
        <v>3819</v>
      </c>
      <c r="D94" s="52"/>
      <c r="I94" s="1498"/>
      <c r="K94" s="52"/>
      <c r="L94" s="4319"/>
      <c r="M94" s="1019">
        <v>2</v>
      </c>
      <c r="N94" s="187" t="s">
        <v>1847</v>
      </c>
      <c r="O94" s="535">
        <v>2</v>
      </c>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538" t="s">
        <v>3820</v>
      </c>
      <c r="I96" s="4539"/>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60</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t="s">
        <v>6949</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3999"/>
      <c r="B100" s="4000"/>
      <c r="C100" s="4000"/>
      <c r="D100" s="4000"/>
      <c r="E100" s="4000"/>
      <c r="F100" s="4000"/>
      <c r="G100" s="4000"/>
      <c r="H100" s="4000"/>
      <c r="I100" s="4000"/>
      <c r="J100" s="4000"/>
      <c r="K100" s="4000"/>
      <c r="L100" s="4000"/>
      <c r="M100" s="4000"/>
      <c r="N100" s="4000"/>
      <c r="O100" s="4000"/>
      <c r="P100" s="4001"/>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4.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509" t="s">
        <v>4048</v>
      </c>
      <c r="J105" s="4510"/>
      <c r="K105" s="4510"/>
      <c r="L105" s="4511"/>
      <c r="M105" s="598">
        <v>20</v>
      </c>
      <c r="N105" s="187" t="s">
        <v>1842</v>
      </c>
      <c r="O105" s="2321">
        <v>20</v>
      </c>
      <c r="P105" s="2322"/>
      <c r="Q105" s="1532"/>
      <c r="R105" s="1001" t="s">
        <v>4063</v>
      </c>
    </row>
    <row r="106" spans="1:21" s="103" customFormat="1" ht="12.75" customHeight="1">
      <c r="A106" s="139" t="s">
        <v>1844</v>
      </c>
      <c r="B106" s="177" t="s">
        <v>3281</v>
      </c>
      <c r="D106" s="1120"/>
      <c r="F106" s="1566"/>
      <c r="H106" s="840" t="s">
        <v>3340</v>
      </c>
      <c r="I106" s="4512"/>
      <c r="J106" s="4513"/>
      <c r="K106" s="4513"/>
      <c r="L106" s="4514"/>
      <c r="M106" s="1558" t="s">
        <v>1165</v>
      </c>
      <c r="N106" s="478" t="s">
        <v>1844</v>
      </c>
      <c r="O106" s="2323">
        <v>0</v>
      </c>
      <c r="P106" s="2324"/>
      <c r="R106" s="1001" t="s">
        <v>4063</v>
      </c>
    </row>
    <row r="107" spans="1:21" s="43" customFormat="1" ht="12.75" customHeight="1" thickBot="1">
      <c r="A107" s="42"/>
      <c r="B107" s="1197" t="s">
        <v>3242</v>
      </c>
      <c r="C107" s="42"/>
      <c r="D107" s="48"/>
      <c r="E107" s="48"/>
      <c r="F107" s="48"/>
      <c r="G107" s="48"/>
      <c r="H107" s="36"/>
      <c r="I107" s="4515"/>
      <c r="J107" s="4516"/>
      <c r="K107" s="4516"/>
      <c r="L107" s="4517"/>
      <c r="M107" s="46"/>
      <c r="N107" s="62"/>
      <c r="O107" s="3"/>
      <c r="P107" s="1205"/>
    </row>
    <row r="108" spans="1:21" s="43" customFormat="1" ht="90" customHeight="1" thickTop="1" thickBot="1">
      <c r="A108" s="4324" t="s">
        <v>6992</v>
      </c>
      <c r="B108" s="4325"/>
      <c r="C108" s="4325"/>
      <c r="D108" s="4325"/>
      <c r="E108" s="4325"/>
      <c r="F108" s="4325"/>
      <c r="G108" s="4325"/>
      <c r="H108" s="4325"/>
      <c r="I108" s="4325"/>
      <c r="J108" s="4325"/>
      <c r="K108" s="4325"/>
      <c r="L108" s="4325"/>
      <c r="M108" s="4325"/>
      <c r="N108" s="4325"/>
      <c r="O108" s="4325"/>
      <c r="P108" s="4326"/>
      <c r="Q108" s="1078" t="s">
        <v>1181</v>
      </c>
      <c r="R108" s="467"/>
    </row>
    <row r="109" spans="1:21" s="43" customFormat="1" ht="11.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3999"/>
      <c r="B110" s="4000"/>
      <c r="C110" s="4000"/>
      <c r="D110" s="4000"/>
      <c r="E110" s="4000"/>
      <c r="F110" s="4000"/>
      <c r="G110" s="4000"/>
      <c r="H110" s="4000"/>
      <c r="I110" s="4000"/>
      <c r="J110" s="4000"/>
      <c r="K110" s="4000"/>
      <c r="L110" s="4000"/>
      <c r="M110" s="4000"/>
      <c r="N110" s="4000"/>
      <c r="O110" s="4000"/>
      <c r="P110" s="4001"/>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6150</v>
      </c>
      <c r="I112" s="2112" t="s">
        <v>6146</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c r="P115" s="550"/>
      <c r="Q115" s="110"/>
      <c r="R115" s="2437"/>
      <c r="S115" s="2437"/>
      <c r="T115" s="2437"/>
      <c r="U115" s="2437"/>
    </row>
    <row r="116" spans="1:21" s="43" customFormat="1" ht="11.25" customHeight="1">
      <c r="A116" s="154"/>
      <c r="B116" s="399" t="s">
        <v>2333</v>
      </c>
      <c r="C116" s="36" t="s">
        <v>6152</v>
      </c>
      <c r="D116" s="1120"/>
      <c r="E116" s="103"/>
      <c r="F116" s="103"/>
      <c r="G116" s="103"/>
      <c r="H116" s="45"/>
      <c r="I116" s="49"/>
      <c r="J116" s="48"/>
      <c r="K116" s="48"/>
      <c r="L116" s="103"/>
      <c r="M116" s="103"/>
      <c r="N116" s="478"/>
      <c r="O116" s="389"/>
      <c r="P116" s="550"/>
      <c r="Q116" s="110"/>
      <c r="R116" s="2437"/>
      <c r="S116" s="2437"/>
      <c r="T116" s="2437"/>
      <c r="U116" s="2437"/>
    </row>
    <row r="117" spans="1:21" s="43" customFormat="1" ht="11.25" customHeight="1">
      <c r="A117" s="154"/>
      <c r="B117" s="399" t="s">
        <v>1151</v>
      </c>
      <c r="C117" s="36" t="s">
        <v>6574</v>
      </c>
      <c r="D117" s="1120"/>
      <c r="E117" s="103"/>
      <c r="F117" s="103"/>
      <c r="G117" s="103"/>
      <c r="H117" s="45"/>
      <c r="I117" s="49"/>
      <c r="J117" s="48"/>
      <c r="K117" s="48"/>
      <c r="L117" s="103"/>
      <c r="M117" s="103"/>
      <c r="N117" s="478"/>
      <c r="O117" s="389"/>
      <c r="P117" s="550"/>
      <c r="Q117" s="110"/>
      <c r="R117" s="2437"/>
      <c r="S117" s="2437"/>
      <c r="T117" s="2437"/>
      <c r="U117" s="2437"/>
    </row>
    <row r="118" spans="1:21" s="43" customFormat="1" ht="11.25" customHeight="1">
      <c r="A118" s="154"/>
      <c r="B118" s="399">
        <v>5</v>
      </c>
      <c r="C118" s="36" t="s">
        <v>6575</v>
      </c>
      <c r="D118" s="1120"/>
      <c r="E118" s="103"/>
      <c r="F118" s="103"/>
      <c r="G118" s="103"/>
      <c r="H118" s="45"/>
      <c r="I118" s="49"/>
      <c r="J118" s="48"/>
      <c r="K118" s="48"/>
      <c r="L118" s="103"/>
      <c r="M118" s="103"/>
      <c r="N118" s="478"/>
      <c r="O118" s="231" t="s">
        <v>6949</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6578</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458" t="s">
        <v>3218</v>
      </c>
      <c r="G122" s="4458"/>
      <c r="H122" s="4458"/>
      <c r="I122" s="4458"/>
      <c r="J122" s="4458" t="s">
        <v>3219</v>
      </c>
      <c r="K122" s="4458"/>
      <c r="L122" s="4458"/>
      <c r="M122" s="4458"/>
      <c r="N122" s="478"/>
      <c r="O122" s="4459" t="s">
        <v>3889</v>
      </c>
      <c r="P122" s="4460"/>
      <c r="Q122" s="110"/>
      <c r="R122" s="2437"/>
      <c r="S122" s="2437"/>
      <c r="T122" s="2437"/>
      <c r="U122" s="2437"/>
    </row>
    <row r="123" spans="1:21" s="43" customFormat="1" ht="12" customHeight="1">
      <c r="B123" s="2436"/>
      <c r="C123" s="2434" t="s">
        <v>6577</v>
      </c>
      <c r="E123" s="291"/>
      <c r="F123" s="4463"/>
      <c r="G123" s="4464"/>
      <c r="H123" s="4461"/>
      <c r="I123" s="4462"/>
      <c r="J123" s="4463"/>
      <c r="K123" s="4464"/>
      <c r="L123" s="4461"/>
      <c r="M123" s="4462"/>
      <c r="N123" s="478"/>
      <c r="Q123" s="110"/>
      <c r="R123" s="2437"/>
      <c r="S123" s="2437"/>
      <c r="T123" s="2437"/>
      <c r="U123" s="2437"/>
    </row>
    <row r="124" spans="1:21" s="43" customFormat="1" ht="12" customHeight="1">
      <c r="A124" s="2436"/>
      <c r="B124" s="2436"/>
      <c r="C124" s="2436"/>
      <c r="D124" s="414"/>
      <c r="E124" s="2435" t="s">
        <v>6153</v>
      </c>
      <c r="F124" s="4322"/>
      <c r="G124" s="4323"/>
      <c r="H124" s="4308"/>
      <c r="I124" s="4309"/>
      <c r="J124" s="4322"/>
      <c r="K124" s="4323"/>
      <c r="L124" s="4308"/>
      <c r="M124" s="4309"/>
      <c r="N124" s="478"/>
      <c r="O124" s="1627"/>
      <c r="P124" s="1173"/>
      <c r="Q124" s="110"/>
      <c r="R124" s="2437"/>
      <c r="S124" s="2437"/>
      <c r="T124" s="2437"/>
      <c r="U124" s="2437"/>
    </row>
    <row r="125" spans="1:21" s="43" customFormat="1" ht="12" customHeight="1">
      <c r="A125" s="4334" t="s">
        <v>6688</v>
      </c>
      <c r="B125" s="4334"/>
      <c r="C125" s="2434" t="s">
        <v>6576</v>
      </c>
      <c r="E125" s="291"/>
      <c r="F125" s="4327"/>
      <c r="G125" s="4328"/>
      <c r="H125" s="4244"/>
      <c r="I125" s="4245"/>
      <c r="J125" s="4327"/>
      <c r="K125" s="4328"/>
      <c r="L125" s="4244"/>
      <c r="M125" s="4245"/>
      <c r="N125" s="478"/>
      <c r="O125" s="478"/>
      <c r="P125" s="478"/>
      <c r="Q125" s="110"/>
      <c r="R125" s="2437"/>
      <c r="S125" s="2437"/>
      <c r="T125" s="2437"/>
      <c r="U125" s="2437"/>
    </row>
    <row r="126" spans="1:21" s="43" customFormat="1" ht="12" customHeight="1">
      <c r="A126" s="4334"/>
      <c r="B126" s="4334"/>
      <c r="C126" s="414"/>
      <c r="D126" s="414"/>
      <c r="E126" s="2435" t="s">
        <v>3368</v>
      </c>
      <c r="F126" s="4320"/>
      <c r="G126" s="4321"/>
      <c r="H126" s="4303"/>
      <c r="I126" s="4304"/>
      <c r="J126" s="4320"/>
      <c r="K126" s="4321"/>
      <c r="L126" s="4303"/>
      <c r="M126" s="4304"/>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5" customHeight="1">
      <c r="A128" s="2600" t="s">
        <v>6710</v>
      </c>
      <c r="B128" s="106"/>
      <c r="D128" s="41"/>
      <c r="I128" s="4330" t="str">
        <f>IF(AND(O130&gt;0,O137&gt;0),"Pick A or B, not both!","")</f>
        <v/>
      </c>
      <c r="J128" s="4330"/>
      <c r="K128" s="4330" t="str">
        <f>IF(AND(P130&gt;0,P137&gt;0),"Pick A or B, not both!","")</f>
        <v/>
      </c>
      <c r="L128" s="4330"/>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5" customHeight="1">
      <c r="A130" s="144" t="s">
        <v>1842</v>
      </c>
      <c r="B130" s="177" t="s">
        <v>3239</v>
      </c>
      <c r="D130" s="41"/>
      <c r="F130" s="1197" t="s">
        <v>6692</v>
      </c>
      <c r="M130" s="1203">
        <v>6</v>
      </c>
      <c r="N130" s="415" t="s">
        <v>1842</v>
      </c>
      <c r="O130" s="2101">
        <f>IF(OR($J$112="Atlanta Metro",$J$112="Other Metro"),MIN($M130,O132+O133),0)</f>
        <v>0</v>
      </c>
      <c r="P130" s="2101">
        <f>IF(OR($J$112="Atlanta Metro",$J$112="Other Metro"),MIN($M130,P132+P133),0)</f>
        <v>0</v>
      </c>
      <c r="Q130" s="110"/>
    </row>
    <row r="131" spans="1:21" s="43" customFormat="1" ht="12.65" customHeight="1">
      <c r="A131" s="144"/>
      <c r="B131" s="36" t="s">
        <v>6154</v>
      </c>
      <c r="D131" s="41"/>
      <c r="F131" s="45"/>
      <c r="M131" s="1974"/>
      <c r="N131" s="415"/>
      <c r="O131" s="231"/>
      <c r="P131" s="551"/>
      <c r="Q131" s="110"/>
    </row>
    <row r="132" spans="1:21" s="436" customFormat="1" ht="25.5" customHeight="1">
      <c r="B132" s="462" t="s">
        <v>1845</v>
      </c>
      <c r="C132" s="4457" t="s">
        <v>6686</v>
      </c>
      <c r="D132" s="4457"/>
      <c r="E132" s="4457"/>
      <c r="F132" s="4457"/>
      <c r="G132" s="4457"/>
      <c r="H132" s="4457"/>
      <c r="I132" s="4457"/>
      <c r="J132" s="4457"/>
      <c r="K132" s="4457"/>
      <c r="L132" s="4457"/>
      <c r="M132" s="2454">
        <v>6</v>
      </c>
      <c r="N132" s="493" t="s">
        <v>1845</v>
      </c>
      <c r="O132" s="2580"/>
      <c r="P132" s="2581"/>
      <c r="Q132" s="1532"/>
      <c r="R132" s="1001" t="s">
        <v>4063</v>
      </c>
    </row>
    <row r="133" spans="1:21" s="436" customFormat="1" ht="12" customHeight="1">
      <c r="A133" s="595" t="s">
        <v>1276</v>
      </c>
      <c r="B133" s="462" t="s">
        <v>1847</v>
      </c>
      <c r="C133" s="4285" t="s">
        <v>6687</v>
      </c>
      <c r="D133" s="4285"/>
      <c r="E133" s="4285"/>
      <c r="F133" s="4285"/>
      <c r="G133" s="2572"/>
      <c r="J133" s="4465" t="s">
        <v>6683</v>
      </c>
      <c r="K133" s="4466"/>
      <c r="L133" s="4467"/>
      <c r="M133" s="598">
        <v>5</v>
      </c>
      <c r="N133" s="460" t="s">
        <v>1847</v>
      </c>
      <c r="O133" s="2596"/>
      <c r="P133" s="2597"/>
      <c r="Q133" s="2391" t="s">
        <v>6679</v>
      </c>
      <c r="R133" s="1492" t="s">
        <v>6271</v>
      </c>
      <c r="S133" s="1492" t="s">
        <v>6151</v>
      </c>
    </row>
    <row r="134" spans="1:21" s="436" customFormat="1" ht="12" customHeight="1">
      <c r="B134" s="462"/>
      <c r="C134" s="4285"/>
      <c r="D134" s="4285"/>
      <c r="E134" s="4285"/>
      <c r="F134" s="4285"/>
      <c r="G134" s="2572"/>
      <c r="H134" s="4207" t="s">
        <v>6681</v>
      </c>
      <c r="I134" s="4207"/>
      <c r="J134" s="4468"/>
      <c r="K134" s="4469"/>
      <c r="L134" s="4470"/>
      <c r="M134" s="4310" t="str">
        <f>IF(AND(O133&gt;0,O132&gt;0),"Pick A1 or A2!","")</f>
        <v/>
      </c>
      <c r="N134" s="4311"/>
      <c r="O134" s="4311"/>
      <c r="P134" s="4311"/>
      <c r="Q134" s="1004"/>
      <c r="R134" s="1983">
        <v>0.25</v>
      </c>
      <c r="S134" s="1983">
        <v>5</v>
      </c>
    </row>
    <row r="135" spans="1:21" s="436" customFormat="1" ht="12" customHeight="1">
      <c r="B135" s="462"/>
      <c r="C135" s="4285"/>
      <c r="D135" s="4285"/>
      <c r="E135" s="4285"/>
      <c r="F135" s="4285"/>
      <c r="G135" s="2572"/>
      <c r="H135" s="2326" t="s">
        <v>907</v>
      </c>
      <c r="I135" s="2574"/>
      <c r="J135" s="4468"/>
      <c r="K135" s="4469"/>
      <c r="L135" s="4470"/>
      <c r="Q135" s="1004"/>
      <c r="R135" s="1983">
        <v>0.5</v>
      </c>
      <c r="S135" s="1983">
        <v>4.5</v>
      </c>
    </row>
    <row r="136" spans="1:21" s="436" customFormat="1" ht="12" customHeight="1">
      <c r="B136" s="462"/>
      <c r="C136" s="4285"/>
      <c r="D136" s="4285"/>
      <c r="E136" s="4285"/>
      <c r="F136" s="4285"/>
      <c r="G136" s="2572"/>
      <c r="J136" s="4468"/>
      <c r="K136" s="4469"/>
      <c r="L136" s="4470"/>
      <c r="M136" s="103"/>
      <c r="N136" s="103"/>
      <c r="O136" s="103"/>
      <c r="P136" s="103"/>
      <c r="Q136" s="522"/>
      <c r="R136" s="1984">
        <v>1</v>
      </c>
      <c r="S136" s="1984">
        <v>4</v>
      </c>
    </row>
    <row r="137" spans="1:21" s="436" customFormat="1" ht="12" customHeight="1">
      <c r="A137" s="144" t="s">
        <v>1844</v>
      </c>
      <c r="B137" s="1146" t="s">
        <v>3240</v>
      </c>
      <c r="C137" s="649"/>
      <c r="D137" s="649"/>
      <c r="F137" s="2571" t="s">
        <v>6678</v>
      </c>
      <c r="J137" s="4499" t="s">
        <v>6993</v>
      </c>
      <c r="K137" s="4500"/>
      <c r="L137" s="2433" t="s">
        <v>6994</v>
      </c>
      <c r="M137" s="1675">
        <v>3</v>
      </c>
      <c r="N137" s="478" t="s">
        <v>1844</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6680</v>
      </c>
      <c r="R137" s="2575">
        <v>0.25</v>
      </c>
      <c r="S137" s="2575">
        <v>3</v>
      </c>
    </row>
    <row r="138" spans="1:21" s="43" customFormat="1" ht="12" customHeight="1">
      <c r="A138" s="154"/>
      <c r="B138" s="2132" t="s">
        <v>1845</v>
      </c>
      <c r="C138" s="4285" t="s">
        <v>6693</v>
      </c>
      <c r="D138" s="4285"/>
      <c r="E138" s="4285"/>
      <c r="F138" s="4285"/>
      <c r="G138" s="2572"/>
      <c r="H138" s="4207" t="s">
        <v>6682</v>
      </c>
      <c r="I138" s="4207"/>
      <c r="J138" s="4501" t="s">
        <v>6995</v>
      </c>
      <c r="K138" s="4502"/>
      <c r="L138" s="4503"/>
      <c r="M138" s="598">
        <v>3</v>
      </c>
      <c r="N138" s="460" t="s">
        <v>1845</v>
      </c>
      <c r="O138" s="4287"/>
      <c r="P138" s="4290"/>
      <c r="Q138" s="1004" t="str">
        <f>IF(OR($O140=$M140,$O140=0,$O140=""),"","*CHECK!*")</f>
        <v/>
      </c>
      <c r="R138" s="1983">
        <v>0.5</v>
      </c>
      <c r="S138" s="1983">
        <v>2</v>
      </c>
      <c r="U138" s="436"/>
    </row>
    <row r="139" spans="1:21" s="43" customFormat="1" ht="12" customHeight="1">
      <c r="A139" s="154"/>
      <c r="B139" s="2555"/>
      <c r="C139" s="4285"/>
      <c r="D139" s="4285"/>
      <c r="E139" s="4285"/>
      <c r="F139" s="4285"/>
      <c r="G139" s="103"/>
      <c r="H139" s="2326" t="s">
        <v>907</v>
      </c>
      <c r="I139" s="2574"/>
      <c r="J139" s="4273" t="s">
        <v>6996</v>
      </c>
      <c r="K139" s="4274"/>
      <c r="L139" s="4275"/>
      <c r="M139" s="103"/>
      <c r="O139" s="4288"/>
      <c r="P139" s="4291"/>
      <c r="Q139" s="110"/>
      <c r="R139" s="1984">
        <v>1</v>
      </c>
      <c r="S139" s="1984">
        <v>1</v>
      </c>
      <c r="U139" s="436"/>
    </row>
    <row r="140" spans="1:21" s="43" customFormat="1" ht="11.25" customHeight="1">
      <c r="A140" s="595" t="s">
        <v>1276</v>
      </c>
      <c r="B140" s="2132" t="s">
        <v>1847</v>
      </c>
      <c r="C140" s="4285" t="s">
        <v>6685</v>
      </c>
      <c r="D140" s="4285"/>
      <c r="E140" s="4285"/>
      <c r="F140" s="4285"/>
      <c r="G140" s="4285"/>
      <c r="H140" s="4285"/>
      <c r="I140" s="2573"/>
      <c r="J140" s="4276"/>
      <c r="K140" s="4277"/>
      <c r="L140" s="4278"/>
      <c r="M140" s="598">
        <v>1</v>
      </c>
      <c r="N140" s="460" t="s">
        <v>1847</v>
      </c>
      <c r="O140" s="4520"/>
      <c r="P140" s="4333"/>
      <c r="U140" s="436"/>
    </row>
    <row r="141" spans="1:21" s="43" customFormat="1" ht="11.25" customHeight="1">
      <c r="B141" s="2576"/>
      <c r="C141" s="4285"/>
      <c r="D141" s="4285"/>
      <c r="E141" s="4285"/>
      <c r="F141" s="4285"/>
      <c r="G141" s="4285"/>
      <c r="H141" s="4285"/>
      <c r="I141" s="2573"/>
      <c r="J141" s="4279"/>
      <c r="K141" s="4280"/>
      <c r="L141" s="4281"/>
      <c r="O141" s="4520"/>
      <c r="P141" s="4333"/>
      <c r="T141" s="436"/>
      <c r="U141" s="436"/>
    </row>
    <row r="142" spans="1:21" s="436" customFormat="1" ht="12" customHeight="1">
      <c r="A142" s="2131" t="s">
        <v>1276</v>
      </c>
      <c r="B142" s="2132" t="s">
        <v>2333</v>
      </c>
      <c r="C142" s="4285" t="s">
        <v>6684</v>
      </c>
      <c r="D142" s="4285"/>
      <c r="E142" s="4285"/>
      <c r="F142" s="4285"/>
      <c r="G142" s="4285"/>
      <c r="H142" s="4285"/>
      <c r="I142" s="4286"/>
      <c r="J142" s="4273" t="s">
        <v>6996</v>
      </c>
      <c r="K142" s="4274"/>
      <c r="L142" s="4275"/>
      <c r="M142" s="2454">
        <v>2</v>
      </c>
      <c r="N142" s="493" t="s">
        <v>2333</v>
      </c>
      <c r="O142" s="4331">
        <v>2</v>
      </c>
      <c r="P142" s="4518"/>
      <c r="Q142" s="1004"/>
      <c r="R142" s="1001"/>
    </row>
    <row r="143" spans="1:21" s="43" customFormat="1" ht="36.75" customHeight="1">
      <c r="C143" s="4285"/>
      <c r="D143" s="4285"/>
      <c r="E143" s="4285"/>
      <c r="F143" s="4285"/>
      <c r="G143" s="4285"/>
      <c r="H143" s="4285"/>
      <c r="I143" s="4286"/>
      <c r="J143" s="4282"/>
      <c r="K143" s="4283"/>
      <c r="L143" s="4284"/>
      <c r="O143" s="4332"/>
      <c r="P143" s="4519"/>
    </row>
    <row r="144" spans="1:21" s="43" customFormat="1" ht="12.65" customHeight="1">
      <c r="A144" s="36" t="s">
        <v>3369</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29.25" customHeight="1" thickTop="1" thickBot="1">
      <c r="A146" s="4324" t="s">
        <v>6997</v>
      </c>
      <c r="B146" s="4325"/>
      <c r="C146" s="4325"/>
      <c r="D146" s="4325"/>
      <c r="E146" s="4325"/>
      <c r="F146" s="4325"/>
      <c r="G146" s="4325"/>
      <c r="H146" s="4325"/>
      <c r="I146" s="4325"/>
      <c r="J146" s="4325"/>
      <c r="K146" s="4325"/>
      <c r="L146" s="4325"/>
      <c r="M146" s="4325"/>
      <c r="N146" s="4325"/>
      <c r="O146" s="4325"/>
      <c r="P146" s="4326"/>
      <c r="Q146" s="1078" t="s">
        <v>1181</v>
      </c>
      <c r="R146" s="467"/>
    </row>
    <row r="147" spans="1:19" s="103" customFormat="1" ht="11.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3999"/>
      <c r="B148" s="4000"/>
      <c r="C148" s="4000"/>
      <c r="D148" s="4000"/>
      <c r="E148" s="4000"/>
      <c r="F148" s="4000"/>
      <c r="G148" s="4000"/>
      <c r="H148" s="4000"/>
      <c r="I148" s="4000"/>
      <c r="J148" s="4000"/>
      <c r="K148" s="4000"/>
      <c r="L148" s="4000"/>
      <c r="M148" s="4000"/>
      <c r="N148" s="4000"/>
      <c r="O148" s="4000"/>
      <c r="P148" s="4001"/>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3825</v>
      </c>
      <c r="H151" s="2115" t="str">
        <f>'Part VII-Threshold Criteria'!$J$35</f>
        <v>HFOP</v>
      </c>
      <c r="M151" s="872">
        <v>3</v>
      </c>
      <c r="N151" s="74"/>
      <c r="O151" s="2102">
        <v>3</v>
      </c>
      <c r="P151" s="2103"/>
      <c r="Q151" s="1532" t="str">
        <f>IF(OR($O151&lt;=$M151,$O151=0,$O151=""),"","*CHECK!*")</f>
        <v/>
      </c>
      <c r="R151" s="2105" t="s">
        <v>416</v>
      </c>
      <c r="S151" s="1001" t="s">
        <v>4063</v>
      </c>
    </row>
    <row r="152" spans="1:19" customFormat="1" ht="18.75" customHeight="1">
      <c r="C152" s="2176" t="s">
        <v>6726</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6725</v>
      </c>
      <c r="F153" s="2485"/>
      <c r="G153" s="2485"/>
      <c r="H153" s="2485"/>
      <c r="I153" s="2486"/>
      <c r="J153" s="4305" t="s">
        <v>6634</v>
      </c>
      <c r="K153" s="4306"/>
      <c r="L153" s="4306"/>
      <c r="M153" s="4307"/>
    </row>
    <row r="154" spans="1:19" customFormat="1" ht="12.75" customHeight="1">
      <c r="B154" s="2139"/>
      <c r="C154" s="2139"/>
      <c r="D154" s="2139"/>
      <c r="F154" s="4292" t="s">
        <v>6635</v>
      </c>
      <c r="G154" s="4292"/>
      <c r="H154" s="4292" t="s">
        <v>6277</v>
      </c>
      <c r="I154" s="4292"/>
      <c r="J154" s="4294" t="s">
        <v>6636</v>
      </c>
      <c r="K154" s="4295"/>
      <c r="L154" s="4292" t="s">
        <v>6637</v>
      </c>
      <c r="M154" s="4297"/>
      <c r="N154" s="1641"/>
      <c r="O154" s="2487"/>
      <c r="P154" s="2488"/>
    </row>
    <row r="155" spans="1:19" customFormat="1" ht="30.75" customHeight="1">
      <c r="B155" s="2139"/>
      <c r="C155" s="2139"/>
      <c r="D155" s="2139"/>
      <c r="F155" s="4292"/>
      <c r="G155" s="4292"/>
      <c r="H155" s="4292"/>
      <c r="I155" s="4292"/>
      <c r="J155" s="4296"/>
      <c r="K155" s="4295"/>
      <c r="L155" s="4295"/>
      <c r="M155" s="4297"/>
      <c r="N155" s="1641"/>
      <c r="O155" s="2489"/>
      <c r="P155" s="2488"/>
    </row>
    <row r="156" spans="1:19" customFormat="1" ht="12" customHeight="1">
      <c r="B156" s="2325" t="s">
        <v>6638</v>
      </c>
      <c r="C156" s="2141"/>
      <c r="D156" s="2138"/>
      <c r="F156" s="4293"/>
      <c r="G156" s="4293"/>
      <c r="H156" s="4293"/>
      <c r="I156" s="4293"/>
      <c r="J156" s="4296"/>
      <c r="K156" s="4295"/>
      <c r="L156" s="4295"/>
      <c r="M156" s="4297"/>
      <c r="N156" s="1641"/>
      <c r="O156" s="2489"/>
      <c r="P156" s="2488"/>
    </row>
    <row r="157" spans="1:19" customFormat="1">
      <c r="B157" s="4298" t="s">
        <v>6959</v>
      </c>
      <c r="C157" s="4299"/>
      <c r="D157" s="4299"/>
      <c r="E157" s="4300"/>
      <c r="F157" s="4298" t="s">
        <v>2651</v>
      </c>
      <c r="G157" s="4300"/>
      <c r="H157" s="4298" t="s">
        <v>2651</v>
      </c>
      <c r="I157" s="4300"/>
      <c r="J157" s="4301" t="s">
        <v>2651</v>
      </c>
      <c r="K157" s="4302"/>
      <c r="L157" s="4301" t="s">
        <v>2651</v>
      </c>
      <c r="M157" s="4302"/>
      <c r="N157" s="4256"/>
      <c r="O157" s="4257"/>
      <c r="P157" s="2490"/>
    </row>
    <row r="158" spans="1:19" customFormat="1">
      <c r="B158" s="4258" t="s">
        <v>6960</v>
      </c>
      <c r="C158" s="4259"/>
      <c r="D158" s="4259"/>
      <c r="E158" s="4260"/>
      <c r="F158" s="4258" t="s">
        <v>2651</v>
      </c>
      <c r="G158" s="4260"/>
      <c r="H158" s="4258" t="s">
        <v>2651</v>
      </c>
      <c r="I158" s="4260"/>
      <c r="J158" s="4261" t="s">
        <v>2651</v>
      </c>
      <c r="K158" s="4262"/>
      <c r="L158" s="4261" t="s">
        <v>2651</v>
      </c>
      <c r="M158" s="4262"/>
      <c r="N158" s="4246"/>
      <c r="O158" s="4247"/>
      <c r="P158" s="2490"/>
    </row>
    <row r="159" spans="1:19" customFormat="1">
      <c r="B159" s="4258" t="s">
        <v>6961</v>
      </c>
      <c r="C159" s="4259"/>
      <c r="D159" s="4259"/>
      <c r="E159" s="4260"/>
      <c r="F159" s="4258" t="s">
        <v>2651</v>
      </c>
      <c r="G159" s="4260"/>
      <c r="H159" s="4258" t="s">
        <v>2654</v>
      </c>
      <c r="I159" s="4260"/>
      <c r="J159" s="4261" t="s">
        <v>2651</v>
      </c>
      <c r="K159" s="4262"/>
      <c r="L159" s="4261" t="s">
        <v>2651</v>
      </c>
      <c r="M159" s="4262"/>
      <c r="N159" s="4246"/>
      <c r="O159" s="4247"/>
      <c r="P159" s="2490"/>
    </row>
    <row r="160" spans="1:19" customFormat="1">
      <c r="B160" s="4258"/>
      <c r="C160" s="4259"/>
      <c r="D160" s="4259"/>
      <c r="E160" s="4260"/>
      <c r="F160" s="4258"/>
      <c r="G160" s="4260"/>
      <c r="H160" s="4258"/>
      <c r="I160" s="4260"/>
      <c r="J160" s="4261"/>
      <c r="K160" s="4262"/>
      <c r="L160" s="4261"/>
      <c r="M160" s="4262"/>
      <c r="N160" s="4246"/>
      <c r="O160" s="4247"/>
      <c r="P160" s="2490"/>
    </row>
    <row r="161" spans="1:26" customFormat="1">
      <c r="B161" s="4258"/>
      <c r="C161" s="4259"/>
      <c r="D161" s="4259"/>
      <c r="E161" s="4260"/>
      <c r="F161" s="4258"/>
      <c r="G161" s="4260"/>
      <c r="H161" s="4258"/>
      <c r="I161" s="4260"/>
      <c r="J161" s="4261"/>
      <c r="K161" s="4262"/>
      <c r="L161" s="4261"/>
      <c r="M161" s="4262"/>
      <c r="N161" s="4246"/>
      <c r="O161" s="4247"/>
      <c r="P161" s="2490"/>
    </row>
    <row r="162" spans="1:26" customFormat="1">
      <c r="B162" s="4249"/>
      <c r="C162" s="4250"/>
      <c r="D162" s="4250"/>
      <c r="E162" s="4251"/>
      <c r="F162" s="4249"/>
      <c r="G162" s="4251"/>
      <c r="H162" s="4249"/>
      <c r="I162" s="4251"/>
      <c r="J162" s="4252"/>
      <c r="K162" s="4253"/>
      <c r="L162" s="4252"/>
      <c r="M162" s="4253"/>
      <c r="N162" s="4254"/>
      <c r="O162" s="4255"/>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1.75" customHeight="1" thickTop="1" thickBot="1">
      <c r="A164" s="4324" t="s">
        <v>6998</v>
      </c>
      <c r="B164" s="4325"/>
      <c r="C164" s="4325"/>
      <c r="D164" s="4325"/>
      <c r="E164" s="4325"/>
      <c r="F164" s="4325"/>
      <c r="G164" s="4325"/>
      <c r="H164" s="4325"/>
      <c r="I164" s="4325"/>
      <c r="J164" s="4325"/>
      <c r="K164" s="4325"/>
      <c r="L164" s="4325"/>
      <c r="M164" s="4325"/>
      <c r="N164" s="4325"/>
      <c r="O164" s="4325"/>
      <c r="P164" s="4326"/>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69"/>
      <c r="B166" s="4170"/>
      <c r="C166" s="4170"/>
      <c r="D166" s="4170"/>
      <c r="E166" s="4170"/>
      <c r="F166" s="4170"/>
      <c r="G166" s="4170"/>
      <c r="H166" s="4170"/>
      <c r="I166" s="4170"/>
      <c r="J166" s="4170"/>
      <c r="K166" s="4170"/>
      <c r="L166" s="4170"/>
      <c r="M166" s="4170"/>
      <c r="N166" s="4170"/>
      <c r="O166" s="4170"/>
      <c r="P166" s="4171"/>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6276</v>
      </c>
      <c r="D171" s="177"/>
      <c r="E171" s="177"/>
      <c r="F171" s="177"/>
      <c r="G171" s="177"/>
      <c r="H171" s="177"/>
      <c r="I171" s="177"/>
      <c r="J171" s="177"/>
      <c r="K171" s="177"/>
      <c r="L171" s="177"/>
      <c r="M171" s="1019">
        <v>2</v>
      </c>
      <c r="N171" s="1012" t="s">
        <v>1615</v>
      </c>
      <c r="O171" s="2040"/>
      <c r="P171" s="2159"/>
      <c r="Q171" s="1532" t="str">
        <f>IF(OR($O171=$M171,$O171=0,$O171=""),"","*CHECK!*")</f>
        <v/>
      </c>
      <c r="R171" s="1001" t="s">
        <v>4063</v>
      </c>
      <c r="S171" s="2128"/>
      <c r="T171" s="2128"/>
      <c r="U171" s="2128"/>
    </row>
    <row r="172" spans="1:26" s="417" customFormat="1" ht="12" customHeight="1">
      <c r="B172" s="1012" t="s">
        <v>2241</v>
      </c>
      <c r="C172" s="4312" t="s">
        <v>6689</v>
      </c>
      <c r="D172" s="4312"/>
      <c r="E172" s="4312"/>
      <c r="F172" s="4312"/>
      <c r="G172" s="4312"/>
      <c r="H172" s="4312"/>
      <c r="I172" s="4312"/>
      <c r="J172" s="4312"/>
      <c r="K172" s="4312"/>
      <c r="L172" s="1012"/>
      <c r="M172" s="4329" t="s">
        <v>6095</v>
      </c>
      <c r="N172" s="4329"/>
      <c r="O172" s="4329"/>
      <c r="P172" s="4329"/>
      <c r="S172" s="2128"/>
      <c r="T172" s="2128"/>
      <c r="U172" s="2128"/>
      <c r="V172" s="1687"/>
      <c r="W172" s="1687"/>
      <c r="X172" s="1687"/>
      <c r="Y172" s="1687"/>
      <c r="Z172" s="1687"/>
    </row>
    <row r="173" spans="1:26" s="43" customFormat="1" ht="12.75" customHeight="1">
      <c r="A173" s="398"/>
      <c r="B173" s="400"/>
      <c r="C173" s="4312"/>
      <c r="D173" s="4312"/>
      <c r="E173" s="4312"/>
      <c r="F173" s="4312"/>
      <c r="G173" s="4312"/>
      <c r="H173" s="4312"/>
      <c r="I173" s="4312"/>
      <c r="J173" s="4312"/>
      <c r="K173" s="4312"/>
      <c r="L173" s="1012" t="s">
        <v>2241</v>
      </c>
      <c r="M173" s="4316" t="s">
        <v>3288</v>
      </c>
      <c r="N173" s="4317"/>
      <c r="O173" s="4317"/>
      <c r="P173" s="4318"/>
      <c r="S173" s="2128"/>
      <c r="T173" s="2128"/>
      <c r="U173" s="2128"/>
    </row>
    <row r="174" spans="1:26" s="33" customFormat="1" ht="12.75" customHeight="1">
      <c r="B174" s="400" t="s">
        <v>2242</v>
      </c>
      <c r="C174" s="135" t="s">
        <v>3961</v>
      </c>
      <c r="D174" s="504"/>
      <c r="E174" s="504"/>
      <c r="F174" s="504"/>
      <c r="G174" s="504"/>
      <c r="H174" s="504"/>
      <c r="L174" s="400" t="s">
        <v>2242</v>
      </c>
      <c r="M174" s="4313" t="s">
        <v>3288</v>
      </c>
      <c r="N174" s="4314"/>
      <c r="O174" s="4314"/>
      <c r="P174" s="4315"/>
      <c r="S174" s="2128"/>
      <c r="T174" s="2128"/>
      <c r="U174" s="2128"/>
      <c r="V174" s="586"/>
      <c r="W174" s="586"/>
      <c r="X174" s="586"/>
      <c r="Y174" s="586"/>
      <c r="Z174" s="586"/>
    </row>
    <row r="175" spans="1:26" s="33" customFormat="1" ht="12.75" customHeight="1">
      <c r="B175" s="400" t="s">
        <v>2243</v>
      </c>
      <c r="C175" s="504" t="s">
        <v>6182</v>
      </c>
      <c r="D175" s="504"/>
      <c r="E175" s="504"/>
      <c r="F175" s="504"/>
      <c r="G175" s="504"/>
      <c r="H175" s="504"/>
      <c r="L175" s="400" t="s">
        <v>2243</v>
      </c>
      <c r="M175" s="4313" t="s">
        <v>3288</v>
      </c>
      <c r="N175" s="4314"/>
      <c r="O175" s="4314"/>
      <c r="P175" s="4315"/>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366" t="s">
        <v>3288</v>
      </c>
      <c r="N176" s="4367"/>
      <c r="O176" s="4367"/>
      <c r="P176" s="4368"/>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6259</v>
      </c>
      <c r="D178" s="1780"/>
      <c r="E178" s="1780"/>
      <c r="F178" s="1780"/>
      <c r="G178" s="1780"/>
      <c r="H178" s="1780"/>
      <c r="I178" s="1780"/>
      <c r="K178" s="1194"/>
      <c r="L178" s="1194"/>
      <c r="R178" s="2128"/>
      <c r="S178" s="2128"/>
      <c r="T178" s="2128"/>
      <c r="U178" s="2128"/>
    </row>
    <row r="179" spans="1:21">
      <c r="A179" s="521"/>
      <c r="B179" s="1012" t="s">
        <v>2241</v>
      </c>
      <c r="C179" s="4385" t="s">
        <v>6186</v>
      </c>
      <c r="D179" s="4385"/>
      <c r="E179" s="4385"/>
      <c r="F179" s="4385"/>
      <c r="G179" s="4385"/>
      <c r="H179" s="4385"/>
      <c r="I179" s="4385"/>
      <c r="J179" s="4385"/>
      <c r="K179" s="4385"/>
      <c r="L179" s="4385"/>
      <c r="M179" s="2453">
        <v>1</v>
      </c>
      <c r="N179" s="1012" t="s">
        <v>4081</v>
      </c>
      <c r="O179" s="2144"/>
      <c r="P179" s="2160"/>
      <c r="Q179" s="1532" t="str">
        <f>IF(OR($O179=$M179,$O179=0,$O179=""),"","*CHECK!*")</f>
        <v/>
      </c>
      <c r="R179" s="1001" t="s">
        <v>4063</v>
      </c>
    </row>
    <row r="180" spans="1:21" ht="36.75" customHeight="1">
      <c r="A180" s="521"/>
      <c r="B180" s="413" t="s">
        <v>2242</v>
      </c>
      <c r="C180" s="4385" t="s">
        <v>6187</v>
      </c>
      <c r="D180" s="4385"/>
      <c r="E180" s="4385"/>
      <c r="F180" s="4385"/>
      <c r="G180" s="4385"/>
      <c r="H180" s="4385"/>
      <c r="I180" s="4385"/>
      <c r="J180" s="4385"/>
      <c r="K180" s="4385"/>
      <c r="L180" s="4385"/>
      <c r="M180" s="2453">
        <v>1</v>
      </c>
      <c r="N180" s="1012" t="s">
        <v>6268</v>
      </c>
      <c r="O180" s="2182"/>
      <c r="P180" s="2183"/>
      <c r="Q180" s="1532" t="str">
        <f>IF(OR($O180=$M180,$O180=0,$O180=""),"","*CHECK!*")</f>
        <v/>
      </c>
      <c r="R180" s="1001" t="s">
        <v>4063</v>
      </c>
    </row>
    <row r="181" spans="1:21" ht="12" customHeight="1">
      <c r="A181" s="521"/>
      <c r="B181" s="2090" t="s">
        <v>2243</v>
      </c>
      <c r="C181" s="2438" t="s">
        <v>6270</v>
      </c>
      <c r="D181" s="1011"/>
      <c r="E181" s="1011"/>
      <c r="F181" s="1011"/>
      <c r="G181" s="1011"/>
      <c r="H181" s="1011"/>
      <c r="I181" s="1011"/>
      <c r="J181" s="1011"/>
      <c r="K181" s="1011"/>
      <c r="L181" s="1011"/>
      <c r="M181" s="1127">
        <v>1</v>
      </c>
      <c r="N181" s="412" t="s">
        <v>6269</v>
      </c>
      <c r="O181" s="2145"/>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c r="P183" s="847"/>
      <c r="Q183" s="1004" t="str">
        <f>IF(OR($O183=$M183,$O183=0,$O183=""),"","*CHECK!*")</f>
        <v/>
      </c>
      <c r="R183" s="1001" t="s">
        <v>4063</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324" t="s">
        <v>907</v>
      </c>
      <c r="B185" s="4325"/>
      <c r="C185" s="4325"/>
      <c r="D185" s="4325"/>
      <c r="E185" s="4325"/>
      <c r="F185" s="4325"/>
      <c r="G185" s="4325"/>
      <c r="H185" s="4325"/>
      <c r="I185" s="4325"/>
      <c r="J185" s="4325"/>
      <c r="K185" s="4325"/>
      <c r="L185" s="4325"/>
      <c r="M185" s="4325"/>
      <c r="N185" s="4325"/>
      <c r="O185" s="4325"/>
      <c r="P185" s="4326"/>
      <c r="Q185" s="1078" t="s">
        <v>1181</v>
      </c>
    </row>
    <row r="186" spans="1:21" s="103" customFormat="1" ht="11.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69"/>
      <c r="B187" s="4170"/>
      <c r="C187" s="4170"/>
      <c r="D187" s="4170"/>
      <c r="E187" s="4170"/>
      <c r="F187" s="4170"/>
      <c r="G187" s="4170"/>
      <c r="H187" s="4170"/>
      <c r="I187" s="4170"/>
      <c r="J187" s="4170"/>
      <c r="K187" s="4170"/>
      <c r="L187" s="4170"/>
      <c r="M187" s="4170"/>
      <c r="N187" s="4170"/>
      <c r="O187" s="4170"/>
      <c r="P187" s="4171"/>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5" customHeight="1">
      <c r="A192" s="139" t="s">
        <v>698</v>
      </c>
      <c r="B192" s="190" t="s">
        <v>6218</v>
      </c>
      <c r="D192" s="33"/>
      <c r="G192" s="488"/>
      <c r="N192" s="27"/>
      <c r="O192" s="527"/>
      <c r="P192" s="527"/>
      <c r="Q192" s="1009"/>
    </row>
    <row r="193" spans="1:24" s="1684" customFormat="1" ht="12.75" customHeight="1">
      <c r="B193" s="462" t="s">
        <v>1845</v>
      </c>
      <c r="C193" s="4312" t="s">
        <v>6215</v>
      </c>
      <c r="D193" s="4312"/>
      <c r="E193" s="4312"/>
      <c r="F193" s="4312"/>
      <c r="G193" s="4312"/>
      <c r="H193" s="4312"/>
      <c r="I193" s="4312"/>
      <c r="J193" s="4312"/>
      <c r="K193" s="4312"/>
      <c r="L193" s="4312"/>
      <c r="M193" s="1125" t="s">
        <v>698</v>
      </c>
      <c r="N193" s="415" t="s">
        <v>1845</v>
      </c>
      <c r="O193" s="1158"/>
      <c r="P193" s="1157"/>
      <c r="Q193" s="1214"/>
      <c r="V193" s="2070"/>
      <c r="W193" s="2070"/>
    </row>
    <row r="194" spans="1:24" s="33" customFormat="1" ht="12.75" customHeight="1">
      <c r="A194" s="521"/>
      <c r="B194" s="462" t="s">
        <v>1847</v>
      </c>
      <c r="C194" s="458" t="s">
        <v>6216</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85" t="s">
        <v>6219</v>
      </c>
      <c r="D195" s="4385"/>
      <c r="E195" s="4385"/>
      <c r="F195" s="4385"/>
      <c r="G195" s="4385"/>
      <c r="H195" s="4385"/>
      <c r="I195" s="4385"/>
      <c r="J195" s="4385"/>
      <c r="K195" s="4385"/>
      <c r="L195" s="4385"/>
      <c r="M195" s="1008"/>
      <c r="N195" s="415" t="s">
        <v>2333</v>
      </c>
      <c r="O195" s="2127"/>
      <c r="P195" s="2126"/>
      <c r="Q195" s="1010"/>
      <c r="V195" s="1209"/>
      <c r="W195" s="1209"/>
    </row>
    <row r="196" spans="1:24" ht="11.5" customHeight="1">
      <c r="A196" s="139" t="s">
        <v>1963</v>
      </c>
      <c r="B196" s="190" t="s">
        <v>6217</v>
      </c>
      <c r="D196" s="33"/>
      <c r="G196" s="488"/>
      <c r="N196" s="27"/>
      <c r="O196" s="527"/>
      <c r="P196" s="527"/>
      <c r="Q196" s="1009"/>
    </row>
    <row r="197" spans="1:24" s="1684" customFormat="1" ht="23.25" customHeight="1">
      <c r="B197" s="462" t="s">
        <v>1845</v>
      </c>
      <c r="C197" s="4312" t="s">
        <v>6220</v>
      </c>
      <c r="D197" s="4312"/>
      <c r="E197" s="4312"/>
      <c r="F197" s="4312"/>
      <c r="G197" s="4312"/>
      <c r="H197" s="4312"/>
      <c r="I197" s="4312"/>
      <c r="J197" s="4312"/>
      <c r="K197" s="4312"/>
      <c r="L197" s="4312"/>
      <c r="M197" s="1125" t="s">
        <v>1963</v>
      </c>
      <c r="N197" s="415" t="s">
        <v>1845</v>
      </c>
      <c r="O197" s="1158"/>
      <c r="P197" s="1157"/>
      <c r="Q197" s="1214"/>
      <c r="V197" s="2070"/>
      <c r="W197" s="2070"/>
    </row>
    <row r="198" spans="1:24" s="33" customFormat="1" ht="23.25" customHeight="1">
      <c r="A198" s="521"/>
      <c r="B198" s="462" t="s">
        <v>1847</v>
      </c>
      <c r="C198" s="4385" t="s">
        <v>6261</v>
      </c>
      <c r="D198" s="4385"/>
      <c r="E198" s="4385"/>
      <c r="F198" s="4385"/>
      <c r="G198" s="4385"/>
      <c r="H198" s="4385"/>
      <c r="I198" s="4385"/>
      <c r="J198" s="4385"/>
      <c r="K198" s="4385"/>
      <c r="L198" s="4385"/>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5" customHeight="1" thickTop="1" thickBot="1">
      <c r="A200" s="4389" t="s">
        <v>907</v>
      </c>
      <c r="B200" s="4390"/>
      <c r="C200" s="4390"/>
      <c r="D200" s="4390"/>
      <c r="E200" s="4390"/>
      <c r="F200" s="4390"/>
      <c r="G200" s="4390"/>
      <c r="H200" s="4390"/>
      <c r="I200" s="4390"/>
      <c r="J200" s="4390"/>
      <c r="K200" s="4390"/>
      <c r="L200" s="4390"/>
      <c r="M200" s="4390"/>
      <c r="N200" s="4390"/>
      <c r="O200" s="4390"/>
      <c r="P200" s="4391"/>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270"/>
      <c r="B202" s="4271"/>
      <c r="C202" s="4271"/>
      <c r="D202" s="4271"/>
      <c r="E202" s="4271"/>
      <c r="F202" s="4271"/>
      <c r="G202" s="4271"/>
      <c r="H202" s="4271"/>
      <c r="I202" s="4271"/>
      <c r="J202" s="4271"/>
      <c r="K202" s="4271"/>
      <c r="L202" s="4271"/>
      <c r="M202" s="4271"/>
      <c r="N202" s="4271"/>
      <c r="O202" s="4271"/>
      <c r="P202" s="4272"/>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8</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v>5</v>
      </c>
      <c r="P206" s="847"/>
      <c r="Q206" s="1532" t="str">
        <f>IF(O206&lt;=M206,"","*CHECK!*")</f>
        <v/>
      </c>
      <c r="R206" s="1001" t="s">
        <v>4063</v>
      </c>
      <c r="S206" s="2130"/>
      <c r="T206" s="2130"/>
      <c r="U206" s="2130"/>
    </row>
    <row r="207" spans="1:24" customFormat="1" ht="12.75" customHeight="1">
      <c r="B207" s="2147"/>
      <c r="C207" s="2140" t="s">
        <v>6262</v>
      </c>
      <c r="D207" s="2148"/>
      <c r="E207" s="2149"/>
      <c r="F207" s="2149"/>
      <c r="G207" s="2148"/>
      <c r="H207" s="2148"/>
      <c r="I207" s="2148"/>
      <c r="J207" s="4343" t="s">
        <v>6964</v>
      </c>
      <c r="K207" s="4344"/>
      <c r="L207" s="4345"/>
      <c r="M207" s="4346"/>
      <c r="N207" s="2150"/>
      <c r="O207" s="1202"/>
      <c r="P207" s="2121"/>
      <c r="Q207" s="27"/>
      <c r="R207" s="2151"/>
      <c r="S207" s="2148"/>
    </row>
    <row r="208" spans="1:24" customFormat="1" ht="12.75" customHeight="1">
      <c r="C208" s="2152" t="s">
        <v>6263</v>
      </c>
      <c r="D208" s="1641"/>
      <c r="J208" s="4410" t="s">
        <v>6999</v>
      </c>
      <c r="K208" s="4411"/>
      <c r="L208" s="4411"/>
      <c r="M208" s="441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6221</v>
      </c>
      <c r="C210" s="52"/>
      <c r="E210" s="596"/>
      <c r="K210" s="412"/>
      <c r="L210" s="412"/>
      <c r="M210" s="1127">
        <v>5</v>
      </c>
      <c r="N210" s="412" t="s">
        <v>1844</v>
      </c>
      <c r="O210" s="599">
        <v>3</v>
      </c>
      <c r="P210" s="847"/>
      <c r="Q210" s="1532" t="str">
        <f>IF(O210&lt;=M210,"","*CHECK!*")</f>
        <v/>
      </c>
      <c r="R210" s="1001" t="s">
        <v>4063</v>
      </c>
      <c r="S210" s="2130"/>
      <c r="T210" s="2130"/>
      <c r="U210" s="2130"/>
    </row>
    <row r="211" spans="1:37" customFormat="1">
      <c r="C211" s="2154" t="s">
        <v>6227</v>
      </c>
      <c r="D211" s="27"/>
      <c r="E211" s="4528" t="s">
        <v>6226</v>
      </c>
      <c r="F211" s="4528"/>
      <c r="G211" s="4528"/>
      <c r="H211" s="4528"/>
      <c r="I211" s="2085" t="s">
        <v>6253</v>
      </c>
      <c r="J211" s="4528" t="s">
        <v>6226</v>
      </c>
      <c r="K211" s="4528"/>
      <c r="L211" s="4528"/>
      <c r="M211" s="4528"/>
      <c r="R211" s="27"/>
      <c r="S211" s="27"/>
      <c r="T211" s="27"/>
      <c r="U211" s="27"/>
      <c r="V211" s="27"/>
      <c r="W211" s="27"/>
      <c r="X211" s="27"/>
      <c r="Y211" s="27"/>
      <c r="AH211" s="27"/>
      <c r="AI211" s="27"/>
      <c r="AJ211" s="27"/>
      <c r="AK211" s="27"/>
    </row>
    <row r="212" spans="1:37" customFormat="1" ht="13.5" customHeight="1">
      <c r="B212" s="2155"/>
      <c r="C212" s="2140" t="s">
        <v>6224</v>
      </c>
      <c r="D212" s="27"/>
      <c r="E212" s="4529" t="s">
        <v>7000</v>
      </c>
      <c r="F212" s="4530"/>
      <c r="G212" s="4530"/>
      <c r="H212" s="4531"/>
      <c r="I212" s="2491" t="s">
        <v>907</v>
      </c>
      <c r="J212" s="4407"/>
      <c r="K212" s="4408"/>
      <c r="L212" s="4408"/>
      <c r="M212" s="440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398" t="s">
        <v>6963</v>
      </c>
      <c r="F213" s="4399"/>
      <c r="G213" s="4399"/>
      <c r="H213" s="4400"/>
      <c r="I213" s="2578" t="s">
        <v>7001</v>
      </c>
      <c r="J213" s="4413"/>
      <c r="K213" s="4414"/>
      <c r="L213" s="4414"/>
      <c r="M213" s="4415"/>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398" t="s">
        <v>6963</v>
      </c>
      <c r="F214" s="4399"/>
      <c r="G214" s="4399"/>
      <c r="H214" s="4400"/>
      <c r="I214" s="2578" t="s">
        <v>7001</v>
      </c>
      <c r="J214" s="4413"/>
      <c r="K214" s="4414"/>
      <c r="L214" s="4414"/>
      <c r="M214" s="4415"/>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395" t="s">
        <v>6962</v>
      </c>
      <c r="F215" s="4396"/>
      <c r="G215" s="4396"/>
      <c r="H215" s="4397"/>
      <c r="I215" s="2579" t="s">
        <v>7001</v>
      </c>
      <c r="J215" s="4404"/>
      <c r="K215" s="4405"/>
      <c r="L215" s="4405"/>
      <c r="M215" s="440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4.9" customHeight="1" thickTop="1" thickBot="1">
      <c r="A219" s="4324" t="s">
        <v>7002</v>
      </c>
      <c r="B219" s="4325"/>
      <c r="C219" s="4325"/>
      <c r="D219" s="4325"/>
      <c r="E219" s="4325"/>
      <c r="F219" s="4325"/>
      <c r="G219" s="4325"/>
      <c r="H219" s="4325"/>
      <c r="I219" s="4325"/>
      <c r="J219" s="4325"/>
      <c r="K219" s="4325"/>
      <c r="L219" s="4325"/>
      <c r="M219" s="4325"/>
      <c r="N219" s="4325"/>
      <c r="O219" s="4325"/>
      <c r="P219" s="4326"/>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0"/>
      <c r="B222" s="4271"/>
      <c r="C222" s="4271"/>
      <c r="D222" s="4271"/>
      <c r="E222" s="4271"/>
      <c r="F222" s="4271"/>
      <c r="G222" s="4271"/>
      <c r="H222" s="4271"/>
      <c r="I222" s="4271"/>
      <c r="J222" s="4271"/>
      <c r="K222" s="4271"/>
      <c r="L222" s="4271"/>
      <c r="M222" s="4271"/>
      <c r="N222" s="4271"/>
      <c r="O222" s="4271"/>
      <c r="P222" s="4272"/>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386" t="str">
        <f>M54</f>
        <v>New Supply</v>
      </c>
      <c r="L224" s="4387"/>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3155</v>
      </c>
      <c r="H225" s="1509">
        <f>IF('Part V-Revenues &amp; Expenses'!$P$67=0,0,'Part V-Revenues &amp; Expenses'!$P$64/'Part V-Revenues &amp; Expenses'!$P$67)</f>
        <v>0.13333333333333333</v>
      </c>
      <c r="J225" s="488" t="s">
        <v>3964</v>
      </c>
      <c r="K225" s="4402" t="str">
        <f>'Part V-Revenues &amp; Expenses'!$O$53</f>
        <v>40% of Units at 60% of AMI</v>
      </c>
      <c r="L225" s="4403"/>
      <c r="M225" s="60"/>
      <c r="N225" s="872"/>
      <c r="O225" s="2106"/>
      <c r="P225" s="3"/>
    </row>
    <row r="226" spans="1:24" ht="12" customHeight="1">
      <c r="A226" s="1675" t="s">
        <v>1842</v>
      </c>
      <c r="B226" s="1681" t="s">
        <v>3962</v>
      </c>
      <c r="C226" s="442"/>
      <c r="E226" s="305" t="s">
        <v>3963</v>
      </c>
      <c r="M226" s="598">
        <v>1</v>
      </c>
      <c r="N226" s="478" t="s">
        <v>1842</v>
      </c>
      <c r="O226" s="1685">
        <v>1</v>
      </c>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0"/>
      <c r="B230" s="4271"/>
      <c r="C230" s="4271"/>
      <c r="D230" s="4271"/>
      <c r="E230" s="4271"/>
      <c r="F230" s="4271"/>
      <c r="G230" s="4271"/>
      <c r="H230" s="4271"/>
      <c r="I230" s="4271"/>
      <c r="J230" s="4271"/>
      <c r="K230" s="4271"/>
      <c r="L230" s="4271"/>
      <c r="M230" s="4271"/>
      <c r="N230" s="4271"/>
      <c r="O230" s="4271"/>
      <c r="P230" s="4272"/>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393"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393"/>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324" t="s">
        <v>907</v>
      </c>
      <c r="B237" s="4325"/>
      <c r="C237" s="4325"/>
      <c r="D237" s="4325"/>
      <c r="E237" s="4325"/>
      <c r="F237" s="4325"/>
      <c r="G237" s="4325"/>
      <c r="H237" s="4325"/>
      <c r="I237" s="4325"/>
      <c r="J237" s="4325"/>
      <c r="K237" s="4325"/>
      <c r="L237" s="4325"/>
      <c r="M237" s="4325"/>
      <c r="N237" s="4325"/>
      <c r="O237" s="4325"/>
      <c r="P237" s="4326"/>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0"/>
      <c r="B239" s="4271"/>
      <c r="C239" s="4271"/>
      <c r="D239" s="4271"/>
      <c r="E239" s="4271"/>
      <c r="F239" s="4271"/>
      <c r="G239" s="4271"/>
      <c r="H239" s="4271"/>
      <c r="I239" s="4271"/>
      <c r="J239" s="4271"/>
      <c r="K239" s="4271"/>
      <c r="L239" s="4271"/>
      <c r="M239" s="4271"/>
      <c r="N239" s="4271"/>
      <c r="O239" s="4271"/>
      <c r="P239" s="4272"/>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0.5">
      <c r="A242" s="462"/>
      <c r="B242" s="1007" t="s">
        <v>6264</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6265</v>
      </c>
      <c r="E243" s="458" t="s">
        <v>3312</v>
      </c>
      <c r="G243" s="2164"/>
      <c r="H243" s="412" t="s">
        <v>574</v>
      </c>
      <c r="I243" s="4524"/>
      <c r="J243" s="4524"/>
      <c r="L243" s="2187" t="s">
        <v>6267</v>
      </c>
      <c r="M243" s="4525"/>
      <c r="N243" s="4525"/>
    </row>
    <row r="244" spans="1:27" s="118" customFormat="1" ht="11.25" customHeight="1">
      <c r="A244" s="399"/>
      <c r="B244" s="462" t="s">
        <v>1847</v>
      </c>
      <c r="C244" s="2140" t="s">
        <v>6266</v>
      </c>
      <c r="E244" s="458" t="s">
        <v>3312</v>
      </c>
      <c r="G244" s="2165"/>
      <c r="H244" s="412" t="s">
        <v>574</v>
      </c>
      <c r="I244" s="4394"/>
      <c r="J244" s="4394"/>
      <c r="L244" s="2187" t="s">
        <v>6267</v>
      </c>
      <c r="M244" s="4401"/>
      <c r="N244" s="440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324" t="s">
        <v>907</v>
      </c>
      <c r="B247" s="4325"/>
      <c r="C247" s="4325"/>
      <c r="D247" s="4325"/>
      <c r="E247" s="4325"/>
      <c r="F247" s="4325"/>
      <c r="G247" s="4325"/>
      <c r="H247" s="4325"/>
      <c r="I247" s="4325"/>
      <c r="J247" s="4325"/>
      <c r="K247" s="4325"/>
      <c r="L247" s="4325"/>
      <c r="M247" s="4325"/>
      <c r="N247" s="4325"/>
      <c r="O247" s="4325"/>
      <c r="P247" s="4326"/>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69"/>
      <c r="B249" s="4170"/>
      <c r="C249" s="4170"/>
      <c r="D249" s="4170"/>
      <c r="E249" s="4170"/>
      <c r="F249" s="4170"/>
      <c r="G249" s="4170"/>
      <c r="H249" s="4170"/>
      <c r="I249" s="4170"/>
      <c r="J249" s="4170"/>
      <c r="K249" s="4170"/>
      <c r="L249" s="4170"/>
      <c r="M249" s="4170"/>
      <c r="N249" s="4170"/>
      <c r="O249" s="4170"/>
      <c r="P249" s="4171"/>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6273</v>
      </c>
      <c r="G251" s="61"/>
      <c r="L251" s="1482" t="str">
        <f>IF(AND(O251&gt;0,NOT($M$54="New Supply")), "Ineligible to score in this section, not New Supply!","")</f>
        <v/>
      </c>
      <c r="M251" s="1674">
        <v>5</v>
      </c>
      <c r="N251" s="6"/>
      <c r="O251" s="1104">
        <f>MIN($M251,MAX(O252,O253,O254))</f>
        <v>0</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6272</v>
      </c>
      <c r="D252" s="596"/>
      <c r="M252" s="1019">
        <v>5</v>
      </c>
      <c r="N252" s="478" t="s">
        <v>1842</v>
      </c>
      <c r="O252" s="2167"/>
      <c r="P252" s="1151"/>
      <c r="Q252" s="1004" t="str">
        <f>IF(OR($O252=$M252,$O252=$M252-1,$O252=0,$O252=""),"","*CHECK!*")</f>
        <v/>
      </c>
      <c r="R252" s="1001" t="s">
        <v>4063</v>
      </c>
      <c r="S252" s="2166"/>
      <c r="T252" s="2166"/>
      <c r="U252" s="2166"/>
      <c r="V252" s="2166"/>
    </row>
    <row r="253" spans="1:27" s="33" customFormat="1" ht="11.25" customHeight="1">
      <c r="A253" s="139" t="s">
        <v>1844</v>
      </c>
      <c r="B253" s="190" t="s">
        <v>6274</v>
      </c>
      <c r="D253" s="596"/>
      <c r="M253" s="1019">
        <v>3</v>
      </c>
      <c r="N253" s="478" t="s">
        <v>1844</v>
      </c>
      <c r="O253" s="534"/>
      <c r="P253" s="544"/>
      <c r="Q253" s="1004" t="str">
        <f t="shared" ref="Q253:Q254" si="3">IF(OR($O253=$M253,$O253=$M253-1,$O253=0,$O253=""),"","*CHECK!*")</f>
        <v/>
      </c>
      <c r="R253" s="1001" t="s">
        <v>4063</v>
      </c>
    </row>
    <row r="254" spans="1:27">
      <c r="A254" s="139" t="s">
        <v>698</v>
      </c>
      <c r="B254" s="190" t="s">
        <v>6275</v>
      </c>
      <c r="E254" s="40" t="s">
        <v>6237</v>
      </c>
      <c r="I254" s="1683"/>
      <c r="L254" s="2087"/>
      <c r="M254" s="1019">
        <v>3</v>
      </c>
      <c r="N254" s="478" t="s">
        <v>698</v>
      </c>
      <c r="O254" s="535"/>
      <c r="P254" s="545"/>
      <c r="Q254" s="1004" t="str">
        <f t="shared" si="3"/>
        <v/>
      </c>
      <c r="R254" s="1001" t="s">
        <v>4063</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1.75" customHeight="1" thickTop="1" thickBot="1">
      <c r="A256" s="4324" t="s">
        <v>907</v>
      </c>
      <c r="B256" s="4325"/>
      <c r="C256" s="4325"/>
      <c r="D256" s="4325"/>
      <c r="E256" s="4325"/>
      <c r="F256" s="4325"/>
      <c r="G256" s="4325"/>
      <c r="H256" s="4325"/>
      <c r="I256" s="4325"/>
      <c r="J256" s="4325"/>
      <c r="K256" s="4325"/>
      <c r="L256" s="4325"/>
      <c r="M256" s="4325"/>
      <c r="N256" s="4325"/>
      <c r="O256" s="4325"/>
      <c r="P256" s="4326"/>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69"/>
      <c r="B258" s="4170"/>
      <c r="C258" s="4170"/>
      <c r="D258" s="4170"/>
      <c r="E258" s="4170"/>
      <c r="F258" s="4170"/>
      <c r="G258" s="4170"/>
      <c r="H258" s="4170"/>
      <c r="I258" s="4170"/>
      <c r="J258" s="4170"/>
      <c r="K258" s="4170"/>
      <c r="L258" s="4170"/>
      <c r="M258" s="4170"/>
      <c r="N258" s="4170"/>
      <c r="O258" s="4170"/>
      <c r="P258" s="4171"/>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6619</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6620</v>
      </c>
      <c r="D263" s="61"/>
      <c r="E263" s="61"/>
      <c r="F263" s="44"/>
      <c r="G263" s="27"/>
      <c r="L263" s="401"/>
      <c r="M263" s="1019">
        <v>2</v>
      </c>
      <c r="N263" s="2440" t="s">
        <v>1847</v>
      </c>
      <c r="O263" s="389" t="s">
        <v>2654</v>
      </c>
      <c r="P263" s="550"/>
      <c r="Q263" s="1004"/>
      <c r="R263" s="1103"/>
      <c r="T263" s="1077"/>
      <c r="U263" s="1077"/>
    </row>
    <row r="264" spans="1:21" s="103" customFormat="1" ht="10.5" customHeight="1">
      <c r="A264" s="139"/>
      <c r="B264" s="462" t="s">
        <v>2333</v>
      </c>
      <c r="C264" s="40" t="s">
        <v>6621</v>
      </c>
      <c r="D264" s="61"/>
      <c r="E264" s="61"/>
      <c r="F264" s="44"/>
      <c r="G264" s="27"/>
      <c r="K264" s="478"/>
      <c r="M264" s="1019">
        <v>1</v>
      </c>
      <c r="N264" s="2440" t="s">
        <v>2333</v>
      </c>
      <c r="O264" s="231" t="s">
        <v>2654</v>
      </c>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57" t="s">
        <v>6622</v>
      </c>
      <c r="C266" s="4157"/>
      <c r="D266" s="4157"/>
      <c r="E266" s="4157"/>
      <c r="F266" s="4157"/>
      <c r="G266" s="4157"/>
      <c r="H266" s="4157"/>
      <c r="I266" s="4157"/>
      <c r="J266" s="4157"/>
      <c r="K266" s="4157"/>
      <c r="L266" s="4157"/>
      <c r="M266" s="7"/>
      <c r="N266" s="478"/>
      <c r="O266" s="1198" t="s">
        <v>6949</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3998" t="s">
        <v>6623</v>
      </c>
      <c r="C268" s="3998"/>
      <c r="D268" s="3998"/>
      <c r="E268" s="3998"/>
      <c r="F268" s="3998"/>
      <c r="G268" s="3998"/>
      <c r="H268" s="3998"/>
      <c r="I268" s="3998"/>
      <c r="J268" s="3998"/>
      <c r="K268" s="3998"/>
      <c r="L268" s="3998"/>
      <c r="M268" s="7"/>
      <c r="N268" s="478"/>
      <c r="O268" s="1174" t="s">
        <v>2651</v>
      </c>
      <c r="P268" s="1175"/>
      <c r="Q268" s="414"/>
      <c r="R268" s="401"/>
      <c r="T268" s="1077"/>
      <c r="U268" s="1077"/>
    </row>
    <row r="269" spans="1:21" s="43" customFormat="1" ht="22.5" customHeight="1">
      <c r="B269" s="3998" t="s">
        <v>6238</v>
      </c>
      <c r="C269" s="3998"/>
      <c r="D269" s="3998"/>
      <c r="E269" s="3998"/>
      <c r="F269" s="3998"/>
      <c r="G269" s="3998"/>
      <c r="H269" s="3998"/>
      <c r="I269" s="3998"/>
      <c r="J269" s="3998"/>
      <c r="K269" s="3998"/>
      <c r="L269" s="3998"/>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69"/>
      <c r="B271" s="4170"/>
      <c r="C271" s="4170"/>
      <c r="D271" s="4170"/>
      <c r="E271" s="4170"/>
      <c r="F271" s="4170"/>
      <c r="G271" s="4170"/>
      <c r="H271" s="4170"/>
      <c r="I271" s="4170"/>
      <c r="J271" s="4170"/>
      <c r="K271" s="4170"/>
      <c r="L271" s="4170"/>
      <c r="M271" s="4170"/>
      <c r="N271" s="4170"/>
      <c r="O271" s="4170"/>
      <c r="P271" s="4171"/>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6579</v>
      </c>
      <c r="C273" s="92"/>
      <c r="D273" s="59"/>
      <c r="E273" s="59"/>
      <c r="G273" s="2117"/>
      <c r="H273" s="185"/>
      <c r="I273" s="2112" t="s">
        <v>6146</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6580</v>
      </c>
      <c r="D275" s="634"/>
      <c r="E275" s="634"/>
      <c r="F275" s="634"/>
      <c r="G275" s="634"/>
      <c r="H275" s="634"/>
      <c r="L275" s="1013"/>
      <c r="M275" s="2327">
        <v>1</v>
      </c>
      <c r="N275" s="478" t="s">
        <v>1842</v>
      </c>
      <c r="O275" s="230" t="s">
        <v>6949</v>
      </c>
      <c r="P275" s="549"/>
      <c r="Q275" s="1023">
        <f>IF(L275="Yes",1,0)</f>
        <v>0</v>
      </c>
      <c r="R275" s="2130"/>
      <c r="S275" s="2130"/>
      <c r="T275" s="2130"/>
      <c r="U275" s="2130"/>
      <c r="V275" s="2130"/>
    </row>
    <row r="276" spans="1:24" ht="11.25" customHeight="1">
      <c r="A276" s="1675" t="s">
        <v>1844</v>
      </c>
      <c r="B276" s="1128" t="s">
        <v>6581</v>
      </c>
      <c r="D276" s="634"/>
      <c r="L276" s="1013"/>
      <c r="M276" s="2327">
        <v>2</v>
      </c>
      <c r="N276" s="478" t="s">
        <v>1844</v>
      </c>
      <c r="O276" s="2423" t="s">
        <v>6949</v>
      </c>
      <c r="P276" s="551"/>
      <c r="Q276" s="1023">
        <f>IF(L276="Yes",1,0)</f>
        <v>0</v>
      </c>
      <c r="R276" s="2130"/>
      <c r="S276" s="2130"/>
      <c r="T276" s="2130"/>
      <c r="U276" s="2130"/>
      <c r="V276" s="2130"/>
    </row>
    <row r="277" spans="1:24" ht="11.25" customHeight="1">
      <c r="B277" s="2217" t="s">
        <v>6691</v>
      </c>
      <c r="D277" s="634"/>
      <c r="L277" s="1013"/>
      <c r="M277" s="2482"/>
      <c r="N277" s="2482"/>
      <c r="O277" s="2482"/>
      <c r="P277" s="2482"/>
      <c r="Q277" s="1023"/>
      <c r="R277" s="2130"/>
      <c r="S277" s="2130"/>
      <c r="T277" s="2130"/>
      <c r="U277" s="2130"/>
      <c r="V277" s="2130"/>
    </row>
    <row r="278" spans="1:24" ht="38.25" customHeight="1">
      <c r="B278" s="4369" t="s">
        <v>7003</v>
      </c>
      <c r="C278" s="4370"/>
      <c r="D278" s="4370"/>
      <c r="E278" s="4370"/>
      <c r="F278" s="4370"/>
      <c r="G278" s="4370"/>
      <c r="H278" s="4370"/>
      <c r="I278" s="4370"/>
      <c r="J278" s="4370"/>
      <c r="K278" s="4370"/>
      <c r="L278" s="4370"/>
      <c r="M278" s="4370"/>
      <c r="N278" s="4370"/>
      <c r="O278" s="4370"/>
      <c r="P278" s="4371"/>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324" t="s">
        <v>6965</v>
      </c>
      <c r="B280" s="4325"/>
      <c r="C280" s="4325"/>
      <c r="D280" s="4325"/>
      <c r="E280" s="4325"/>
      <c r="F280" s="4325"/>
      <c r="G280" s="4325"/>
      <c r="H280" s="4325"/>
      <c r="I280" s="4325"/>
      <c r="J280" s="4325"/>
      <c r="K280" s="4325"/>
      <c r="L280" s="4325"/>
      <c r="M280" s="4325"/>
      <c r="N280" s="4325"/>
      <c r="O280" s="4325"/>
      <c r="P280" s="4326"/>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0"/>
      <c r="B282" s="4271"/>
      <c r="C282" s="4271"/>
      <c r="D282" s="4271"/>
      <c r="E282" s="4271"/>
      <c r="F282" s="4271"/>
      <c r="G282" s="4271"/>
      <c r="H282" s="4271"/>
      <c r="I282" s="4271"/>
      <c r="J282" s="4271"/>
      <c r="K282" s="4271"/>
      <c r="L282" s="4271"/>
      <c r="M282" s="4271"/>
      <c r="N282" s="4271"/>
      <c r="O282" s="4271"/>
      <c r="P282" s="4272"/>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6584</v>
      </c>
      <c r="C284" s="92"/>
      <c r="D284" s="59"/>
      <c r="E284" s="59"/>
      <c r="G284" s="2117"/>
      <c r="H284" s="185"/>
      <c r="I284" s="185" t="s">
        <v>6709</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6703</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6701</v>
      </c>
      <c r="G286" s="185"/>
      <c r="I286" s="4354" t="s">
        <v>6966</v>
      </c>
      <c r="J286" s="4355"/>
      <c r="K286" s="4356"/>
      <c r="L286" s="4357"/>
      <c r="M286" s="595"/>
      <c r="O286" s="2589"/>
      <c r="P286" s="2590"/>
      <c r="Q286" s="110"/>
      <c r="R286" s="2130"/>
      <c r="S286" s="2130"/>
      <c r="T286" s="2130"/>
      <c r="U286" s="2130"/>
      <c r="V286" s="2130"/>
      <c r="W286" s="43"/>
      <c r="X286" s="43"/>
    </row>
    <row r="287" spans="1:24" s="103" customFormat="1" ht="11.25" customHeight="1">
      <c r="A287" s="154"/>
      <c r="C287" s="36" t="s">
        <v>6700</v>
      </c>
      <c r="G287" s="185"/>
      <c r="I287" s="4358">
        <v>541310</v>
      </c>
      <c r="J287" s="4359"/>
      <c r="M287" s="595"/>
      <c r="O287" s="2589"/>
      <c r="P287" s="2590"/>
      <c r="Q287" s="110"/>
      <c r="R287" s="2130"/>
      <c r="S287" s="2130"/>
      <c r="T287" s="2130"/>
      <c r="U287" s="2130"/>
      <c r="V287" s="2130"/>
      <c r="W287" s="43"/>
      <c r="X287" s="43"/>
    </row>
    <row r="288" spans="1:24" s="103" customFormat="1" ht="11.25" customHeight="1">
      <c r="A288" s="154"/>
      <c r="C288" s="36" t="s">
        <v>6702</v>
      </c>
      <c r="G288" s="185"/>
      <c r="I288" s="4360" t="s">
        <v>6967</v>
      </c>
      <c r="J288" s="4361"/>
      <c r="K288" s="4362"/>
      <c r="L288" s="4363"/>
      <c r="M288" s="595"/>
      <c r="O288" s="4364" t="s">
        <v>3152</v>
      </c>
      <c r="P288" s="4364" t="s">
        <v>3153</v>
      </c>
      <c r="Q288" s="110"/>
      <c r="R288" s="2130"/>
      <c r="S288" s="2130"/>
      <c r="T288" s="2130"/>
      <c r="U288" s="2130"/>
      <c r="V288" s="2130"/>
      <c r="W288" s="43"/>
      <c r="X288" s="43"/>
    </row>
    <row r="289" spans="1:22" s="43" customFormat="1" ht="11.25" customHeight="1">
      <c r="A289" s="154"/>
      <c r="B289" s="36" t="s">
        <v>6588</v>
      </c>
      <c r="D289" s="41"/>
      <c r="H289" s="177"/>
      <c r="M289" s="2419"/>
      <c r="N289" s="478"/>
      <c r="O289" s="4365"/>
      <c r="P289" s="4365"/>
      <c r="Q289" s="110"/>
      <c r="R289" s="2437"/>
      <c r="S289" s="2437"/>
      <c r="T289" s="2437"/>
      <c r="U289" s="2437"/>
    </row>
    <row r="290" spans="1:22" s="43" customFormat="1" ht="11.25" customHeight="1">
      <c r="A290" s="2588"/>
      <c r="B290" s="1012" t="s">
        <v>2241</v>
      </c>
      <c r="C290" s="36" t="s">
        <v>6587</v>
      </c>
      <c r="D290" s="1120"/>
      <c r="E290" s="103"/>
      <c r="F290" s="103"/>
      <c r="G290" s="103"/>
      <c r="H290" s="45"/>
      <c r="N290" s="1012" t="s">
        <v>2241</v>
      </c>
      <c r="O290" s="230" t="s">
        <v>2651</v>
      </c>
      <c r="P290" s="549"/>
      <c r="Q290" s="110"/>
      <c r="R290" s="2437"/>
      <c r="S290" s="2437"/>
      <c r="T290" s="2437"/>
      <c r="U290" s="2437"/>
    </row>
    <row r="291" spans="1:22" s="43" customFormat="1" ht="11.25" customHeight="1">
      <c r="A291" s="2588"/>
      <c r="B291" s="400" t="s">
        <v>2242</v>
      </c>
      <c r="C291" s="55" t="s">
        <v>6708</v>
      </c>
      <c r="D291" s="1120"/>
      <c r="E291" s="103"/>
      <c r="F291" s="103"/>
      <c r="G291" s="103"/>
      <c r="H291" s="45"/>
      <c r="M291" s="103"/>
      <c r="N291" s="400" t="s">
        <v>2242</v>
      </c>
      <c r="O291" s="2422" t="s">
        <v>2651</v>
      </c>
      <c r="P291" s="550"/>
      <c r="Q291" s="110"/>
      <c r="R291" s="2437"/>
      <c r="S291" s="2437"/>
      <c r="T291" s="2437"/>
      <c r="U291" s="2437"/>
    </row>
    <row r="292" spans="1:22" s="43" customFormat="1" ht="11.25" customHeight="1">
      <c r="A292" s="2588"/>
      <c r="B292" s="400" t="s">
        <v>2243</v>
      </c>
      <c r="C292" s="36" t="s">
        <v>6589</v>
      </c>
      <c r="D292" s="1120"/>
      <c r="E292" s="103"/>
      <c r="F292" s="103"/>
      <c r="G292" s="103"/>
      <c r="H292" s="45"/>
      <c r="I292" s="49"/>
      <c r="J292" s="48"/>
      <c r="K292" s="48"/>
      <c r="L292" s="103"/>
      <c r="M292" s="103"/>
      <c r="N292" s="400" t="s">
        <v>2243</v>
      </c>
      <c r="O292" s="2423" t="s">
        <v>2651</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6585</v>
      </c>
      <c r="D294" s="634"/>
      <c r="E294" s="634"/>
      <c r="G294" s="634" t="s">
        <v>6593</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89" t="s">
        <v>6594</v>
      </c>
      <c r="D295" s="4089"/>
      <c r="E295" s="4089"/>
      <c r="F295" s="4089"/>
      <c r="G295" s="4089"/>
      <c r="H295" s="4089"/>
      <c r="I295" s="4089"/>
      <c r="J295" s="4089"/>
      <c r="K295" s="4089"/>
      <c r="L295" s="4089"/>
      <c r="M295" s="4089"/>
      <c r="N295" s="187" t="s">
        <v>1845</v>
      </c>
      <c r="O295" s="2362" t="s">
        <v>2651</v>
      </c>
      <c r="P295" s="1623"/>
      <c r="Q295" s="2092"/>
      <c r="R295" s="2439"/>
      <c r="S295" s="2439"/>
      <c r="T295" s="2439"/>
      <c r="U295" s="2439"/>
    </row>
    <row r="296" spans="1:22" s="436" customFormat="1" ht="21.75" customHeight="1" thickBot="1">
      <c r="A296" s="2091"/>
      <c r="B296" s="462" t="s">
        <v>1847</v>
      </c>
      <c r="C296" s="4089" t="s">
        <v>6595</v>
      </c>
      <c r="D296" s="4089"/>
      <c r="E296" s="4089"/>
      <c r="F296" s="4089"/>
      <c r="G296" s="4089"/>
      <c r="H296" s="4089"/>
      <c r="I296" s="4089"/>
      <c r="J296" s="4089"/>
      <c r="K296" s="4089"/>
      <c r="L296" s="4089"/>
      <c r="M296" s="4089"/>
      <c r="N296" s="2440" t="s">
        <v>1847</v>
      </c>
      <c r="O296" s="2431" t="s">
        <v>2651</v>
      </c>
      <c r="P296" s="2430"/>
      <c r="Q296" s="2092"/>
      <c r="R296" s="2439"/>
      <c r="S296" s="2439"/>
      <c r="T296" s="2439"/>
      <c r="U296" s="2439"/>
    </row>
    <row r="297" spans="1:22" ht="11.25" customHeight="1" thickBot="1">
      <c r="A297" s="1675" t="s">
        <v>1844</v>
      </c>
      <c r="B297" s="1128" t="s">
        <v>6586</v>
      </c>
      <c r="D297" s="634"/>
      <c r="G297" s="457" t="s">
        <v>6596</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89" t="s">
        <v>6597</v>
      </c>
      <c r="D298" s="4089"/>
      <c r="E298" s="4089"/>
      <c r="F298" s="4089"/>
      <c r="G298" s="4089"/>
      <c r="H298" s="4089"/>
      <c r="I298" s="4089"/>
      <c r="J298" s="4089"/>
      <c r="K298" s="4089"/>
      <c r="L298" s="4089"/>
      <c r="M298" s="4089"/>
      <c r="N298" s="187" t="s">
        <v>1845</v>
      </c>
      <c r="O298" s="2362"/>
      <c r="P298" s="1623"/>
      <c r="Q298" s="2092"/>
      <c r="R298" s="2439"/>
      <c r="S298" s="2439"/>
      <c r="T298" s="2439"/>
      <c r="U298" s="2439"/>
    </row>
    <row r="299" spans="1:22" s="436" customFormat="1" ht="10.5" customHeight="1">
      <c r="A299" s="2091"/>
      <c r="B299" s="462" t="s">
        <v>1847</v>
      </c>
      <c r="C299" s="4089" t="s">
        <v>6598</v>
      </c>
      <c r="D299" s="4089"/>
      <c r="E299" s="4089"/>
      <c r="F299" s="4089"/>
      <c r="G299" s="4089"/>
      <c r="H299" s="4089"/>
      <c r="I299" s="4089"/>
      <c r="J299" s="4089"/>
      <c r="K299" s="4089"/>
      <c r="L299" s="4089"/>
      <c r="M299" s="4089"/>
      <c r="N299" s="2440" t="s">
        <v>1847</v>
      </c>
      <c r="O299" s="2431"/>
      <c r="P299" s="2430"/>
      <c r="Q299" s="2092"/>
      <c r="R299" s="2439"/>
      <c r="S299" s="2439"/>
      <c r="T299" s="2439"/>
      <c r="U299" s="2439"/>
    </row>
    <row r="300" spans="1:22" s="436" customFormat="1" ht="10.5" customHeight="1">
      <c r="A300" s="2091"/>
      <c r="B300" s="462" t="s">
        <v>2333</v>
      </c>
      <c r="C300" s="876" t="s">
        <v>6704</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6599</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6600</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4089" t="s">
        <v>6601</v>
      </c>
      <c r="D303" s="4089"/>
      <c r="E303" s="4089"/>
      <c r="F303" s="4089"/>
      <c r="G303" s="4089"/>
      <c r="H303" s="4089"/>
      <c r="I303" s="4089"/>
      <c r="J303" s="4089"/>
      <c r="K303" s="4089"/>
      <c r="L303" s="4089"/>
      <c r="M303" s="4089"/>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324" t="s">
        <v>7004</v>
      </c>
      <c r="B305" s="4325"/>
      <c r="C305" s="4325"/>
      <c r="D305" s="4325"/>
      <c r="E305" s="4325"/>
      <c r="F305" s="4325"/>
      <c r="G305" s="4325"/>
      <c r="H305" s="4325"/>
      <c r="I305" s="4325"/>
      <c r="J305" s="4325"/>
      <c r="K305" s="4325"/>
      <c r="L305" s="4325"/>
      <c r="M305" s="4325"/>
      <c r="N305" s="4325"/>
      <c r="O305" s="4325"/>
      <c r="P305" s="4326"/>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0"/>
      <c r="B307" s="4271"/>
      <c r="C307" s="4271"/>
      <c r="D307" s="4271"/>
      <c r="E307" s="4271"/>
      <c r="F307" s="4271"/>
      <c r="G307" s="4271"/>
      <c r="H307" s="4271"/>
      <c r="I307" s="4271"/>
      <c r="J307" s="4271"/>
      <c r="K307" s="4271"/>
      <c r="L307" s="4271"/>
      <c r="M307" s="4271"/>
      <c r="N307" s="4271"/>
      <c r="O307" s="4271"/>
      <c r="P307" s="4272"/>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6590</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6591</v>
      </c>
      <c r="D310" s="634"/>
      <c r="E310" s="634" t="s">
        <v>6602</v>
      </c>
      <c r="F310" s="634"/>
      <c r="G310" s="634"/>
      <c r="H310" s="634"/>
      <c r="I310" s="4521" t="s">
        <v>6910</v>
      </c>
      <c r="J310" s="4522"/>
      <c r="K310" s="4522"/>
      <c r="L310" s="4523"/>
      <c r="M310" s="2327">
        <v>2</v>
      </c>
      <c r="N310" s="478" t="s">
        <v>1842</v>
      </c>
      <c r="O310" s="1685">
        <v>2</v>
      </c>
      <c r="P310" s="1686"/>
      <c r="Q310" s="2441" t="str">
        <f>IF(OR(O310=0,O310="",O310=$M310),"","Check!")</f>
        <v/>
      </c>
      <c r="R310" s="1103" t="s">
        <v>2460</v>
      </c>
      <c r="S310" s="2130"/>
      <c r="T310" s="2130"/>
      <c r="U310" s="2130"/>
      <c r="V310" s="2130"/>
    </row>
    <row r="311" spans="1:22" ht="11.25" customHeight="1">
      <c r="A311" s="1675" t="s">
        <v>1844</v>
      </c>
      <c r="B311" s="1128" t="s">
        <v>6592</v>
      </c>
      <c r="D311" s="634"/>
      <c r="L311" s="1013"/>
      <c r="M311" s="2327">
        <v>2</v>
      </c>
      <c r="N311" s="478" t="s">
        <v>1844</v>
      </c>
      <c r="O311" s="535"/>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324" t="s">
        <v>7005</v>
      </c>
      <c r="B313" s="4325"/>
      <c r="C313" s="4325"/>
      <c r="D313" s="4325"/>
      <c r="E313" s="4325"/>
      <c r="F313" s="4325"/>
      <c r="G313" s="4325"/>
      <c r="H313" s="4325"/>
      <c r="I313" s="4325"/>
      <c r="J313" s="4325"/>
      <c r="K313" s="4325"/>
      <c r="L313" s="4325"/>
      <c r="M313" s="4325"/>
      <c r="N313" s="4325"/>
      <c r="O313" s="4325"/>
      <c r="P313" s="4326"/>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0"/>
      <c r="B315" s="4271"/>
      <c r="C315" s="4271"/>
      <c r="D315" s="4271"/>
      <c r="E315" s="4271"/>
      <c r="F315" s="4271"/>
      <c r="G315" s="4271"/>
      <c r="H315" s="4271"/>
      <c r="I315" s="4271"/>
      <c r="J315" s="4271"/>
      <c r="K315" s="4271"/>
      <c r="L315" s="4271"/>
      <c r="M315" s="4271"/>
      <c r="N315" s="4271"/>
      <c r="O315" s="4271"/>
      <c r="P315" s="4272"/>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t="s">
        <v>2651</v>
      </c>
      <c r="P318" s="1382"/>
      <c r="Q318" s="110"/>
      <c r="T318" s="1077"/>
      <c r="U318" s="1077"/>
    </row>
    <row r="319" spans="1:22" s="43" customFormat="1" ht="12" customHeight="1">
      <c r="A319" s="1675" t="s">
        <v>1842</v>
      </c>
      <c r="B319" s="177" t="s">
        <v>3346</v>
      </c>
      <c r="C319" s="88"/>
      <c r="D319" s="58"/>
      <c r="E319" s="52"/>
      <c r="G319" s="1844"/>
      <c r="I319" s="40" t="s">
        <v>4082</v>
      </c>
      <c r="K319" s="2088" t="str">
        <f>'Part VIII Scoring Criteria'!P41</f>
        <v>Yes</v>
      </c>
      <c r="M319" s="598">
        <v>2</v>
      </c>
      <c r="N319" s="478" t="s">
        <v>1842</v>
      </c>
      <c r="P319" s="546"/>
      <c r="Q319" s="110"/>
      <c r="R319" s="1103" t="s">
        <v>2460</v>
      </c>
    </row>
    <row r="320" spans="1:22" s="103" customFormat="1" ht="10.5" customHeight="1">
      <c r="A320" s="1675"/>
      <c r="B320" s="399" t="s">
        <v>1845</v>
      </c>
      <c r="C320" s="36" t="s">
        <v>3844</v>
      </c>
      <c r="D320" s="33"/>
      <c r="N320" s="460" t="s">
        <v>3845</v>
      </c>
      <c r="O320" s="230" t="s">
        <v>2651</v>
      </c>
      <c r="P320" s="549"/>
      <c r="R320" s="401"/>
    </row>
    <row r="321" spans="1:19" s="103" customFormat="1" ht="10.5" customHeight="1">
      <c r="A321" s="1675"/>
      <c r="B321" s="399"/>
      <c r="C321" s="36" t="s">
        <v>6582</v>
      </c>
      <c r="D321" s="33"/>
      <c r="N321" s="460" t="s">
        <v>3846</v>
      </c>
      <c r="O321" s="389" t="s">
        <v>2651</v>
      </c>
      <c r="P321" s="550"/>
      <c r="R321" s="401"/>
    </row>
    <row r="322" spans="1:19" s="103" customFormat="1" ht="10.5" customHeight="1">
      <c r="A322" s="1675"/>
      <c r="B322" s="399" t="s">
        <v>1847</v>
      </c>
      <c r="C322" s="36" t="s">
        <v>3351</v>
      </c>
      <c r="D322" s="33"/>
      <c r="N322" s="874" t="s">
        <v>1847</v>
      </c>
      <c r="O322" s="389" t="s">
        <v>2651</v>
      </c>
      <c r="P322" s="550"/>
      <c r="R322" s="401"/>
    </row>
    <row r="323" spans="1:19" s="103" customFormat="1" ht="10.5" customHeight="1">
      <c r="A323" s="1675"/>
      <c r="B323" s="399" t="s">
        <v>2333</v>
      </c>
      <c r="C323" s="36" t="s">
        <v>3847</v>
      </c>
      <c r="D323" s="33"/>
      <c r="N323" s="874" t="s">
        <v>2333</v>
      </c>
      <c r="O323" s="389" t="s">
        <v>2651</v>
      </c>
      <c r="P323" s="550"/>
      <c r="R323" s="401"/>
    </row>
    <row r="324" spans="1:19" s="103" customFormat="1" ht="10.5" customHeight="1">
      <c r="A324" s="1194"/>
      <c r="B324" s="399" t="s">
        <v>1151</v>
      </c>
      <c r="C324" s="36" t="s">
        <v>3352</v>
      </c>
      <c r="D324" s="33"/>
      <c r="N324" s="874" t="s">
        <v>1151</v>
      </c>
      <c r="O324" s="231" t="s">
        <v>2651</v>
      </c>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c r="P326" s="549"/>
      <c r="Q326" s="110"/>
    </row>
    <row r="327" spans="1:19" s="103" customFormat="1" ht="10.5" customHeight="1">
      <c r="A327" s="139"/>
      <c r="B327" s="399"/>
      <c r="C327" s="36" t="s">
        <v>6583</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69"/>
      <c r="B331" s="4170"/>
      <c r="C331" s="4170"/>
      <c r="D331" s="4170"/>
      <c r="E331" s="4170"/>
      <c r="F331" s="4170"/>
      <c r="G331" s="4170"/>
      <c r="H331" s="4170"/>
      <c r="I331" s="4170"/>
      <c r="J331" s="4170"/>
      <c r="K331" s="4170"/>
      <c r="L331" s="4170"/>
      <c r="M331" s="4170"/>
      <c r="N331" s="4170"/>
      <c r="O331" s="4170"/>
      <c r="P331" s="4171"/>
      <c r="Q331" s="466"/>
    </row>
    <row r="332" spans="1:19" ht="2.25" customHeight="1" thickBot="1"/>
    <row r="333" spans="1:19" s="43" customFormat="1" ht="13.5" customHeight="1" thickBot="1">
      <c r="A333" s="155" t="s">
        <v>3375</v>
      </c>
      <c r="B333" s="106" t="s">
        <v>1556</v>
      </c>
      <c r="D333" s="89"/>
      <c r="E333" s="89"/>
      <c r="G333" s="52"/>
      <c r="M333" s="872">
        <v>2</v>
      </c>
      <c r="N333" s="420"/>
      <c r="O333" s="1149"/>
      <c r="P333" s="1124"/>
      <c r="Q333" s="110" t="s">
        <v>416</v>
      </c>
      <c r="R333" s="2168" t="s">
        <v>4063</v>
      </c>
      <c r="S333" s="2168"/>
    </row>
    <row r="334" spans="1:19" s="43" customFormat="1" ht="11.25" customHeight="1">
      <c r="A334" s="139"/>
      <c r="B334" s="114" t="s">
        <v>3156</v>
      </c>
      <c r="D334" s="89"/>
      <c r="E334" s="89"/>
      <c r="G334" s="52"/>
      <c r="I334" s="3843" t="s">
        <v>6064</v>
      </c>
      <c r="J334" s="3844"/>
      <c r="K334" s="3844"/>
      <c r="L334" s="3845"/>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324" t="s">
        <v>907</v>
      </c>
      <c r="B337" s="4325"/>
      <c r="C337" s="4325"/>
      <c r="D337" s="4325"/>
      <c r="E337" s="4325"/>
      <c r="F337" s="4325"/>
      <c r="G337" s="4325"/>
      <c r="H337" s="4325"/>
      <c r="I337" s="4325"/>
      <c r="J337" s="4325"/>
      <c r="K337" s="4325"/>
      <c r="L337" s="4325"/>
      <c r="M337" s="4325"/>
      <c r="N337" s="4325"/>
      <c r="O337" s="4325"/>
      <c r="P337" s="4326"/>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69"/>
      <c r="B339" s="4170"/>
      <c r="C339" s="4170"/>
      <c r="D339" s="4170"/>
      <c r="E339" s="4170"/>
      <c r="F339" s="4170"/>
      <c r="G339" s="4170"/>
      <c r="H339" s="4170"/>
      <c r="I339" s="4170"/>
      <c r="J339" s="4170"/>
      <c r="K339" s="4170"/>
      <c r="L339" s="4170"/>
      <c r="M339" s="4170"/>
      <c r="N339" s="4170"/>
      <c r="O339" s="4170"/>
      <c r="P339" s="4171"/>
      <c r="Q339" s="466"/>
    </row>
    <row r="340" spans="1:20" ht="3" customHeight="1" thickBot="1"/>
    <row r="341" spans="1:20" s="43" customFormat="1" ht="13.5" customHeight="1" thickBot="1">
      <c r="A341" s="154" t="s">
        <v>3378</v>
      </c>
      <c r="B341" s="106" t="s">
        <v>3349</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6604</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2" t="str">
        <f>IF(OR(O343="No",O343="",O344="No",O344="",O345="No",O345="",O346="No",O346=""),"Unmet criterion results in no points!","")</f>
        <v>Unmet criterion results in no points!</v>
      </c>
      <c r="M343" s="4392"/>
      <c r="N343" s="400" t="s">
        <v>2241</v>
      </c>
      <c r="O343" s="230"/>
      <c r="P343" s="549"/>
      <c r="R343" s="4388" t="str">
        <f>IF(OR(P343="No",P343="",P344="No",P344="",P345="No",P345="",P346="No",P346=""),"Unmet criterion results in no points!","")</f>
        <v>Unmet criterion results in no points!</v>
      </c>
      <c r="S343" s="4388" t="e">
        <f>IF(OR(V343="No",V343="",V344="No",V344="",V345="No",V345="",V346="No",V346="",#REF!="No",#REF!="",#REF!="No",#REF!=""),"Unmet criterion results in no points!","")</f>
        <v>#REF!</v>
      </c>
    </row>
    <row r="344" spans="1:20" s="101" customFormat="1" ht="12.75" customHeight="1">
      <c r="B344" s="400" t="s">
        <v>2242</v>
      </c>
      <c r="C344" s="135" t="s">
        <v>3276</v>
      </c>
      <c r="L344" s="4392"/>
      <c r="M344" s="4392"/>
      <c r="N344" s="400" t="s">
        <v>2242</v>
      </c>
      <c r="O344" s="389"/>
      <c r="P344" s="550"/>
      <c r="R344" s="4388"/>
      <c r="S344" s="4388"/>
    </row>
    <row r="345" spans="1:20" s="101" customFormat="1" ht="12.75" customHeight="1">
      <c r="B345" s="400" t="s">
        <v>2243</v>
      </c>
      <c r="C345" s="135" t="s">
        <v>3275</v>
      </c>
      <c r="L345" s="4392"/>
      <c r="M345" s="4392"/>
      <c r="N345" s="400" t="s">
        <v>2243</v>
      </c>
      <c r="O345" s="389"/>
      <c r="P345" s="550"/>
      <c r="R345" s="4388"/>
      <c r="S345" s="4388"/>
    </row>
    <row r="346" spans="1:20" s="101" customFormat="1" ht="33.75" customHeight="1">
      <c r="B346" s="413" t="s">
        <v>2244</v>
      </c>
      <c r="C346" s="4385" t="s">
        <v>6603</v>
      </c>
      <c r="D346" s="4385"/>
      <c r="E346" s="4385"/>
      <c r="F346" s="4385"/>
      <c r="G346" s="4385"/>
      <c r="H346" s="4385"/>
      <c r="I346" s="4385"/>
      <c r="J346" s="4385"/>
      <c r="K346" s="4385"/>
      <c r="L346" s="4385"/>
      <c r="M346" s="4385"/>
      <c r="N346" s="413" t="s">
        <v>2244</v>
      </c>
      <c r="O346" s="1174"/>
      <c r="P346" s="1175"/>
    </row>
    <row r="347" spans="1:20" ht="3" customHeight="1" thickBot="1">
      <c r="C347" s="4385"/>
      <c r="D347" s="4385"/>
      <c r="E347" s="4385"/>
      <c r="F347" s="4385"/>
      <c r="G347" s="4385"/>
      <c r="H347" s="4385"/>
      <c r="I347" s="4385"/>
      <c r="J347" s="4385"/>
      <c r="K347" s="4385"/>
      <c r="L347" s="4385"/>
      <c r="M347" s="4385"/>
    </row>
    <row r="348" spans="1:20" ht="12.75" customHeight="1" thickBot="1">
      <c r="A348" s="1020" t="s">
        <v>1842</v>
      </c>
      <c r="B348" s="190" t="s">
        <v>3350</v>
      </c>
      <c r="L348" s="401" t="str">
        <f>IF(O348&lt;=M348,"","* * Check Score! * *")</f>
        <v/>
      </c>
      <c r="M348" s="1127">
        <v>3</v>
      </c>
      <c r="N348" s="478" t="s">
        <v>1842</v>
      </c>
      <c r="O348" s="2118"/>
      <c r="P348" s="2119"/>
      <c r="Q348" s="1004" t="str">
        <f>IF(O348&lt;=M348,"","*CHECK!*")</f>
        <v/>
      </c>
      <c r="R348" s="1076" t="s">
        <v>4063</v>
      </c>
      <c r="S348" s="1076"/>
      <c r="T348" s="1819"/>
    </row>
    <row r="349" spans="1:20" ht="12.75" customHeight="1">
      <c r="A349" s="1020"/>
      <c r="B349" s="876" t="s">
        <v>6720</v>
      </c>
      <c r="C349" s="1007"/>
      <c r="D349" s="1007"/>
      <c r="E349" s="1007"/>
      <c r="F349" s="1007"/>
      <c r="G349" s="1007"/>
      <c r="H349" s="1007"/>
      <c r="I349" s="1007"/>
      <c r="N349" s="27"/>
      <c r="O349" s="2049"/>
      <c r="P349" s="2107"/>
      <c r="R349" s="1076"/>
      <c r="S349" s="1076"/>
      <c r="T349" s="1819"/>
    </row>
    <row r="350" spans="1:20" ht="12.75" customHeight="1">
      <c r="A350" s="1020"/>
      <c r="B350" s="2622" t="s">
        <v>6719</v>
      </c>
      <c r="C350" s="1007"/>
      <c r="D350" s="1007"/>
      <c r="E350" s="1007"/>
      <c r="F350" s="1007"/>
      <c r="G350" s="1007"/>
      <c r="H350" s="1007"/>
      <c r="I350" s="1007"/>
      <c r="J350" s="4384" t="s">
        <v>1849</v>
      </c>
      <c r="K350" s="4384"/>
      <c r="M350" s="4384" t="s">
        <v>1849</v>
      </c>
      <c r="N350" s="4384"/>
      <c r="O350" s="4384"/>
      <c r="P350" s="4384"/>
      <c r="R350" s="2432"/>
      <c r="S350" s="2432"/>
      <c r="T350" s="1819"/>
    </row>
    <row r="351" spans="1:20" s="43" customFormat="1" ht="12.75" customHeight="1">
      <c r="A351" s="188"/>
      <c r="B351" s="2440" t="s">
        <v>6605</v>
      </c>
      <c r="C351" s="36" t="s">
        <v>1389</v>
      </c>
      <c r="I351" s="400" t="s">
        <v>2241</v>
      </c>
      <c r="J351" s="4476"/>
      <c r="K351" s="4477"/>
      <c r="L351" s="400" t="s">
        <v>2241</v>
      </c>
      <c r="M351" s="4340"/>
      <c r="N351" s="4341"/>
      <c r="O351" s="4341"/>
      <c r="P351" s="4342"/>
      <c r="R351" s="401"/>
    </row>
    <row r="352" spans="1:20" ht="12.75" customHeight="1">
      <c r="A352" s="189"/>
      <c r="B352" s="413" t="s">
        <v>2242</v>
      </c>
      <c r="C352" s="36" t="s">
        <v>3158</v>
      </c>
      <c r="I352" s="413" t="s">
        <v>2242</v>
      </c>
      <c r="J352" s="4335"/>
      <c r="K352" s="4336"/>
      <c r="L352" s="413" t="s">
        <v>2242</v>
      </c>
      <c r="M352" s="4337"/>
      <c r="N352" s="4338"/>
      <c r="O352" s="4338"/>
      <c r="P352" s="4339"/>
      <c r="R352" s="401"/>
    </row>
    <row r="353" spans="1:22" ht="12.75" customHeight="1">
      <c r="B353" s="400" t="s">
        <v>2243</v>
      </c>
      <c r="C353" s="36" t="s">
        <v>3958</v>
      </c>
      <c r="I353" s="400" t="s">
        <v>2243</v>
      </c>
      <c r="J353" s="4335"/>
      <c r="K353" s="4336"/>
      <c r="L353" s="400" t="s">
        <v>2243</v>
      </c>
      <c r="M353" s="4337"/>
      <c r="N353" s="4338"/>
      <c r="O353" s="4338"/>
      <c r="P353" s="4339"/>
      <c r="R353" s="401"/>
    </row>
    <row r="354" spans="1:22" ht="12.75" customHeight="1">
      <c r="A354" s="189"/>
      <c r="B354" s="400" t="s">
        <v>2244</v>
      </c>
      <c r="C354" s="36" t="s">
        <v>3074</v>
      </c>
      <c r="I354" s="400" t="s">
        <v>2244</v>
      </c>
      <c r="J354" s="4335"/>
      <c r="K354" s="4336"/>
      <c r="L354" s="400" t="s">
        <v>2244</v>
      </c>
      <c r="M354" s="4337"/>
      <c r="N354" s="4338"/>
      <c r="O354" s="4338"/>
      <c r="P354" s="4339"/>
      <c r="R354" s="401"/>
    </row>
    <row r="355" spans="1:22" s="43" customFormat="1" ht="12.75" customHeight="1">
      <c r="A355" s="188"/>
      <c r="B355" s="413" t="s">
        <v>2245</v>
      </c>
      <c r="C355" s="36" t="s">
        <v>2474</v>
      </c>
      <c r="I355" s="413" t="s">
        <v>2245</v>
      </c>
      <c r="J355" s="4335"/>
      <c r="K355" s="4336"/>
      <c r="L355" s="413" t="s">
        <v>2245</v>
      </c>
      <c r="M355" s="4337"/>
      <c r="N355" s="4338"/>
      <c r="O355" s="4338"/>
      <c r="P355" s="4339"/>
      <c r="R355" s="401"/>
    </row>
    <row r="356" spans="1:22" ht="12.75" customHeight="1">
      <c r="B356" s="400" t="s">
        <v>2261</v>
      </c>
      <c r="C356" s="36" t="s">
        <v>1388</v>
      </c>
      <c r="I356" s="400" t="s">
        <v>2261</v>
      </c>
      <c r="J356" s="4335"/>
      <c r="K356" s="4336"/>
      <c r="L356" s="400" t="s">
        <v>2261</v>
      </c>
      <c r="M356" s="4337"/>
      <c r="N356" s="4338"/>
      <c r="O356" s="4338"/>
      <c r="P356" s="4339"/>
      <c r="R356" s="401"/>
    </row>
    <row r="357" spans="1:22" ht="12.75" customHeight="1">
      <c r="B357" s="400" t="s">
        <v>2262</v>
      </c>
      <c r="C357" s="36" t="s">
        <v>6240</v>
      </c>
      <c r="I357" s="400" t="s">
        <v>2262</v>
      </c>
      <c r="J357" s="4335"/>
      <c r="K357" s="4336"/>
      <c r="L357" s="400" t="s">
        <v>2262</v>
      </c>
      <c r="M357" s="2082"/>
      <c r="N357" s="2083"/>
      <c r="O357" s="2083"/>
      <c r="P357" s="2084"/>
      <c r="R357" s="401"/>
    </row>
    <row r="358" spans="1:22" ht="12.75" customHeight="1">
      <c r="A358" s="189"/>
      <c r="B358" s="412" t="s">
        <v>2263</v>
      </c>
      <c r="C358" s="36" t="s">
        <v>3157</v>
      </c>
      <c r="I358" s="412" t="s">
        <v>2263</v>
      </c>
      <c r="J358" s="4335"/>
      <c r="K358" s="4336"/>
      <c r="L358" s="412" t="s">
        <v>2263</v>
      </c>
      <c r="M358" s="4337"/>
      <c r="N358" s="4338"/>
      <c r="O358" s="4338"/>
      <c r="P358" s="4339"/>
      <c r="R358" s="401"/>
    </row>
    <row r="359" spans="1:22" ht="12.75" customHeight="1">
      <c r="B359" s="412" t="s">
        <v>2264</v>
      </c>
      <c r="C359" s="36" t="s">
        <v>6606</v>
      </c>
      <c r="I359" s="412" t="s">
        <v>2264</v>
      </c>
      <c r="J359" s="4335"/>
      <c r="K359" s="4336"/>
      <c r="L359" s="412" t="s">
        <v>2264</v>
      </c>
      <c r="M359" s="4337"/>
      <c r="N359" s="4338"/>
      <c r="O359" s="4338"/>
      <c r="P359" s="4339"/>
      <c r="R359" s="401"/>
    </row>
    <row r="360" spans="1:22" ht="12.75" customHeight="1">
      <c r="B360" s="412" t="s">
        <v>3159</v>
      </c>
      <c r="C360" s="36" t="s">
        <v>3830</v>
      </c>
      <c r="I360" s="412" t="s">
        <v>3159</v>
      </c>
      <c r="J360" s="4335"/>
      <c r="K360" s="4336"/>
      <c r="L360" s="412" t="s">
        <v>3159</v>
      </c>
      <c r="M360" s="4337"/>
      <c r="N360" s="4338"/>
      <c r="O360" s="4338"/>
      <c r="P360" s="4339"/>
      <c r="R360" s="401"/>
    </row>
    <row r="361" spans="1:22" ht="12.75" customHeight="1" thickBot="1">
      <c r="B361" s="412" t="s">
        <v>6241</v>
      </c>
      <c r="C361" s="36" t="s">
        <v>6242</v>
      </c>
      <c r="I361" s="412" t="s">
        <v>6241</v>
      </c>
      <c r="J361" s="4335"/>
      <c r="K361" s="4336"/>
      <c r="L361" s="412" t="s">
        <v>6241</v>
      </c>
      <c r="M361" s="4377"/>
      <c r="N361" s="4378"/>
      <c r="O361" s="4378"/>
      <c r="P361" s="4379"/>
      <c r="R361" s="401"/>
    </row>
    <row r="362" spans="1:22" ht="12.75" customHeight="1" thickBot="1">
      <c r="B362" s="1178" t="s">
        <v>6607</v>
      </c>
      <c r="H362" s="1196" t="s">
        <v>2414</v>
      </c>
      <c r="J362" s="4472">
        <f>SUM(J351:K361)</f>
        <v>0</v>
      </c>
      <c r="K362" s="4473"/>
      <c r="M362" s="4472">
        <f>SUM($M351:$M361)</f>
        <v>0</v>
      </c>
      <c r="N362" s="4475"/>
      <c r="O362" s="4475"/>
      <c r="P362" s="4473"/>
      <c r="R362" s="401"/>
    </row>
    <row r="363" spans="1:22" ht="6" customHeight="1">
      <c r="M363" s="516"/>
      <c r="N363" s="516"/>
      <c r="O363" s="160"/>
      <c r="P363" s="516"/>
    </row>
    <row r="364" spans="1:22" s="43" customFormat="1" ht="12" customHeight="1">
      <c r="A364" s="42"/>
      <c r="B364" s="1512" t="s">
        <v>1847</v>
      </c>
      <c r="C364" s="526" t="s">
        <v>2413</v>
      </c>
      <c r="D364" s="1006"/>
      <c r="E364" s="1006"/>
      <c r="F364" s="458" t="s">
        <v>6243</v>
      </c>
      <c r="H364" s="27"/>
      <c r="I364" s="27"/>
      <c r="J364" s="4352">
        <f>'Part V-Revenues &amp; Expenses'!$P$67</f>
        <v>60</v>
      </c>
      <c r="K364" s="4353"/>
      <c r="L364" s="560"/>
      <c r="M364" s="516"/>
      <c r="N364" s="516"/>
      <c r="O364" s="1121"/>
      <c r="P364" s="516"/>
    </row>
    <row r="365" spans="1:22" ht="13.5" customHeight="1">
      <c r="C365" s="1006"/>
      <c r="D365" s="1006"/>
      <c r="E365" s="1006"/>
      <c r="F365" s="461" t="s">
        <v>6244</v>
      </c>
      <c r="J365" s="4350">
        <f>IF(J364=0,0,J362/J364)</f>
        <v>0</v>
      </c>
      <c r="K365" s="4351"/>
      <c r="M365" s="4478">
        <f>IF($J364=0,0,$M362/$J364)</f>
        <v>0</v>
      </c>
      <c r="N365" s="4479"/>
      <c r="O365" s="4479"/>
      <c r="P365" s="4480"/>
    </row>
    <row r="366" spans="1:22" s="43" customFormat="1" ht="12.75" customHeight="1">
      <c r="C366" s="1006"/>
      <c r="D366" s="1006"/>
      <c r="E366" s="1006"/>
      <c r="F366" s="1064" t="s">
        <v>6245</v>
      </c>
      <c r="I366" s="27"/>
      <c r="J366" s="4347">
        <f>IF(L343="", IF($J365&gt;=30000, 3,IF($J365&gt;=20000, 2,IF($J365&gt;=10000,1,0))),0)</f>
        <v>0</v>
      </c>
      <c r="K366" s="4349"/>
      <c r="L366" s="524"/>
      <c r="M366" s="4347">
        <f>IF(R343="", IF($M365&gt;=30000, 3,IF($M365&gt;=20000, 2,IF($M365&gt;=10000,1,0))),0)</f>
        <v>0</v>
      </c>
      <c r="N366" s="4348"/>
      <c r="O366" s="4348"/>
      <c r="P366" s="4349"/>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3998" t="s">
        <v>6608</v>
      </c>
      <c r="D369" s="3998"/>
      <c r="E369" s="3998"/>
      <c r="F369" s="3998"/>
      <c r="G369" s="3998"/>
      <c r="H369" s="3998"/>
      <c r="I369" s="3998"/>
      <c r="J369" s="3998"/>
      <c r="K369" s="3998"/>
      <c r="L369" s="3998"/>
      <c r="M369" s="3998"/>
      <c r="N369" s="2190" t="s">
        <v>1845</v>
      </c>
      <c r="O369" s="2125"/>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c r="P370" s="550"/>
      <c r="V370" s="1077"/>
    </row>
    <row r="371" spans="1:22" ht="12.75" customHeight="1">
      <c r="B371" s="399" t="s">
        <v>2333</v>
      </c>
      <c r="C371" s="457" t="s">
        <v>3831</v>
      </c>
      <c r="N371" s="874" t="s">
        <v>2333</v>
      </c>
      <c r="O371" s="2423"/>
      <c r="P371" s="551"/>
    </row>
    <row r="372" spans="1:22" ht="12" customHeight="1" thickBot="1">
      <c r="B372" s="1197" t="s">
        <v>3242</v>
      </c>
    </row>
    <row r="373" spans="1:22" s="43" customFormat="1" ht="21.75" customHeight="1" thickTop="1" thickBot="1">
      <c r="A373" s="4324" t="s">
        <v>907</v>
      </c>
      <c r="B373" s="4325"/>
      <c r="C373" s="4325"/>
      <c r="D373" s="4325"/>
      <c r="E373" s="4325"/>
      <c r="F373" s="4325"/>
      <c r="G373" s="4325"/>
      <c r="H373" s="4325"/>
      <c r="I373" s="4325"/>
      <c r="J373" s="4325"/>
      <c r="K373" s="4325"/>
      <c r="L373" s="4325"/>
      <c r="M373" s="4325"/>
      <c r="N373" s="4325"/>
      <c r="O373" s="4325"/>
      <c r="P373" s="4326"/>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69"/>
      <c r="B375" s="4170"/>
      <c r="C375" s="4170"/>
      <c r="D375" s="4170"/>
      <c r="E375" s="4170"/>
      <c r="F375" s="4170"/>
      <c r="G375" s="4170"/>
      <c r="H375" s="4170"/>
      <c r="I375" s="4170"/>
      <c r="J375" s="4170"/>
      <c r="K375" s="4170"/>
      <c r="L375" s="4170"/>
      <c r="M375" s="4170"/>
      <c r="N375" s="4170"/>
      <c r="O375" s="4170"/>
      <c r="P375" s="4171"/>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3" t="s">
        <v>3890</v>
      </c>
      <c r="E379" s="3844"/>
      <c r="F379" s="3844"/>
      <c r="G379" s="3844"/>
      <c r="H379" s="3844"/>
      <c r="I379" s="3845"/>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372" t="s">
        <v>6609</v>
      </c>
      <c r="C382" s="4372"/>
      <c r="D382" s="4372"/>
      <c r="E382" s="4372"/>
      <c r="F382" s="4372"/>
      <c r="G382" s="4372"/>
      <c r="H382" s="4372"/>
      <c r="I382" s="4372"/>
      <c r="J382" s="4372"/>
      <c r="K382" s="4372"/>
      <c r="L382" s="4372"/>
      <c r="M382" s="4376" t="s">
        <v>3891</v>
      </c>
      <c r="N382" s="4376"/>
      <c r="Q382" s="185"/>
    </row>
    <row r="383" spans="1:22" s="436" customFormat="1" ht="12" customHeight="1">
      <c r="B383" s="4372"/>
      <c r="C383" s="4372"/>
      <c r="D383" s="4372"/>
      <c r="E383" s="4372"/>
      <c r="F383" s="4372"/>
      <c r="G383" s="4372"/>
      <c r="H383" s="4372"/>
      <c r="I383" s="4372"/>
      <c r="J383" s="4372"/>
      <c r="K383" s="4372"/>
      <c r="L383" s="4372"/>
      <c r="M383" s="4376"/>
      <c r="N383" s="4376"/>
      <c r="O383" s="4382">
        <f>'Part V-Revenues &amp; Expenses'!$P$123</f>
        <v>0</v>
      </c>
      <c r="P383" s="4383"/>
      <c r="Q383" s="185"/>
    </row>
    <row r="384" spans="1:22" s="436" customFormat="1" ht="12" customHeight="1">
      <c r="B384" s="4372"/>
      <c r="C384" s="4372"/>
      <c r="D384" s="4372"/>
      <c r="E384" s="4372"/>
      <c r="F384" s="4372"/>
      <c r="G384" s="4372"/>
      <c r="H384" s="4372"/>
      <c r="I384" s="4372"/>
      <c r="J384" s="4372"/>
      <c r="K384" s="4372"/>
      <c r="L384" s="4372"/>
      <c r="M384" s="1009" t="s">
        <v>2519</v>
      </c>
      <c r="N384" s="437"/>
      <c r="O384" s="4380">
        <f>'Part V-Revenues &amp; Expenses'!$P$67</f>
        <v>60</v>
      </c>
      <c r="P384" s="4381"/>
      <c r="Q384" s="185"/>
    </row>
    <row r="385" spans="1:19" s="436" customFormat="1" ht="12" customHeight="1">
      <c r="B385" s="4373"/>
      <c r="C385" s="4373"/>
      <c r="D385" s="4373"/>
      <c r="E385" s="4373"/>
      <c r="F385" s="4373"/>
      <c r="G385" s="4373"/>
      <c r="H385" s="4373"/>
      <c r="I385" s="4373"/>
      <c r="J385" s="4373"/>
      <c r="K385" s="4373"/>
      <c r="L385" s="4373"/>
      <c r="M385" s="1513" t="s">
        <v>2520</v>
      </c>
      <c r="N385" s="437"/>
      <c r="O385" s="4374">
        <f>IF(O384=0,0,O383/O384)</f>
        <v>0</v>
      </c>
      <c r="P385" s="4375"/>
      <c r="Q385" s="185"/>
    </row>
    <row r="386" spans="1:19" s="43" customFormat="1" ht="105.75" customHeight="1">
      <c r="A386" s="541"/>
      <c r="B386" s="4146" t="s">
        <v>3417</v>
      </c>
      <c r="C386" s="4147"/>
      <c r="D386" s="4147"/>
      <c r="E386" s="4147"/>
      <c r="F386" s="4147"/>
      <c r="G386" s="4147"/>
      <c r="H386" s="4147"/>
      <c r="I386" s="4147"/>
      <c r="J386" s="4147"/>
      <c r="K386" s="4147"/>
      <c r="L386" s="4147"/>
      <c r="M386" s="4147"/>
      <c r="N386" s="4147"/>
      <c r="O386" s="4147"/>
      <c r="P386" s="4148"/>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60</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324" t="s">
        <v>907</v>
      </c>
      <c r="B392" s="4325"/>
      <c r="C392" s="4325"/>
      <c r="D392" s="4325"/>
      <c r="E392" s="4325"/>
      <c r="F392" s="4325"/>
      <c r="G392" s="4325"/>
      <c r="H392" s="4325"/>
      <c r="I392" s="4325"/>
      <c r="J392" s="4325"/>
      <c r="K392" s="4325"/>
      <c r="L392" s="4325"/>
      <c r="M392" s="4325"/>
      <c r="N392" s="4325"/>
      <c r="O392" s="4325"/>
      <c r="P392" s="4326"/>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169"/>
      <c r="B394" s="4170"/>
      <c r="C394" s="4170"/>
      <c r="D394" s="4170"/>
      <c r="E394" s="4170"/>
      <c r="F394" s="4170"/>
      <c r="G394" s="4170"/>
      <c r="H394" s="4170"/>
      <c r="I394" s="4170"/>
      <c r="J394" s="4170"/>
      <c r="K394" s="4170"/>
      <c r="L394" s="4170"/>
      <c r="M394" s="4170"/>
      <c r="N394" s="4170"/>
      <c r="O394" s="4170"/>
      <c r="P394" s="4171"/>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69"/>
      <c r="B402" s="4170"/>
      <c r="C402" s="4170"/>
      <c r="D402" s="4170"/>
      <c r="E402" s="4170"/>
      <c r="F402" s="4170"/>
      <c r="G402" s="4170"/>
      <c r="H402" s="4170"/>
      <c r="I402" s="4170"/>
      <c r="J402" s="4170"/>
      <c r="K402" s="4170"/>
      <c r="L402" s="4170"/>
      <c r="M402" s="4170"/>
      <c r="N402" s="4170"/>
      <c r="O402" s="4170"/>
      <c r="P402" s="4171"/>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6611</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6612</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6613</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6614</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6246</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6615</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324" t="s">
        <v>7014</v>
      </c>
      <c r="B413" s="4325"/>
      <c r="C413" s="4325"/>
      <c r="D413" s="4325"/>
      <c r="E413" s="4325"/>
      <c r="F413" s="4325"/>
      <c r="G413" s="4325"/>
      <c r="H413" s="4325"/>
      <c r="I413" s="4325"/>
      <c r="J413" s="4325"/>
      <c r="K413" s="4325"/>
      <c r="L413" s="4325"/>
      <c r="M413" s="4325"/>
      <c r="N413" s="4325"/>
      <c r="O413" s="4325"/>
      <c r="P413" s="4326"/>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69"/>
      <c r="B415" s="4170"/>
      <c r="C415" s="4170"/>
      <c r="D415" s="4170"/>
      <c r="E415" s="4170"/>
      <c r="F415" s="4170"/>
      <c r="G415" s="4170"/>
      <c r="H415" s="4170"/>
      <c r="I415" s="4170"/>
      <c r="J415" s="4170"/>
      <c r="K415" s="4170"/>
      <c r="L415" s="4170"/>
      <c r="M415" s="4170"/>
      <c r="N415" s="4170"/>
      <c r="O415" s="4170"/>
      <c r="P415" s="4171"/>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6247</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324" t="s">
        <v>907</v>
      </c>
      <c r="B419" s="4325"/>
      <c r="C419" s="4325"/>
      <c r="D419" s="4325"/>
      <c r="E419" s="4325"/>
      <c r="F419" s="4325"/>
      <c r="G419" s="4325"/>
      <c r="H419" s="4325"/>
      <c r="I419" s="4325"/>
      <c r="J419" s="4325"/>
      <c r="K419" s="4325"/>
      <c r="L419" s="4325"/>
      <c r="M419" s="4325"/>
      <c r="N419" s="4325"/>
      <c r="O419" s="4325"/>
      <c r="P419" s="4326"/>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169"/>
      <c r="B421" s="4170"/>
      <c r="C421" s="4170"/>
      <c r="D421" s="4170"/>
      <c r="E421" s="4170"/>
      <c r="F421" s="4170"/>
      <c r="G421" s="4170"/>
      <c r="H421" s="4170"/>
      <c r="I421" s="4170"/>
      <c r="J421" s="4170"/>
      <c r="K421" s="4170"/>
      <c r="L421" s="4170"/>
      <c r="M421" s="4170"/>
      <c r="N421" s="4170"/>
      <c r="O421" s="4170"/>
      <c r="P421" s="4171"/>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6616</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169"/>
      <c r="B425" s="4170"/>
      <c r="C425" s="4170"/>
      <c r="D425" s="4170"/>
      <c r="E425" s="4170"/>
      <c r="F425" s="4170"/>
      <c r="G425" s="4170"/>
      <c r="H425" s="4170"/>
      <c r="I425" s="4170"/>
      <c r="J425" s="4170"/>
      <c r="K425" s="4170"/>
      <c r="L425" s="4170"/>
      <c r="M425" s="4170"/>
      <c r="N425" s="4170"/>
      <c r="O425" s="4170"/>
      <c r="P425" s="4171"/>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6617</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324" t="s">
        <v>907</v>
      </c>
      <c r="B429" s="4325"/>
      <c r="C429" s="4325"/>
      <c r="D429" s="4325"/>
      <c r="E429" s="4325"/>
      <c r="F429" s="4325"/>
      <c r="G429" s="4325"/>
      <c r="H429" s="4325"/>
      <c r="I429" s="4325"/>
      <c r="J429" s="4325"/>
      <c r="K429" s="4325"/>
      <c r="L429" s="4325"/>
      <c r="M429" s="4325"/>
      <c r="N429" s="4325"/>
      <c r="O429" s="4325"/>
      <c r="P429" s="4326"/>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169"/>
      <c r="B431" s="4170"/>
      <c r="C431" s="4170"/>
      <c r="D431" s="4170"/>
      <c r="E431" s="4170"/>
      <c r="F431" s="4170"/>
      <c r="G431" s="4170"/>
      <c r="H431" s="4170"/>
      <c r="I431" s="4170"/>
      <c r="J431" s="4170"/>
      <c r="K431" s="4170"/>
      <c r="L431" s="4170"/>
      <c r="M431" s="4170"/>
      <c r="N431" s="4170"/>
      <c r="O431" s="4170"/>
      <c r="P431" s="4171"/>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6618</v>
      </c>
      <c r="D433" s="45"/>
      <c r="G433" s="61" t="s">
        <v>6089</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6139</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6140</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324" t="s">
        <v>907</v>
      </c>
      <c r="B437" s="4325"/>
      <c r="C437" s="4325"/>
      <c r="D437" s="4325"/>
      <c r="E437" s="4325"/>
      <c r="F437" s="4325"/>
      <c r="G437" s="4325"/>
      <c r="H437" s="4325"/>
      <c r="I437" s="4325"/>
      <c r="J437" s="4325"/>
      <c r="K437" s="4325"/>
      <c r="L437" s="4325"/>
      <c r="M437" s="4325"/>
      <c r="N437" s="4325"/>
      <c r="O437" s="4325"/>
      <c r="P437" s="4326"/>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69"/>
      <c r="B439" s="4170"/>
      <c r="C439" s="4170"/>
      <c r="D439" s="4170"/>
      <c r="E439" s="4170"/>
      <c r="F439" s="4170"/>
      <c r="G439" s="4170"/>
      <c r="H439" s="4170"/>
      <c r="I439" s="4170"/>
      <c r="J439" s="4170"/>
      <c r="K439" s="4170"/>
      <c r="L439" s="4170"/>
      <c r="M439" s="4170"/>
      <c r="N439" s="4170"/>
      <c r="O439" s="4170"/>
      <c r="P439" s="4171"/>
      <c r="Q439" s="1078"/>
      <c r="R439" s="467"/>
    </row>
    <row r="440" spans="1:27" ht="13.5" customHeight="1" thickBot="1">
      <c r="O440" s="2077"/>
      <c r="P440" s="2077"/>
      <c r="Q440" s="4248" t="s">
        <v>6751</v>
      </c>
      <c r="R440" s="4248"/>
      <c r="S440" s="4248"/>
      <c r="T440" s="4248"/>
      <c r="U440" s="4248"/>
      <c r="V440" s="4248"/>
      <c r="W440" s="4248"/>
      <c r="X440" s="4248"/>
      <c r="Y440" s="4248"/>
      <c r="Z440" s="4248"/>
      <c r="AA440" s="4248"/>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67</v>
      </c>
      <c r="P441" s="2104">
        <f>-P10+P63+P88+P102+P112+P151+P168+P189+P204+P224+P232+P241+P251+P260+P273+P284+P309+P317+P333+P341+P377+P396+P404+P423+P427+P433</f>
        <v>25</v>
      </c>
      <c r="Q441" s="4248"/>
      <c r="R441" s="4248"/>
      <c r="S441" s="4248"/>
      <c r="T441" s="4248"/>
      <c r="U441" s="4248"/>
      <c r="V441" s="4248"/>
      <c r="W441" s="4248"/>
      <c r="X441" s="4248"/>
      <c r="Y441" s="4248"/>
      <c r="Z441" s="4248"/>
      <c r="AA441" s="4248"/>
    </row>
    <row r="442" spans="1:27" s="43" customFormat="1" ht="15" thickTop="1">
      <c r="A442" s="42"/>
      <c r="C442" s="2080"/>
      <c r="D442" s="2080"/>
      <c r="E442" s="2080"/>
      <c r="F442" s="2080"/>
      <c r="G442" s="2080"/>
      <c r="H442" s="2080"/>
      <c r="I442" s="2080"/>
      <c r="J442" s="2080"/>
      <c r="K442" s="2080"/>
      <c r="L442" s="2080"/>
      <c r="M442" s="2080"/>
      <c r="N442" s="2501"/>
      <c r="O442" s="2501"/>
      <c r="P442" s="2501"/>
      <c r="Q442" s="4248"/>
      <c r="R442" s="4248"/>
      <c r="S442" s="4248"/>
      <c r="T442" s="4248"/>
      <c r="U442" s="4248"/>
      <c r="V442" s="4248"/>
      <c r="W442" s="4248"/>
      <c r="X442" s="4248"/>
      <c r="Y442" s="4248"/>
      <c r="Z442" s="4248"/>
      <c r="AA442" s="4248"/>
    </row>
    <row r="443" spans="1:27" s="160" customFormat="1" ht="6.75" customHeight="1">
      <c r="A443" s="54"/>
      <c r="B443" s="67"/>
      <c r="C443" s="54"/>
      <c r="D443" s="148"/>
      <c r="E443" s="148"/>
      <c r="F443" s="40"/>
      <c r="G443" s="40"/>
      <c r="H443" s="69"/>
      <c r="I443" s="69"/>
      <c r="J443" s="494"/>
      <c r="K443" s="494"/>
      <c r="L443" s="43"/>
      <c r="M443" s="148"/>
      <c r="N443" s="1203"/>
      <c r="O443" s="1203"/>
      <c r="P443" s="3"/>
      <c r="Q443" s="4248"/>
      <c r="R443" s="4248"/>
      <c r="S443" s="4248"/>
      <c r="T443" s="4248"/>
      <c r="U443" s="4248"/>
      <c r="V443" s="4248"/>
      <c r="W443" s="4248"/>
      <c r="X443" s="4248"/>
      <c r="Y443" s="4248"/>
      <c r="Z443" s="4248"/>
      <c r="AA443" s="4248"/>
    </row>
    <row r="444" spans="1:27" s="43" customFormat="1" ht="22.5" customHeight="1">
      <c r="A444" s="4474" t="s">
        <v>6706</v>
      </c>
      <c r="B444" s="4474"/>
      <c r="C444" s="4474"/>
      <c r="D444" s="4474"/>
      <c r="E444" s="4474"/>
      <c r="F444" s="4474"/>
      <c r="G444" s="4474"/>
      <c r="H444" s="4474"/>
      <c r="I444" s="4474"/>
      <c r="J444" s="4474"/>
      <c r="K444" s="4474"/>
      <c r="L444" s="4474"/>
      <c r="M444" s="4474"/>
      <c r="N444" s="4474"/>
      <c r="O444" s="4474"/>
      <c r="P444" s="4474"/>
      <c r="Q444" s="4248"/>
      <c r="R444" s="4248"/>
      <c r="S444" s="4248"/>
      <c r="T444" s="4248"/>
      <c r="U444" s="4248"/>
      <c r="V444" s="4248"/>
      <c r="W444" s="4248"/>
      <c r="X444" s="4248"/>
      <c r="Y444" s="4248"/>
      <c r="Z444" s="4248"/>
      <c r="AA444" s="4248"/>
    </row>
    <row r="445" spans="1:27" s="43" customFormat="1" ht="409.15" customHeight="1">
      <c r="A445" s="3995"/>
      <c r="B445" s="3996"/>
      <c r="C445" s="3996"/>
      <c r="D445" s="3996"/>
      <c r="E445" s="3996"/>
      <c r="F445" s="3996"/>
      <c r="G445" s="3996"/>
      <c r="H445" s="3996"/>
      <c r="I445" s="3996"/>
      <c r="J445" s="3996"/>
      <c r="K445" s="3996"/>
      <c r="L445" s="3996"/>
      <c r="M445" s="3996"/>
      <c r="N445" s="3996"/>
      <c r="O445" s="3996"/>
      <c r="P445" s="3997"/>
      <c r="Q445" s="2653"/>
      <c r="R445" s="2653"/>
      <c r="S445" s="2653"/>
      <c r="T445" s="2653"/>
      <c r="U445" s="2653"/>
      <c r="V445" s="2653"/>
      <c r="W445" s="2653"/>
      <c r="X445" s="2653"/>
      <c r="Y445" s="2653"/>
    </row>
    <row r="446" spans="1:27" s="160" customFormat="1" ht="12.5">
      <c r="A446" s="2306"/>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ht="12.5">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ht="12.5">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ht="12.5">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ht="12.5">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ht="12.5">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ht="12.5">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ht="12.5">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ht="12.5">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ht="12.5">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ht="12.5">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ht="12.5">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ht="12.5">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ht="12.5">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ht="12.5">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ht="12.5">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ht="12.5">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ht="12.5">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ht="12.5">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ht="12.5">
      <c r="A465" s="2306"/>
      <c r="B465" s="2306"/>
      <c r="C465" s="472"/>
      <c r="D465" s="472"/>
      <c r="E465" s="472"/>
      <c r="F465" s="472"/>
      <c r="G465" s="4471" t="s">
        <v>1408</v>
      </c>
      <c r="H465" s="4471"/>
      <c r="I465" s="4471"/>
      <c r="J465" s="472" t="s">
        <v>3026</v>
      </c>
      <c r="K465" s="472"/>
      <c r="L465" s="472"/>
      <c r="M465" s="472"/>
      <c r="N465" s="2517"/>
      <c r="O465" s="2307">
        <v>2</v>
      </c>
      <c r="P465" s="2307"/>
      <c r="Q465" s="2308"/>
      <c r="R465" s="2306"/>
    </row>
    <row r="466" spans="1:18" s="160" customFormat="1" ht="12.5">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ht="12.5">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ht="12.5">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ht="12.5">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ht="12.5">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ht="12.5">
      <c r="A471" s="2306"/>
      <c r="B471" s="2306"/>
      <c r="C471" s="2524"/>
      <c r="D471" s="472"/>
      <c r="E471" s="472"/>
      <c r="F471" s="472"/>
      <c r="G471" s="2525" t="s">
        <v>972</v>
      </c>
      <c r="H471" s="2517">
        <v>2020</v>
      </c>
      <c r="I471" s="2517" t="s">
        <v>4070</v>
      </c>
      <c r="J471" s="2523" t="s">
        <v>3252</v>
      </c>
      <c r="K471" s="472"/>
      <c r="L471" s="2526"/>
      <c r="M471" s="472"/>
      <c r="N471" s="2517"/>
      <c r="O471" s="2307">
        <v>1</v>
      </c>
      <c r="P471" s="2307"/>
      <c r="Q471" s="2308"/>
      <c r="R471" s="2306"/>
    </row>
    <row r="472" spans="1:18" s="160" customFormat="1" ht="12.5">
      <c r="A472" s="2306"/>
      <c r="B472" s="2306"/>
      <c r="C472" s="2524"/>
      <c r="D472" s="472"/>
      <c r="E472" s="472"/>
      <c r="F472" s="472"/>
      <c r="G472" s="2525" t="s">
        <v>3274</v>
      </c>
      <c r="H472" s="2517">
        <v>2019</v>
      </c>
      <c r="I472" s="2517" t="s">
        <v>4070</v>
      </c>
      <c r="J472" s="2523" t="s">
        <v>3038</v>
      </c>
      <c r="K472" s="472"/>
      <c r="L472" s="2526"/>
      <c r="M472" s="472"/>
      <c r="N472" s="2517"/>
      <c r="O472" s="2307">
        <v>1</v>
      </c>
      <c r="P472" s="2307"/>
      <c r="Q472" s="2308"/>
      <c r="R472" s="2306"/>
    </row>
    <row r="473" spans="1:18" s="160" customFormat="1" ht="12.5">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ht="12.5">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ht="12.5">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ht="12.5">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ht="12.5">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ht="12.5">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ht="12.5">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ht="12.5">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ht="12.5">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ht="12.5">
      <c r="A482" s="2527" t="s">
        <v>3009</v>
      </c>
      <c r="B482" s="2306"/>
      <c r="C482" s="472"/>
      <c r="D482" s="2524"/>
      <c r="E482" s="2524">
        <v>10</v>
      </c>
      <c r="F482" s="472"/>
      <c r="G482" s="2525" t="s">
        <v>1789</v>
      </c>
      <c r="H482" s="2517">
        <v>2019</v>
      </c>
      <c r="I482" s="2517" t="s">
        <v>4070</v>
      </c>
      <c r="J482" s="2528" t="s">
        <v>3262</v>
      </c>
      <c r="K482" s="472"/>
      <c r="L482" s="2526"/>
      <c r="M482" s="472"/>
      <c r="N482" s="2517"/>
      <c r="O482" s="2307"/>
      <c r="P482" s="2307"/>
      <c r="Q482" s="2308"/>
      <c r="R482" s="2306"/>
    </row>
    <row r="483" spans="1:18" s="160" customFormat="1" ht="12.5">
      <c r="A483" s="2527" t="s">
        <v>2516</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ht="12.5">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ht="12.5">
      <c r="A485" s="2306"/>
      <c r="B485" s="2306"/>
      <c r="C485" s="2524"/>
      <c r="D485" s="472"/>
      <c r="E485" s="472"/>
      <c r="F485" s="472"/>
      <c r="G485" s="2525" t="s">
        <v>532</v>
      </c>
      <c r="H485" s="2517">
        <v>2020</v>
      </c>
      <c r="I485" s="2517" t="s">
        <v>4070</v>
      </c>
      <c r="J485" s="2523" t="s">
        <v>3255</v>
      </c>
      <c r="K485" s="2523"/>
      <c r="L485" s="2526"/>
      <c r="M485" s="472"/>
      <c r="N485" s="2517"/>
      <c r="O485" s="2307"/>
      <c r="P485" s="2307"/>
      <c r="Q485" s="2308"/>
      <c r="R485" s="2306"/>
    </row>
    <row r="486" spans="1:18" s="160" customFormat="1" ht="12.5">
      <c r="A486" s="2306"/>
      <c r="B486" s="2306"/>
      <c r="C486" s="2524"/>
      <c r="D486" s="472"/>
      <c r="E486" s="472"/>
      <c r="F486" s="472"/>
      <c r="G486" s="2525" t="s">
        <v>809</v>
      </c>
      <c r="H486" s="2517" t="s">
        <v>4071</v>
      </c>
      <c r="I486" s="2522" t="s">
        <v>2454</v>
      </c>
      <c r="J486" s="2523" t="s">
        <v>3330</v>
      </c>
      <c r="K486" s="472"/>
      <c r="L486" s="2526"/>
      <c r="M486" s="472"/>
      <c r="N486" s="2517"/>
      <c r="O486" s="2307"/>
      <c r="P486" s="2307"/>
      <c r="Q486" s="2308"/>
      <c r="R486" s="2306"/>
    </row>
    <row r="487" spans="1:18" s="160" customFormat="1" ht="12.5">
      <c r="A487" s="2306"/>
      <c r="B487" s="2306"/>
      <c r="C487" s="2524"/>
      <c r="D487" s="472"/>
      <c r="E487" s="472"/>
      <c r="F487" s="472"/>
      <c r="G487" s="2525" t="s">
        <v>3021</v>
      </c>
      <c r="H487" s="2517">
        <v>2019</v>
      </c>
      <c r="I487" s="2517" t="s">
        <v>4070</v>
      </c>
      <c r="J487" s="2523" t="s">
        <v>3256</v>
      </c>
      <c r="K487" s="2523"/>
      <c r="L487" s="2526"/>
      <c r="M487" s="472"/>
      <c r="N487" s="2517"/>
      <c r="O487" s="2307"/>
      <c r="P487" s="2307"/>
      <c r="Q487" s="2308"/>
      <c r="R487" s="2306"/>
    </row>
    <row r="488" spans="1:18" s="160" customFormat="1" ht="12.5">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ht="12.5">
      <c r="A489" s="2306"/>
      <c r="B489" s="2306"/>
      <c r="C489" s="472"/>
      <c r="D489" s="472"/>
      <c r="E489" s="472"/>
      <c r="F489" s="472"/>
      <c r="G489" s="2525" t="s">
        <v>172</v>
      </c>
      <c r="H489" s="2517">
        <v>2019</v>
      </c>
      <c r="I489" s="2517" t="s">
        <v>4070</v>
      </c>
      <c r="J489" s="2523" t="s">
        <v>3257</v>
      </c>
      <c r="K489" s="472"/>
      <c r="L489" s="2523"/>
      <c r="M489" s="472"/>
      <c r="N489" s="2517"/>
      <c r="O489" s="2307"/>
      <c r="P489" s="2307"/>
      <c r="Q489" s="2308"/>
      <c r="R489" s="2306"/>
    </row>
    <row r="490" spans="1:18" s="160" customFormat="1" ht="12.5">
      <c r="A490" s="2306"/>
      <c r="B490" s="2306"/>
      <c r="C490" s="472"/>
      <c r="D490" s="472"/>
      <c r="E490" s="472"/>
      <c r="F490" s="472"/>
      <c r="G490" s="2525" t="s">
        <v>3348</v>
      </c>
      <c r="H490" s="2517" t="s">
        <v>4071</v>
      </c>
      <c r="I490" s="2522" t="s">
        <v>2454</v>
      </c>
      <c r="J490" s="2523" t="s">
        <v>3332</v>
      </c>
      <c r="K490" s="472"/>
      <c r="L490" s="2526"/>
      <c r="M490" s="472"/>
      <c r="N490" s="2517"/>
      <c r="O490" s="2307"/>
      <c r="P490" s="2307"/>
      <c r="Q490" s="2308"/>
      <c r="R490" s="2306"/>
    </row>
    <row r="491" spans="1:18" s="160" customFormat="1" ht="12.5">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ht="12.5">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ht="12.5">
      <c r="A493" s="2306"/>
      <c r="B493" s="2306"/>
      <c r="C493" s="472"/>
      <c r="D493" s="2529"/>
      <c r="E493" s="472"/>
      <c r="F493" s="472"/>
      <c r="G493" s="2525" t="s">
        <v>1350</v>
      </c>
      <c r="H493" s="2517" t="s">
        <v>4071</v>
      </c>
      <c r="I493" s="2522" t="s">
        <v>2454</v>
      </c>
      <c r="J493" s="2523" t="s">
        <v>3258</v>
      </c>
      <c r="K493" s="472"/>
      <c r="L493" s="2526"/>
      <c r="M493" s="472"/>
      <c r="N493" s="2517"/>
      <c r="O493" s="2307"/>
      <c r="P493" s="2307"/>
      <c r="Q493" s="2308"/>
      <c r="R493" s="2306"/>
    </row>
    <row r="494" spans="1:18" s="160" customFormat="1" ht="12.5">
      <c r="A494" s="2306"/>
      <c r="B494" s="2306"/>
      <c r="C494" s="472"/>
      <c r="D494" s="2529"/>
      <c r="E494" s="472"/>
      <c r="F494" s="472"/>
      <c r="G494" s="2525" t="s">
        <v>1708</v>
      </c>
      <c r="H494" s="2517" t="s">
        <v>4071</v>
      </c>
      <c r="I494" s="2522" t="s">
        <v>2454</v>
      </c>
      <c r="J494" s="2523" t="s">
        <v>3259</v>
      </c>
      <c r="K494" s="472"/>
      <c r="L494" s="2526"/>
      <c r="M494" s="472"/>
      <c r="N494" s="2517"/>
      <c r="O494" s="2307"/>
      <c r="P494" s="2307"/>
      <c r="Q494" s="2308"/>
      <c r="R494" s="2306"/>
    </row>
    <row r="495" spans="1:18" s="160" customFormat="1" ht="12.5">
      <c r="A495" s="2306"/>
      <c r="B495" s="2306"/>
      <c r="C495" s="472"/>
      <c r="D495" s="2530"/>
      <c r="E495" s="472"/>
      <c r="F495" s="472"/>
      <c r="G495" s="2525" t="s">
        <v>1970</v>
      </c>
      <c r="H495" s="2517">
        <v>2020</v>
      </c>
      <c r="I495" s="2517" t="s">
        <v>4070</v>
      </c>
      <c r="J495" s="2523" t="s">
        <v>3333</v>
      </c>
      <c r="K495" s="472"/>
      <c r="L495" s="2526"/>
      <c r="M495" s="472"/>
      <c r="N495" s="2517"/>
      <c r="O495" s="2307"/>
      <c r="P495" s="2307"/>
      <c r="Q495" s="2308"/>
      <c r="R495" s="2306"/>
    </row>
    <row r="496" spans="1:18" s="160" customFormat="1" ht="12.5">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ht="12.5">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ht="12.5">
      <c r="A498" s="2306"/>
      <c r="B498" s="2306"/>
      <c r="C498" s="472"/>
      <c r="D498" s="472"/>
      <c r="E498" s="472"/>
      <c r="F498" s="472"/>
      <c r="G498" s="2525" t="s">
        <v>979</v>
      </c>
      <c r="H498" s="2517">
        <v>2020</v>
      </c>
      <c r="I498" s="2517" t="s">
        <v>4070</v>
      </c>
      <c r="J498" s="2523" t="s">
        <v>3260</v>
      </c>
      <c r="K498" s="472"/>
      <c r="L498" s="2526"/>
      <c r="M498" s="472"/>
      <c r="N498" s="2517"/>
      <c r="O498" s="2307"/>
      <c r="P498" s="2307"/>
      <c r="Q498" s="2308"/>
      <c r="R498" s="2306"/>
    </row>
    <row r="499" spans="1:18" s="160" customFormat="1" ht="12.5">
      <c r="A499" s="2306"/>
      <c r="B499" s="2306"/>
      <c r="C499" s="2529"/>
      <c r="D499" s="472"/>
      <c r="E499" s="472"/>
      <c r="F499" s="472"/>
      <c r="G499" s="2525" t="s">
        <v>2097</v>
      </c>
      <c r="H499" s="2517">
        <v>2020</v>
      </c>
      <c r="I499" s="2517" t="s">
        <v>4070</v>
      </c>
      <c r="J499" s="2523" t="s">
        <v>3261</v>
      </c>
      <c r="K499" s="472"/>
      <c r="L499" s="2526"/>
      <c r="M499" s="472"/>
      <c r="N499" s="2517"/>
      <c r="O499" s="2307"/>
      <c r="P499" s="2307"/>
      <c r="Q499" s="2308"/>
      <c r="R499" s="2306"/>
    </row>
    <row r="500" spans="1:18" s="160" customFormat="1" ht="12.5">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ht="12.5">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ht="12.5">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ht="12.5">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ht="12.5">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ht="12.5">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ht="12.5">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ht="12.5">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ht="12.5">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ht="12.5">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ht="12.5">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ht="12.5">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ht="12.5">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ht="12.5">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ht="12.5">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ht="12.5">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Aa2FdcpNn0H8bPW3WC6yHtplmJD60YkCZJKaVaMLuxxLVse28BfuIOng84JxoNVOzLq7Ol2OwbnSgYdXuGr8pQ==" saltValue="nYyq1pI6R3WR/sQ11AMMWg=="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796875" defaultRowHeight="15.5"/>
  <cols>
    <col min="1" max="3" width="12.81640625" style="654" customWidth="1"/>
    <col min="4" max="4" width="15.453125" style="654" customWidth="1"/>
    <col min="5" max="5" width="4.81640625" style="654" customWidth="1"/>
    <col min="6" max="9" width="12.81640625" style="654" customWidth="1"/>
    <col min="10" max="10" width="5.1796875" style="654" customWidth="1"/>
    <col min="11" max="16384" width="9.1796875" style="654"/>
  </cols>
  <sheetData>
    <row r="1" spans="1:16">
      <c r="A1" s="4547" t="s">
        <v>2583</v>
      </c>
      <c r="B1" s="4547"/>
      <c r="C1" s="4547"/>
      <c r="D1" s="4547"/>
      <c r="E1" s="4547"/>
      <c r="F1" s="4547"/>
      <c r="G1" s="4547"/>
      <c r="H1" s="4547"/>
      <c r="I1" s="4547"/>
      <c r="J1" s="4547"/>
    </row>
    <row r="2" spans="1:16">
      <c r="A2" s="4547" t="str">
        <f>'Sensitivity Analysis'!C8</f>
        <v>Villa Rica Senior</v>
      </c>
      <c r="B2" s="4547"/>
      <c r="C2" s="4547"/>
      <c r="D2" s="4547"/>
      <c r="E2" s="4547"/>
      <c r="F2" s="4547"/>
      <c r="G2" s="4547"/>
      <c r="H2" s="4547"/>
      <c r="I2" s="4547"/>
      <c r="J2" s="4547"/>
    </row>
    <row r="3" spans="1:16">
      <c r="A3" s="4547" t="str">
        <f>'Subsidy Layering Memo'!F14</f>
        <v>Villa Rica, Carroll</v>
      </c>
      <c r="B3" s="4547"/>
      <c r="C3" s="4547"/>
      <c r="D3" s="4547"/>
      <c r="E3" s="4547"/>
      <c r="F3" s="4547"/>
      <c r="G3" s="4547"/>
      <c r="H3" s="4547"/>
      <c r="I3" s="4547"/>
      <c r="J3" s="4547"/>
    </row>
    <row r="4" spans="1:16">
      <c r="A4" s="4548" t="s">
        <v>2584</v>
      </c>
      <c r="B4" s="4547"/>
      <c r="C4" s="4547"/>
      <c r="D4" s="4547"/>
      <c r="E4" s="4547"/>
      <c r="F4" s="4547"/>
      <c r="G4" s="4547"/>
      <c r="H4" s="4547"/>
      <c r="I4" s="4547"/>
      <c r="J4" s="4547"/>
    </row>
    <row r="5" spans="1:16" ht="5.25" customHeight="1"/>
    <row r="6" spans="1:16" ht="5.25" customHeight="1"/>
    <row r="7" spans="1:16">
      <c r="A7" s="4549" t="s">
        <v>2585</v>
      </c>
      <c r="B7" s="4549"/>
      <c r="C7" s="4550"/>
      <c r="M7" s="4540"/>
      <c r="N7" s="4540"/>
      <c r="O7" s="4540"/>
      <c r="P7" s="4540"/>
    </row>
    <row r="8" spans="1:16" ht="57" customHeight="1">
      <c r="A8" s="4541" t="s">
        <v>6159</v>
      </c>
      <c r="B8" s="4541"/>
      <c r="C8" s="4541"/>
      <c r="D8" s="4541"/>
      <c r="E8" s="4541"/>
      <c r="F8" s="4541"/>
      <c r="G8" s="4541"/>
      <c r="H8" s="4541"/>
      <c r="I8" s="4541"/>
      <c r="J8" s="4541"/>
      <c r="K8" s="655"/>
    </row>
    <row r="9" spans="1:16" ht="45.75" customHeight="1">
      <c r="A9" s="4541"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1"/>
      <c r="C9" s="4541"/>
      <c r="D9" s="4541"/>
      <c r="E9" s="4541"/>
      <c r="F9" s="4541"/>
      <c r="G9" s="4541"/>
      <c r="H9" s="4541"/>
      <c r="I9" s="4541"/>
      <c r="J9" s="4541"/>
      <c r="K9" s="655"/>
    </row>
    <row r="10" spans="1:16">
      <c r="A10" s="656" t="s">
        <v>2586</v>
      </c>
    </row>
    <row r="11" spans="1:16" ht="16.5" customHeight="1">
      <c r="A11" s="4541" t="str">
        <f>'Subsidy Layering Memo'!A50</f>
        <v xml:space="preserve">Ownership entity:  (NAME) LP, a Georgia Limited Partnership, will be the ownership entity for the proposed project. </v>
      </c>
      <c r="B11" s="4543"/>
      <c r="C11" s="4543"/>
      <c r="D11" s="4543"/>
      <c r="E11" s="4543"/>
      <c r="F11" s="4543"/>
      <c r="G11" s="4543"/>
      <c r="H11" s="4543"/>
      <c r="I11" s="4543"/>
      <c r="J11" s="4541"/>
    </row>
    <row r="12" spans="1:16" ht="63.75" customHeight="1">
      <c r="A12" s="454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1"/>
      <c r="C12" s="4541"/>
      <c r="D12" s="4541"/>
      <c r="E12" s="4541"/>
      <c r="F12" s="4541"/>
      <c r="G12" s="4541"/>
      <c r="H12" s="4541"/>
      <c r="I12" s="4541"/>
      <c r="J12" s="4541"/>
    </row>
    <row r="13" spans="1:16" ht="48.75" customHeight="1">
      <c r="A13" s="454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1"/>
      <c r="C13" s="4541"/>
      <c r="D13" s="4541"/>
      <c r="E13" s="4541"/>
      <c r="F13" s="4541"/>
      <c r="G13" s="4541"/>
      <c r="H13" s="4541"/>
      <c r="I13" s="4541"/>
      <c r="J13" s="4541"/>
    </row>
    <row r="14" spans="1:16">
      <c r="A14" s="656" t="s">
        <v>2587</v>
      </c>
      <c r="B14" s="657"/>
    </row>
    <row r="15" spans="1:16">
      <c r="A15" s="654" t="s">
        <v>2588</v>
      </c>
      <c r="D15" s="1588" t="s">
        <v>2589</v>
      </c>
    </row>
    <row r="16" spans="1:16">
      <c r="A16" s="654" t="s">
        <v>2590</v>
      </c>
      <c r="D16" s="1586">
        <f>'Sensitivity Analysis'!C25</f>
        <v>2210000</v>
      </c>
    </row>
    <row r="17" spans="1:11">
      <c r="A17" s="658" t="s">
        <v>2591</v>
      </c>
      <c r="D17" s="1587">
        <f>'Sensitivity Analysis'!C13</f>
        <v>60</v>
      </c>
    </row>
    <row r="18" spans="1:11" ht="14.25" customHeight="1"/>
    <row r="19" spans="1:11">
      <c r="A19" s="656" t="s">
        <v>2592</v>
      </c>
      <c r="B19" s="657"/>
      <c r="C19" s="657"/>
    </row>
    <row r="20" spans="1:11" ht="48.75" customHeight="1">
      <c r="A20" s="454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4"/>
      <c r="C20" s="4544"/>
      <c r="D20" s="4544"/>
      <c r="E20" s="4544"/>
      <c r="F20" s="4544"/>
      <c r="G20" s="4544"/>
      <c r="H20" s="4544"/>
      <c r="I20" s="4544"/>
      <c r="J20" s="4544"/>
    </row>
    <row r="21" spans="1:11" ht="72.75" customHeight="1">
      <c r="A21" s="4541" t="str">
        <f>'Subsidy Layering Memo'!A67</f>
        <v xml:space="preserve"> will make a capital contribution totaling 8999100 via the syndication of the 2021 Federal LIHTC allocation of 1000000 per annum. will make a capital contribution totaling 5500000 via the syndication of the 2021 State LIHTC allocation of 1000000 per annum.</v>
      </c>
      <c r="B21" s="4541"/>
      <c r="C21" s="4541"/>
      <c r="D21" s="4541"/>
      <c r="E21" s="4541"/>
      <c r="F21" s="4541"/>
      <c r="G21" s="4541"/>
      <c r="H21" s="4541"/>
      <c r="I21" s="4541"/>
      <c r="J21" s="4541"/>
    </row>
    <row r="22" spans="1:11" ht="43.5" customHeight="1">
      <c r="A22" s="4546" t="str">
        <f>'Subsidy Layering Memo'!A68</f>
        <v xml:space="preserve">The total equity price per credit will be 1.45 (0.9 Federal tax credit and 0.55 State tax credit) for a (X%) ownership interest of the Federal Credits and a (X%) ownership interest of the State Credits. </v>
      </c>
      <c r="B22" s="4546"/>
      <c r="C22" s="4546"/>
      <c r="D22" s="4546"/>
      <c r="E22" s="4546"/>
      <c r="F22" s="4546"/>
      <c r="G22" s="4546"/>
      <c r="H22" s="4546"/>
      <c r="I22" s="4546"/>
      <c r="J22" s="4546"/>
    </row>
    <row r="23" spans="1:11">
      <c r="A23" s="656" t="s">
        <v>6160</v>
      </c>
      <c r="B23" s="657"/>
      <c r="C23" s="657"/>
      <c r="D23" s="657"/>
      <c r="E23" s="657"/>
      <c r="F23" s="657"/>
    </row>
    <row r="24" spans="1:11" ht="102.75" customHeight="1">
      <c r="A24" s="454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45"/>
      <c r="C24" s="4545"/>
      <c r="D24" s="4545"/>
      <c r="E24" s="4545"/>
      <c r="F24" s="4545"/>
      <c r="G24" s="4545"/>
      <c r="H24" s="4545"/>
      <c r="I24" s="4545"/>
      <c r="J24" s="4545"/>
      <c r="K24" s="1293"/>
    </row>
    <row r="25" spans="1:11" ht="15" customHeight="1">
      <c r="A25" s="4542"/>
      <c r="B25" s="4542"/>
      <c r="C25" s="4542"/>
      <c r="D25" s="4542"/>
      <c r="E25" s="4542"/>
      <c r="F25" s="4542"/>
      <c r="G25" s="4542"/>
      <c r="H25" s="4542"/>
      <c r="I25" s="4542"/>
      <c r="J25" s="4542"/>
      <c r="K25" s="654" t="s">
        <v>233</v>
      </c>
    </row>
    <row r="26" spans="1:11" ht="15" customHeight="1">
      <c r="B26" s="1292"/>
      <c r="C26" s="1292"/>
      <c r="D26" s="1292"/>
      <c r="E26" s="1292"/>
      <c r="F26" s="1292"/>
      <c r="G26" s="1292"/>
      <c r="H26" s="1292"/>
      <c r="I26" s="1292" t="s">
        <v>233</v>
      </c>
      <c r="J26" s="1292"/>
    </row>
    <row r="27" spans="1:11">
      <c r="A27" s="657" t="s">
        <v>2593</v>
      </c>
    </row>
    <row r="29" spans="1:11" ht="16"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796875" defaultRowHeight="14"/>
  <cols>
    <col min="1" max="1" width="9.1796875" style="663"/>
    <col min="2" max="2" width="7.81640625" style="663" customWidth="1"/>
    <col min="3" max="3" width="14.81640625" style="663" customWidth="1"/>
    <col min="4" max="4" width="20.1796875" style="663" customWidth="1"/>
    <col min="5" max="5" width="8" style="663" customWidth="1"/>
    <col min="6" max="6" width="5.1796875" style="663" customWidth="1"/>
    <col min="7" max="7" width="5.453125" style="663" customWidth="1"/>
    <col min="8" max="8" width="8.54296875" style="663" customWidth="1"/>
    <col min="9" max="9" width="28.54296875" style="663" customWidth="1"/>
    <col min="10" max="10" width="4.1796875" style="663" hidden="1" customWidth="1"/>
    <col min="11" max="11" width="9.1796875" style="663"/>
    <col min="12" max="12" width="16.1796875" style="663" customWidth="1"/>
    <col min="13" max="13" width="11.1796875" style="663" customWidth="1"/>
    <col min="14" max="14" width="10.81640625" style="663" bestFit="1" customWidth="1"/>
    <col min="15" max="15" width="28.54296875" style="663" customWidth="1"/>
    <col min="16" max="16384" width="9.179687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Villa Rica Senior</v>
      </c>
    </row>
    <row r="13" spans="1:10">
      <c r="A13" s="664"/>
      <c r="D13" s="663" t="s">
        <v>2606</v>
      </c>
      <c r="F13" s="1585" t="str">
        <f>'Sensitivity Analysis'!E8</f>
        <v>2022-0</v>
      </c>
    </row>
    <row r="14" spans="1:10">
      <c r="A14" s="664"/>
      <c r="D14" s="663" t="s">
        <v>2607</v>
      </c>
      <c r="F14" s="1585" t="str">
        <f>'Sensitivity Analysis'!H8</f>
        <v>Villa Rica, Carroll</v>
      </c>
    </row>
    <row r="15" spans="1:10">
      <c r="A15" s="664"/>
      <c r="D15" s="663" t="s">
        <v>2948</v>
      </c>
      <c r="F15" s="4551">
        <f>'Sensitivity Analysis'!$C$25</f>
        <v>2210000</v>
      </c>
      <c r="G15" s="4551"/>
      <c r="H15" s="4551"/>
    </row>
    <row r="16" spans="1:10">
      <c r="A16" s="664"/>
      <c r="D16" s="666" t="s">
        <v>2608</v>
      </c>
      <c r="F16" s="667">
        <f>'Sensitivity Analysis'!C13</f>
        <v>60</v>
      </c>
      <c r="G16" s="668" t="s">
        <v>2949</v>
      </c>
      <c r="H16" s="1241">
        <f>'Sensitivity Analysis'!E13</f>
        <v>52</v>
      </c>
    </row>
    <row r="17" spans="1:18">
      <c r="A17" s="664"/>
      <c r="D17" s="666" t="s">
        <v>2577</v>
      </c>
      <c r="F17" s="667" t="e">
        <f>'Sensitivity Analysis'!C14</f>
        <v>#REF!</v>
      </c>
    </row>
    <row r="18" spans="1:18">
      <c r="A18" s="664"/>
      <c r="D18" s="666" t="s">
        <v>2953</v>
      </c>
      <c r="F18" s="1585" t="str">
        <f>'Sensitivity Analysis'!H15</f>
        <v>Rural</v>
      </c>
    </row>
    <row r="19" spans="1:18">
      <c r="A19" s="664"/>
      <c r="D19" s="666" t="s">
        <v>2950</v>
      </c>
      <c r="F19" s="1585" t="str">
        <f>'Sensitivity Analysis'!E16</f>
        <v>No</v>
      </c>
    </row>
    <row r="20" spans="1:18">
      <c r="A20" s="664"/>
      <c r="D20" s="666"/>
    </row>
    <row r="21" spans="1:18">
      <c r="A21" s="669" t="s">
        <v>6162</v>
      </c>
    </row>
    <row r="22" spans="1:18" ht="111.75" customHeight="1">
      <c r="A22" s="4558" t="s">
        <v>3101</v>
      </c>
      <c r="B22" s="4558"/>
      <c r="C22" s="4558"/>
      <c r="D22" s="4558"/>
      <c r="E22" s="4558"/>
      <c r="F22" s="4558"/>
      <c r="G22" s="4558"/>
      <c r="H22" s="4558"/>
      <c r="I22" s="4558"/>
      <c r="J22" s="4558"/>
      <c r="K22" s="4566" t="s">
        <v>3902</v>
      </c>
      <c r="L22" s="4566"/>
      <c r="M22" s="4566"/>
      <c r="N22" s="456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67"/>
      <c r="B24" s="4567"/>
      <c r="C24" s="4567"/>
      <c r="D24" s="4567"/>
      <c r="E24" s="4567"/>
      <c r="F24" s="4567"/>
      <c r="G24" s="4567"/>
      <c r="H24" s="4567"/>
      <c r="I24" s="4567"/>
      <c r="J24" s="4567"/>
    </row>
    <row r="25" spans="1:18" ht="10.5" hidden="1" customHeight="1">
      <c r="A25" s="4546"/>
      <c r="B25" s="4546"/>
      <c r="C25" s="4546"/>
      <c r="D25" s="4546"/>
      <c r="E25" s="4546"/>
      <c r="F25" s="4546"/>
      <c r="G25" s="4546"/>
      <c r="H25" s="4546"/>
      <c r="I25" s="4546"/>
      <c r="J25" s="4546"/>
    </row>
    <row r="26" spans="1:18">
      <c r="A26" s="669" t="s">
        <v>6161</v>
      </c>
    </row>
    <row r="27" spans="1:18" ht="14.25" customHeight="1">
      <c r="A27" s="4568" t="s">
        <v>6163</v>
      </c>
      <c r="B27" s="4568"/>
      <c r="C27" s="4568"/>
      <c r="D27" s="4568"/>
      <c r="E27" s="4568"/>
      <c r="F27" s="4568"/>
      <c r="G27" s="4568"/>
      <c r="H27" s="4568"/>
      <c r="I27" s="4568"/>
      <c r="J27" s="4568"/>
    </row>
    <row r="28" spans="1:18" ht="14.25" customHeight="1">
      <c r="A28" s="4568"/>
      <c r="B28" s="4568"/>
      <c r="C28" s="4568"/>
      <c r="D28" s="4568"/>
      <c r="E28" s="4568"/>
      <c r="F28" s="4568"/>
      <c r="G28" s="4568"/>
      <c r="H28" s="4568"/>
      <c r="I28" s="4568"/>
      <c r="J28" s="4568"/>
    </row>
    <row r="29" spans="1:18" ht="6.75" customHeight="1">
      <c r="A29" s="4568"/>
      <c r="B29" s="4568"/>
      <c r="C29" s="4568"/>
      <c r="D29" s="4568"/>
      <c r="E29" s="4568"/>
      <c r="F29" s="4568"/>
      <c r="G29" s="4568"/>
      <c r="H29" s="4568"/>
      <c r="I29" s="4568"/>
      <c r="J29" s="4568"/>
    </row>
    <row r="30" spans="1:18" ht="21.75" customHeight="1">
      <c r="A30" s="4568"/>
      <c r="B30" s="4568"/>
      <c r="C30" s="4568"/>
      <c r="D30" s="4568"/>
      <c r="E30" s="4568"/>
      <c r="F30" s="4568"/>
      <c r="G30" s="4568"/>
      <c r="H30" s="4568"/>
      <c r="I30" s="4568"/>
      <c r="J30" s="4568"/>
    </row>
    <row r="31" spans="1:18" ht="20.25" customHeight="1">
      <c r="A31" s="4568"/>
      <c r="B31" s="4568"/>
      <c r="C31" s="4568"/>
      <c r="D31" s="4568"/>
      <c r="E31" s="4568"/>
      <c r="F31" s="4568"/>
      <c r="G31" s="4568"/>
      <c r="H31" s="4568"/>
      <c r="I31" s="4568"/>
      <c r="J31" s="4568"/>
    </row>
    <row r="32" spans="1:18" ht="54.75" customHeight="1">
      <c r="A32" s="4568"/>
      <c r="B32" s="4568"/>
      <c r="C32" s="4568"/>
      <c r="D32" s="4568"/>
      <c r="E32" s="4568"/>
      <c r="F32" s="4568"/>
      <c r="G32" s="4568"/>
      <c r="H32" s="4568"/>
      <c r="I32" s="4568"/>
      <c r="J32" s="4568"/>
    </row>
    <row r="33" spans="1:10" ht="0.75" hidden="1" customHeight="1">
      <c r="A33" s="4568"/>
      <c r="B33" s="4568"/>
      <c r="C33" s="4568"/>
      <c r="D33" s="4568"/>
      <c r="E33" s="4568"/>
      <c r="F33" s="4568"/>
      <c r="G33" s="4568"/>
      <c r="H33" s="4568"/>
      <c r="I33" s="4568"/>
      <c r="J33" s="4568"/>
    </row>
    <row r="34" spans="1:10" ht="3.75" hidden="1" customHeight="1">
      <c r="A34" s="4568"/>
      <c r="B34" s="4568"/>
      <c r="C34" s="4568"/>
      <c r="D34" s="4568"/>
      <c r="E34" s="4568"/>
      <c r="F34" s="4568"/>
      <c r="G34" s="4568"/>
      <c r="H34" s="4568"/>
      <c r="I34" s="4568"/>
      <c r="J34" s="4568"/>
    </row>
    <row r="35" spans="1:10" ht="5.25" customHeight="1">
      <c r="A35" s="1581"/>
      <c r="B35" s="1581"/>
      <c r="C35" s="1581"/>
      <c r="D35" s="1581"/>
      <c r="E35" s="1581"/>
      <c r="F35" s="1581"/>
      <c r="G35" s="1581"/>
      <c r="H35" s="1581"/>
      <c r="I35" s="1581"/>
      <c r="J35" s="1581"/>
    </row>
    <row r="36" spans="1:10" ht="19.5" customHeight="1">
      <c r="A36" s="4567" t="s">
        <v>6164</v>
      </c>
      <c r="B36" s="4567"/>
      <c r="C36" s="4567"/>
      <c r="D36" s="1579"/>
      <c r="E36" s="1579"/>
      <c r="F36" s="1579"/>
      <c r="G36" s="1579"/>
      <c r="H36" s="1579"/>
      <c r="I36" s="1579"/>
      <c r="J36" s="1579"/>
    </row>
    <row r="37" spans="1:10" ht="22.5" customHeight="1">
      <c r="A37" s="4546" t="s">
        <v>1615</v>
      </c>
      <c r="B37" s="4546"/>
      <c r="C37" s="4546"/>
      <c r="D37" s="4546"/>
      <c r="E37" s="4546"/>
      <c r="F37" s="4546"/>
      <c r="G37" s="4546"/>
      <c r="H37" s="4546"/>
      <c r="I37" s="4546"/>
      <c r="J37" s="4546"/>
    </row>
    <row r="38" spans="1:10" ht="22.5" customHeight="1">
      <c r="A38" s="4546" t="s">
        <v>1616</v>
      </c>
      <c r="B38" s="4546"/>
      <c r="C38" s="4546"/>
      <c r="D38" s="4546"/>
      <c r="E38" s="4546"/>
      <c r="F38" s="4546"/>
      <c r="G38" s="4546"/>
      <c r="H38" s="4546"/>
      <c r="I38" s="4546"/>
      <c r="J38" s="4546"/>
    </row>
    <row r="39" spans="1:10" ht="22.5" customHeight="1">
      <c r="A39" s="4546" t="s">
        <v>1617</v>
      </c>
      <c r="B39" s="4546"/>
      <c r="C39" s="4546"/>
      <c r="D39" s="4546"/>
      <c r="E39" s="4546"/>
      <c r="F39" s="4546"/>
      <c r="G39" s="4546"/>
      <c r="H39" s="4546"/>
      <c r="I39" s="4546"/>
      <c r="J39" s="4546"/>
    </row>
    <row r="40" spans="1:10" ht="22.5" customHeight="1">
      <c r="A40" s="4546" t="s">
        <v>2183</v>
      </c>
      <c r="B40" s="4546"/>
      <c r="C40" s="4546"/>
      <c r="D40" s="4546"/>
      <c r="E40" s="4546"/>
      <c r="F40" s="4546"/>
      <c r="G40" s="4546"/>
      <c r="H40" s="4546"/>
      <c r="I40" s="4546"/>
      <c r="J40" s="4546"/>
    </row>
    <row r="41" spans="1:10" ht="22.5" customHeight="1">
      <c r="A41" s="4546" t="s">
        <v>1449</v>
      </c>
      <c r="B41" s="4546"/>
      <c r="C41" s="4546"/>
      <c r="D41" s="4546"/>
      <c r="E41" s="4546"/>
      <c r="F41" s="4546"/>
      <c r="G41" s="4546"/>
      <c r="H41" s="4546"/>
      <c r="I41" s="4546"/>
      <c r="J41" s="4546"/>
    </row>
    <row r="42" spans="1:10" ht="22.5" customHeight="1">
      <c r="A42" s="4546" t="s">
        <v>1450</v>
      </c>
      <c r="B42" s="4546"/>
      <c r="C42" s="4546"/>
      <c r="D42" s="4546"/>
      <c r="E42" s="4546"/>
      <c r="F42" s="4546"/>
      <c r="G42" s="4546"/>
      <c r="H42" s="4546"/>
      <c r="I42" s="4546"/>
      <c r="J42" s="4546"/>
    </row>
    <row r="43" spans="1:10" ht="22.5" customHeight="1">
      <c r="A43" s="4546" t="s">
        <v>93</v>
      </c>
      <c r="B43" s="4546"/>
      <c r="C43" s="4546"/>
      <c r="D43" s="4546"/>
      <c r="E43" s="4546"/>
      <c r="F43" s="4546"/>
      <c r="G43" s="4546"/>
      <c r="H43" s="4546"/>
      <c r="I43" s="4546"/>
      <c r="J43" s="4546"/>
    </row>
    <row r="44" spans="1:10" ht="22.5" customHeight="1">
      <c r="A44" s="4546" t="s">
        <v>481</v>
      </c>
      <c r="B44" s="4546"/>
      <c r="C44" s="4546"/>
      <c r="D44" s="4546"/>
      <c r="E44" s="4546"/>
      <c r="F44" s="4546"/>
      <c r="G44" s="4546"/>
      <c r="H44" s="4546"/>
      <c r="I44" s="4546"/>
      <c r="J44" s="4546"/>
    </row>
    <row r="45" spans="1:10" ht="2.25" customHeight="1">
      <c r="A45" s="1579"/>
      <c r="B45" s="1579"/>
      <c r="C45" s="1579"/>
      <c r="D45" s="1579"/>
      <c r="E45" s="1579"/>
      <c r="F45" s="1579"/>
      <c r="G45" s="1579"/>
      <c r="H45" s="1579"/>
      <c r="I45" s="1579"/>
      <c r="J45" s="1579"/>
    </row>
    <row r="46" spans="1:10">
      <c r="A46" s="669" t="s">
        <v>2609</v>
      </c>
    </row>
    <row r="47" spans="1:10" ht="135" customHeight="1">
      <c r="A47" s="4546" t="s">
        <v>6165</v>
      </c>
      <c r="B47" s="4546"/>
      <c r="C47" s="4546"/>
      <c r="D47" s="4546"/>
      <c r="E47" s="4546"/>
      <c r="F47" s="4546"/>
      <c r="G47" s="4546"/>
      <c r="H47" s="4546"/>
      <c r="I47" s="4546"/>
      <c r="J47" s="4546"/>
    </row>
    <row r="48" spans="1:10" ht="6" customHeight="1">
      <c r="A48" s="1580"/>
      <c r="B48" s="1580"/>
      <c r="C48" s="1580"/>
      <c r="D48" s="1580"/>
      <c r="E48" s="1580"/>
      <c r="F48" s="1580"/>
      <c r="G48" s="1580"/>
      <c r="H48" s="1580"/>
      <c r="I48" s="1580"/>
      <c r="J48" s="1580"/>
    </row>
    <row r="49" spans="1:12">
      <c r="A49" s="669" t="s">
        <v>2610</v>
      </c>
    </row>
    <row r="50" spans="1:12" ht="33" customHeight="1">
      <c r="A50" s="4541" t="s">
        <v>3455</v>
      </c>
      <c r="B50" s="4543"/>
      <c r="C50" s="4543"/>
      <c r="D50" s="4543"/>
      <c r="E50" s="4543"/>
      <c r="F50" s="4543"/>
      <c r="G50" s="4543"/>
      <c r="H50" s="4543"/>
      <c r="I50" s="4543"/>
      <c r="J50" s="4541"/>
    </row>
    <row r="51" spans="1:12" ht="3" customHeight="1"/>
    <row r="52" spans="1:12" ht="72.75" customHeight="1">
      <c r="A52" s="4541" t="s">
        <v>3456</v>
      </c>
      <c r="B52" s="4541"/>
      <c r="C52" s="4541"/>
      <c r="D52" s="4541"/>
      <c r="E52" s="4541"/>
      <c r="F52" s="4541"/>
      <c r="G52" s="4541"/>
      <c r="H52" s="4541"/>
      <c r="I52" s="4541"/>
      <c r="J52" s="4541"/>
    </row>
    <row r="53" spans="1:12" ht="3" customHeight="1">
      <c r="A53" s="1579"/>
      <c r="B53" s="1579"/>
      <c r="C53" s="1579"/>
      <c r="D53" s="1579"/>
      <c r="E53" s="1579"/>
      <c r="F53" s="1579"/>
      <c r="G53" s="1579"/>
      <c r="H53" s="1579"/>
      <c r="I53" s="1579"/>
      <c r="J53" s="1579"/>
    </row>
    <row r="54" spans="1:12" ht="56.25" customHeight="1">
      <c r="A54" s="4541" t="s">
        <v>3457</v>
      </c>
      <c r="B54" s="4541"/>
      <c r="C54" s="4541"/>
      <c r="D54" s="4541"/>
      <c r="E54" s="4541"/>
      <c r="F54" s="4541"/>
      <c r="G54" s="4541"/>
      <c r="H54" s="4541"/>
      <c r="I54" s="4541"/>
      <c r="J54" s="4541"/>
    </row>
    <row r="55" spans="1:12" ht="3" customHeight="1">
      <c r="A55" s="1579"/>
      <c r="B55" s="1579"/>
      <c r="C55" s="1579"/>
      <c r="D55" s="1579"/>
      <c r="E55" s="1579"/>
      <c r="F55" s="1579"/>
      <c r="G55" s="1579"/>
      <c r="H55" s="1579"/>
      <c r="I55" s="1579"/>
      <c r="J55" s="1579"/>
    </row>
    <row r="56" spans="1:12" ht="49.5" customHeight="1">
      <c r="A56" s="4541" t="s">
        <v>3458</v>
      </c>
      <c r="B56" s="4541"/>
      <c r="C56" s="4541"/>
      <c r="D56" s="4541"/>
      <c r="E56" s="4541"/>
      <c r="F56" s="4541"/>
      <c r="G56" s="4541"/>
      <c r="H56" s="4541"/>
      <c r="I56" s="4541"/>
      <c r="J56" s="1579"/>
    </row>
    <row r="57" spans="1:12" ht="3" customHeight="1">
      <c r="A57" s="1579"/>
      <c r="B57" s="1579"/>
      <c r="C57" s="1579"/>
      <c r="D57" s="1579"/>
      <c r="E57" s="1579"/>
      <c r="F57" s="1579"/>
      <c r="G57" s="1579"/>
      <c r="H57" s="1579"/>
      <c r="I57" s="1579"/>
      <c r="J57" s="1579"/>
    </row>
    <row r="58" spans="1:12" ht="54.75" customHeight="1">
      <c r="A58" s="4557" t="s">
        <v>2958</v>
      </c>
      <c r="B58" s="4556"/>
      <c r="C58" s="4556"/>
      <c r="D58" s="4556"/>
      <c r="E58" s="4556"/>
      <c r="F58" s="4556"/>
      <c r="G58" s="4556"/>
      <c r="H58" s="4556"/>
      <c r="I58" s="4556"/>
      <c r="J58" s="1579"/>
    </row>
    <row r="59" spans="1:12" ht="3" customHeight="1">
      <c r="A59" s="1579"/>
      <c r="B59" s="1579"/>
      <c r="C59" s="1579"/>
      <c r="D59" s="1579"/>
      <c r="E59" s="1579"/>
      <c r="F59" s="1579"/>
      <c r="G59" s="1579"/>
      <c r="H59" s="1579"/>
      <c r="I59" s="1579"/>
      <c r="J59" s="1579"/>
    </row>
    <row r="60" spans="1:12" ht="62.25" customHeight="1">
      <c r="A60" s="4556" t="s">
        <v>3459</v>
      </c>
      <c r="B60" s="4556"/>
      <c r="C60" s="4556"/>
      <c r="D60" s="4556"/>
      <c r="E60" s="4556"/>
      <c r="F60" s="4556"/>
      <c r="G60" s="4556"/>
      <c r="H60" s="4556"/>
      <c r="I60" s="4556"/>
      <c r="J60" s="4556"/>
    </row>
    <row r="61" spans="1:12" ht="3" customHeight="1"/>
    <row r="62" spans="1:12" ht="73.5" customHeight="1">
      <c r="A62" s="4541" t="s">
        <v>3460</v>
      </c>
      <c r="B62" s="4541"/>
      <c r="C62" s="4541"/>
      <c r="D62" s="4541"/>
      <c r="E62" s="4541"/>
      <c r="F62" s="4541"/>
      <c r="G62" s="4541"/>
      <c r="H62" s="4541"/>
      <c r="I62" s="4541"/>
      <c r="J62" s="4541"/>
    </row>
    <row r="63" spans="1:12" ht="6" customHeight="1">
      <c r="A63" s="1579" t="s">
        <v>233</v>
      </c>
      <c r="B63" s="1579"/>
      <c r="C63" s="1579"/>
      <c r="D63" s="1579"/>
      <c r="E63" s="1579"/>
      <c r="F63" s="1579"/>
      <c r="G63" s="1579"/>
      <c r="H63" s="1579"/>
      <c r="I63" s="1579"/>
      <c r="J63" s="1579"/>
    </row>
    <row r="64" spans="1:12">
      <c r="A64" s="669" t="s">
        <v>2611</v>
      </c>
      <c r="L64" s="670" t="s">
        <v>3093</v>
      </c>
    </row>
    <row r="65" spans="1:17" ht="46.5" customHeight="1">
      <c r="A65" s="4558" t="s">
        <v>2612</v>
      </c>
      <c r="B65" s="4558"/>
      <c r="C65" s="4558"/>
      <c r="D65" s="4558"/>
      <c r="E65" s="4558"/>
      <c r="F65" s="4558"/>
      <c r="G65" s="4558"/>
      <c r="H65" s="4558"/>
      <c r="I65" s="4558"/>
      <c r="J65" s="4558"/>
      <c r="L65" s="671">
        <f>'Closing term sheet'!C135</f>
        <v>630359</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8999100 via the syndication of the 2021 Federal LIHTC allocation of 1000000 per annum. will make a capital contribution totaling 5500000 via the syndication of the 2021 State LIHTC allocation of 1000000 per annum.</v>
      </c>
      <c r="B67" s="4556"/>
      <c r="C67" s="4556"/>
      <c r="D67" s="4556"/>
      <c r="E67" s="4556"/>
      <c r="F67" s="4556"/>
      <c r="G67" s="4556"/>
      <c r="H67" s="4556"/>
      <c r="I67" s="4556"/>
      <c r="J67" s="676"/>
      <c r="L67" s="677">
        <f>'Part II-Sources of Funds'!I51</f>
        <v>8999100</v>
      </c>
      <c r="M67" s="678">
        <f>'Part III-A-Uses of Funds'!$J$191</f>
        <v>1000000</v>
      </c>
      <c r="N67" s="679">
        <f>'Part III-A-Uses of Funds'!N182</f>
        <v>0.9</v>
      </c>
      <c r="O67" s="677">
        <f>'Part II-Sources of Funds'!I52</f>
        <v>5500000</v>
      </c>
      <c r="P67" s="678">
        <f>M67</f>
        <v>1000000</v>
      </c>
      <c r="Q67" s="679">
        <f>'Part III-A-Uses of Funds'!Q182</f>
        <v>0.55000000000000004</v>
      </c>
    </row>
    <row r="68" spans="1:17" ht="39.75" customHeight="1">
      <c r="A68" s="455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(0.9 Federal tax credit and 0.55 State tax credit) for a (X%) ownership interest of the Federal Credits and a (X%) ownership interest of the State Credits. </v>
      </c>
      <c r="B68" s="4559"/>
      <c r="C68" s="4559"/>
      <c r="D68" s="4559"/>
      <c r="E68" s="4559"/>
      <c r="F68" s="4559"/>
      <c r="G68" s="4559"/>
      <c r="H68" s="4559"/>
      <c r="I68" s="4559"/>
      <c r="J68" s="676"/>
      <c r="L68" s="1994"/>
      <c r="M68" s="1994"/>
      <c r="N68" s="1995"/>
      <c r="O68" s="1994"/>
      <c r="P68" s="1994"/>
      <c r="Q68" s="1995"/>
    </row>
    <row r="69" spans="1:17" ht="18.75" customHeight="1">
      <c r="A69" s="680" t="s">
        <v>2613</v>
      </c>
    </row>
    <row r="70" spans="1:17" ht="177" customHeight="1">
      <c r="A70" s="4556" t="s">
        <v>6166</v>
      </c>
      <c r="B70" s="4556"/>
      <c r="C70" s="4556"/>
      <c r="D70" s="4556"/>
      <c r="E70" s="4556"/>
      <c r="F70" s="4556"/>
      <c r="G70" s="4556"/>
      <c r="H70" s="4556"/>
      <c r="I70" s="4556"/>
      <c r="J70" s="4556"/>
      <c r="L70" s="681">
        <f>'Part VI-Pro Forma'!K72</f>
        <v>1657033.5121792774</v>
      </c>
      <c r="M70" s="4560" t="s">
        <v>3100</v>
      </c>
      <c r="N70" s="4561"/>
    </row>
    <row r="71" spans="1:17" ht="6" customHeight="1">
      <c r="A71" s="669"/>
    </row>
    <row r="72" spans="1:17">
      <c r="A72" s="669" t="s">
        <v>2614</v>
      </c>
    </row>
    <row r="73" spans="1:17" ht="72.650000000000006" customHeight="1">
      <c r="A73" s="4556" t="s">
        <v>2615</v>
      </c>
      <c r="B73" s="4556"/>
      <c r="C73" s="4556"/>
      <c r="D73" s="4556"/>
      <c r="E73" s="4556"/>
      <c r="F73" s="4556"/>
      <c r="G73" s="4556"/>
      <c r="H73" s="4556"/>
      <c r="I73" s="4556"/>
      <c r="J73" s="4556"/>
    </row>
    <row r="74" spans="1:17" ht="36" customHeight="1">
      <c r="A74" s="4556" t="s">
        <v>2616</v>
      </c>
      <c r="B74" s="4556"/>
      <c r="C74" s="4556"/>
      <c r="D74" s="4556"/>
      <c r="E74" s="4556"/>
      <c r="F74" s="4556"/>
      <c r="G74" s="4556"/>
      <c r="H74" s="4556"/>
      <c r="I74" s="4556"/>
      <c r="J74" s="4556"/>
    </row>
    <row r="75" spans="1:17" ht="6" customHeight="1">
      <c r="A75" s="669"/>
    </row>
    <row r="76" spans="1:17">
      <c r="A76" s="669" t="s">
        <v>2617</v>
      </c>
    </row>
    <row r="77" spans="1:17" ht="105.75" customHeight="1">
      <c r="A77" s="4541" t="s">
        <v>2618</v>
      </c>
      <c r="B77" s="4541"/>
      <c r="C77" s="4541"/>
      <c r="D77" s="4541"/>
      <c r="E77" s="4541"/>
      <c r="F77" s="4541"/>
      <c r="G77" s="4541"/>
      <c r="H77" s="4541"/>
      <c r="I77" s="4541"/>
      <c r="J77" s="4541"/>
    </row>
    <row r="78" spans="1:17" ht="6" customHeight="1">
      <c r="A78" s="669"/>
    </row>
    <row r="79" spans="1:17">
      <c r="A79" s="669" t="s">
        <v>2619</v>
      </c>
    </row>
    <row r="80" spans="1:17" ht="66" customHeight="1">
      <c r="A80" s="4541" t="s">
        <v>2620</v>
      </c>
      <c r="B80" s="4541"/>
      <c r="C80" s="4541"/>
      <c r="D80" s="4541"/>
      <c r="E80" s="4541"/>
      <c r="F80" s="4541"/>
      <c r="G80" s="4541"/>
      <c r="H80" s="4541"/>
      <c r="I80" s="4541"/>
      <c r="J80" s="4541"/>
    </row>
    <row r="81" spans="1:15" s="1581" customFormat="1" ht="6" customHeight="1">
      <c r="A81" s="4541"/>
      <c r="B81" s="4541"/>
      <c r="C81" s="4541"/>
      <c r="D81" s="4541"/>
      <c r="E81" s="4541"/>
      <c r="F81" s="4541"/>
      <c r="G81" s="4541"/>
      <c r="H81" s="4541"/>
      <c r="I81" s="4541"/>
      <c r="J81" s="4541"/>
    </row>
    <row r="82" spans="1:15" ht="16.5" customHeight="1">
      <c r="A82" s="1583" t="s">
        <v>2621</v>
      </c>
      <c r="B82" s="668"/>
      <c r="C82" s="668"/>
      <c r="D82" s="1585"/>
      <c r="E82" s="668"/>
      <c r="F82" s="668"/>
      <c r="G82" s="668"/>
      <c r="H82" s="668"/>
      <c r="I82" s="668"/>
      <c r="J82" s="682"/>
    </row>
    <row r="83" spans="1:15" s="1581" customFormat="1" ht="63" customHeight="1">
      <c r="A83" s="4541" t="s">
        <v>3662</v>
      </c>
      <c r="B83" s="4541"/>
      <c r="C83" s="4541"/>
      <c r="D83" s="4541"/>
      <c r="E83" s="4541"/>
      <c r="F83" s="4541"/>
      <c r="G83" s="4541"/>
      <c r="H83" s="4541"/>
      <c r="I83" s="4541"/>
      <c r="J83" s="4541"/>
    </row>
    <row r="84" spans="1:15" s="1581" customFormat="1" ht="6" customHeight="1">
      <c r="A84" s="1579"/>
      <c r="B84" s="1579"/>
      <c r="C84" s="1579"/>
      <c r="D84" s="1579"/>
      <c r="E84" s="1579"/>
      <c r="F84" s="1579"/>
      <c r="G84" s="1579"/>
      <c r="H84" s="1579"/>
      <c r="I84" s="1579"/>
      <c r="J84" s="1579"/>
    </row>
    <row r="85" spans="1:15" ht="16.5" customHeight="1">
      <c r="A85" s="4563" t="s">
        <v>2622</v>
      </c>
      <c r="B85" s="4564"/>
      <c r="C85" s="4564"/>
      <c r="D85" s="668"/>
      <c r="E85" s="668"/>
      <c r="F85" s="668"/>
      <c r="G85" s="668"/>
      <c r="H85" s="668"/>
      <c r="I85" s="668"/>
      <c r="J85" s="682"/>
    </row>
    <row r="86" spans="1:15" ht="41.25" customHeight="1">
      <c r="A86" s="4556" t="s">
        <v>6167</v>
      </c>
      <c r="B86" s="4565"/>
      <c r="C86" s="4565"/>
      <c r="D86" s="4565"/>
      <c r="E86" s="4565"/>
      <c r="F86" s="4565"/>
      <c r="G86" s="4565"/>
      <c r="H86" s="4565"/>
      <c r="I86" s="4565"/>
      <c r="J86" s="4565"/>
    </row>
    <row r="87" spans="1:15" ht="6" customHeight="1">
      <c r="A87" s="683"/>
      <c r="B87" s="668"/>
      <c r="C87" s="668"/>
      <c r="D87" s="668"/>
      <c r="E87" s="668"/>
      <c r="F87" s="668"/>
      <c r="G87" s="668"/>
      <c r="H87" s="668"/>
      <c r="I87" s="668"/>
      <c r="J87" s="682"/>
    </row>
    <row r="88" spans="1:15">
      <c r="A88" s="669" t="s">
        <v>2623</v>
      </c>
    </row>
    <row r="89" spans="1:15" ht="124.15" customHeight="1">
      <c r="A89" s="4556" t="s">
        <v>2624</v>
      </c>
      <c r="B89" s="4556"/>
      <c r="C89" s="4556"/>
      <c r="D89" s="4556"/>
      <c r="E89" s="4556"/>
      <c r="F89" s="4556"/>
      <c r="G89" s="4556"/>
      <c r="H89" s="4556"/>
      <c r="I89" s="4556"/>
      <c r="J89" s="4556"/>
      <c r="L89" s="4566" t="s">
        <v>2625</v>
      </c>
      <c r="M89" s="4566"/>
      <c r="N89" s="4566"/>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56" t="s">
        <v>2627</v>
      </c>
      <c r="B92" s="4556"/>
      <c r="C92" s="4556"/>
      <c r="D92" s="4556"/>
      <c r="E92" s="4556"/>
      <c r="F92" s="4556"/>
      <c r="G92" s="4556"/>
      <c r="H92" s="4556"/>
      <c r="I92" s="4556"/>
      <c r="J92" s="4556"/>
      <c r="L92" s="4566" t="s">
        <v>2628</v>
      </c>
      <c r="M92" s="4566"/>
      <c r="N92" s="684" t="e">
        <f>'After-Tax Analysis'!G66</f>
        <v>#VALUE!</v>
      </c>
      <c r="O92" s="685" t="s">
        <v>2629</v>
      </c>
    </row>
    <row r="93" spans="1:15" ht="6" customHeight="1">
      <c r="A93" s="669"/>
    </row>
    <row r="94" spans="1:15">
      <c r="A94" s="669" t="s">
        <v>2630</v>
      </c>
    </row>
    <row r="95" spans="1:15" ht="118.5" customHeight="1">
      <c r="A95" s="4541" t="s">
        <v>2631</v>
      </c>
      <c r="B95" s="4541"/>
      <c r="C95" s="4541"/>
      <c r="D95" s="4541"/>
      <c r="E95" s="4541"/>
      <c r="F95" s="4541"/>
      <c r="G95" s="4541"/>
      <c r="H95" s="4541"/>
      <c r="I95" s="4541"/>
      <c r="J95" s="4541"/>
    </row>
    <row r="96" spans="1:15" ht="20.25" customHeight="1">
      <c r="A96" s="4543" t="s">
        <v>2632</v>
      </c>
      <c r="B96" s="4543"/>
      <c r="C96" s="4543"/>
      <c r="D96" s="4541"/>
      <c r="E96" s="1579"/>
      <c r="F96" s="1579"/>
      <c r="G96" s="1579"/>
      <c r="H96" s="1579"/>
      <c r="I96" s="1579"/>
      <c r="J96" s="1579"/>
    </row>
    <row r="97" spans="1:14" ht="109.5" customHeight="1">
      <c r="A97" s="4554" t="s">
        <v>2633</v>
      </c>
      <c r="B97" s="4555"/>
      <c r="C97" s="4555"/>
      <c r="D97" s="4555"/>
      <c r="E97" s="4555"/>
      <c r="F97" s="4555"/>
      <c r="G97" s="4555"/>
      <c r="H97" s="4555"/>
      <c r="I97" s="4555"/>
      <c r="J97" s="4555"/>
    </row>
    <row r="98" spans="1:14" ht="11.25" customHeight="1">
      <c r="A98" s="669"/>
    </row>
    <row r="99" spans="1:14">
      <c r="A99" s="669" t="s">
        <v>2634</v>
      </c>
    </row>
    <row r="100" spans="1:14" ht="110.5" customHeight="1">
      <c r="A100" s="4558" t="s">
        <v>2635</v>
      </c>
      <c r="B100" s="4558"/>
      <c r="C100" s="4558"/>
      <c r="D100" s="4558"/>
      <c r="E100" s="4558"/>
      <c r="F100" s="4558"/>
      <c r="G100" s="4558"/>
      <c r="H100" s="4558"/>
      <c r="I100" s="4558"/>
      <c r="J100" s="4558"/>
      <c r="L100" s="1245">
        <f>'Part VI-Pro Forma'!K72</f>
        <v>1657033.5121792774</v>
      </c>
      <c r="M100" s="4562" t="s">
        <v>2636</v>
      </c>
      <c r="N100" s="4562"/>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3" t="s">
        <v>2637</v>
      </c>
      <c r="B104" s="4543"/>
      <c r="C104" s="4543"/>
      <c r="D104" s="1579"/>
      <c r="E104" s="1579"/>
      <c r="F104" s="1579"/>
      <c r="G104" s="1579"/>
      <c r="H104" s="1579"/>
      <c r="I104" s="1579"/>
      <c r="J104" s="682"/>
    </row>
    <row r="105" spans="1:14" ht="37.5" customHeight="1">
      <c r="A105" s="4556" t="s">
        <v>2638</v>
      </c>
      <c r="B105" s="4556"/>
      <c r="C105" s="4556"/>
      <c r="D105" s="4556"/>
      <c r="E105" s="4556"/>
      <c r="F105" s="4556"/>
      <c r="G105" s="4556"/>
      <c r="H105" s="4556"/>
      <c r="I105" s="4556"/>
      <c r="J105" s="4556"/>
    </row>
    <row r="106" spans="1:14" ht="6" customHeight="1">
      <c r="A106" s="669"/>
    </row>
    <row r="107" spans="1:14">
      <c r="A107" s="669" t="s">
        <v>2639</v>
      </c>
    </row>
    <row r="108" spans="1:14" ht="43.5" customHeight="1">
      <c r="A108" s="4541" t="s">
        <v>2640</v>
      </c>
      <c r="B108" s="4541"/>
      <c r="C108" s="4541"/>
      <c r="D108" s="4541"/>
      <c r="E108" s="4541"/>
      <c r="F108" s="4541"/>
      <c r="G108" s="4541"/>
      <c r="H108" s="4541"/>
      <c r="I108" s="4541"/>
      <c r="J108" s="4541"/>
    </row>
    <row r="109" spans="1:14" ht="6" customHeight="1">
      <c r="A109" s="1579"/>
      <c r="B109" s="1579"/>
      <c r="C109" s="1579"/>
      <c r="D109" s="1579"/>
      <c r="E109" s="1579"/>
      <c r="F109" s="1579"/>
      <c r="G109" s="1579"/>
      <c r="H109" s="1579"/>
      <c r="I109" s="1579"/>
      <c r="J109" s="1579"/>
    </row>
    <row r="110" spans="1:14">
      <c r="A110" s="669" t="s">
        <v>2641</v>
      </c>
    </row>
    <row r="112" spans="1:14" ht="18.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4.5" thickBot="1">
      <c r="A119" s="686"/>
      <c r="B119" s="686"/>
      <c r="C119" s="686"/>
      <c r="D119" s="686"/>
      <c r="E119" s="1897"/>
      <c r="F119" s="686"/>
      <c r="G119" s="686"/>
      <c r="H119" s="686"/>
      <c r="I119" s="686"/>
      <c r="J119" s="686"/>
    </row>
    <row r="120" spans="1:10">
      <c r="A120" s="4552" t="s">
        <v>6069</v>
      </c>
      <c r="B120" s="4552"/>
      <c r="C120" s="4552"/>
      <c r="D120" s="4552"/>
      <c r="E120" s="4553"/>
      <c r="F120" s="1895" t="s">
        <v>6070</v>
      </c>
      <c r="G120" s="1895"/>
      <c r="H120" s="1898"/>
      <c r="I120" s="1898"/>
      <c r="J120" s="1895"/>
    </row>
    <row r="122" spans="1:10" ht="14.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Villa Rica Senior</v>
      </c>
      <c r="B2" s="717"/>
      <c r="C2" s="717"/>
      <c r="D2" s="717"/>
      <c r="E2" s="717"/>
      <c r="F2" s="717"/>
      <c r="G2" s="717"/>
      <c r="H2" s="717"/>
      <c r="I2" s="717"/>
      <c r="J2" s="717"/>
      <c r="K2" s="717"/>
      <c r="L2" s="657"/>
      <c r="M2" s="657"/>
    </row>
    <row r="5" spans="1:14" ht="15.5">
      <c r="A5" s="688"/>
      <c r="B5" s="689"/>
      <c r="C5" s="690"/>
      <c r="D5" s="689"/>
      <c r="E5" s="689"/>
      <c r="F5" s="688"/>
      <c r="G5" s="689"/>
      <c r="H5" s="690"/>
      <c r="I5" s="689"/>
      <c r="J5" s="689"/>
      <c r="K5" s="689"/>
      <c r="L5" s="689"/>
      <c r="M5" s="654"/>
    </row>
    <row r="7" spans="1:14" ht="15.5">
      <c r="A7" s="657" t="s">
        <v>2648</v>
      </c>
      <c r="B7" s="654"/>
      <c r="C7" s="691"/>
      <c r="D7" s="692"/>
      <c r="E7" s="692"/>
      <c r="F7" s="657" t="s">
        <v>2960</v>
      </c>
      <c r="G7" s="654"/>
      <c r="H7" s="457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0"/>
      <c r="J7" s="4570"/>
      <c r="K7" s="4570"/>
      <c r="L7" s="654"/>
      <c r="M7" s="654"/>
    </row>
    <row r="8" spans="1:14" ht="15.5">
      <c r="A8" s="657" t="s">
        <v>2649</v>
      </c>
      <c r="B8" s="657"/>
      <c r="C8" s="4570" t="str">
        <f>'Part I-Project Identification'!F29</f>
        <v>Villa Rica Senior</v>
      </c>
      <c r="D8" s="4570"/>
      <c r="E8" s="1294" t="str">
        <f>'Part I-Project Identification'!O7</f>
        <v>2022-0</v>
      </c>
      <c r="F8" s="693" t="s">
        <v>2650</v>
      </c>
      <c r="G8" s="692"/>
      <c r="H8" s="4570" t="str">
        <f>CONCATENATE('Part I-Project Identification'!F30,", ",'Part I-Project Identification'!J30)</f>
        <v>Villa Rica, Carroll</v>
      </c>
      <c r="I8" s="4570"/>
      <c r="J8" s="4570"/>
      <c r="K8" s="4570"/>
      <c r="L8" s="654"/>
      <c r="M8" s="694"/>
    </row>
    <row r="9" spans="1:14" ht="15.5">
      <c r="A9" s="657" t="s">
        <v>2652</v>
      </c>
      <c r="B9" s="657"/>
      <c r="C9" s="4570" t="s">
        <v>1647</v>
      </c>
      <c r="D9" s="4570"/>
      <c r="E9" s="692"/>
      <c r="F9" s="693" t="s">
        <v>2653</v>
      </c>
      <c r="G9" s="692"/>
      <c r="H9" s="4570" t="str">
        <f>'Part II-Development Team'!H6</f>
        <v>(Enter name as it will appear on all legal documents)</v>
      </c>
      <c r="I9" s="4570"/>
      <c r="J9" s="4570"/>
      <c r="K9" s="4570"/>
      <c r="L9" s="4570"/>
      <c r="M9" s="694"/>
    </row>
    <row r="10" spans="1:14" ht="15.5">
      <c r="A10" s="657" t="s">
        <v>2655</v>
      </c>
      <c r="B10" s="654"/>
      <c r="C10" s="1294">
        <f>'Part II-Development Team'!H15</f>
        <v>0</v>
      </c>
      <c r="D10" s="692"/>
      <c r="E10" s="692"/>
      <c r="F10" s="693" t="s">
        <v>3134</v>
      </c>
      <c r="G10" s="692"/>
      <c r="H10" s="4570">
        <f>'Part II-Development Team'!H34</f>
        <v>0</v>
      </c>
      <c r="I10" s="4570"/>
      <c r="J10" s="4570"/>
      <c r="K10" s="4570">
        <f>'Part II-Development Team'!H40</f>
        <v>0</v>
      </c>
      <c r="L10" s="4570"/>
    </row>
    <row r="11" spans="1:14" ht="15.5">
      <c r="A11" s="657" t="s">
        <v>2656</v>
      </c>
      <c r="B11" s="654"/>
      <c r="C11" s="1294" t="str">
        <f>IF('Part II-Development Team'!H21="","",'Part II-Development Team'!H21)</f>
        <v/>
      </c>
      <c r="D11" s="692"/>
      <c r="E11" s="1238" t="str">
        <f>IF('Part II-Development Team'!H27="","",'Part II-Development Team'!H27)</f>
        <v/>
      </c>
      <c r="F11" s="693" t="s">
        <v>606</v>
      </c>
      <c r="G11" s="692"/>
      <c r="H11" s="4570">
        <f>'Part II-Development Team'!H55</f>
        <v>0</v>
      </c>
      <c r="I11" s="4570"/>
      <c r="J11" s="4570"/>
      <c r="K11" s="4570">
        <f>'Part II-Development Team'!H61</f>
        <v>0</v>
      </c>
      <c r="L11" s="4570"/>
      <c r="M11" s="4570">
        <f>'Part II-Development Team'!H67</f>
        <v>0</v>
      </c>
      <c r="N11" s="4570"/>
    </row>
    <row r="12" spans="1:14" ht="15.5">
      <c r="A12" s="657" t="s">
        <v>2657</v>
      </c>
      <c r="B12" s="654"/>
      <c r="C12" s="1294">
        <f>'Part II-Development Team'!H87</f>
        <v>0</v>
      </c>
      <c r="D12" s="692"/>
      <c r="E12" s="692"/>
      <c r="F12" s="693" t="s">
        <v>2658</v>
      </c>
      <c r="G12" s="692"/>
      <c r="H12" s="4570">
        <f>'Part II-Development Team'!H93</f>
        <v>0</v>
      </c>
      <c r="I12" s="4570"/>
      <c r="J12" s="4570"/>
      <c r="K12" s="4570"/>
      <c r="L12" s="654"/>
      <c r="M12" s="654"/>
    </row>
    <row r="13" spans="1:14" ht="15.5">
      <c r="A13" s="657" t="s">
        <v>2659</v>
      </c>
      <c r="B13" s="693"/>
      <c r="C13" s="653">
        <f>'Part V-Revenues &amp; Expenses'!$P$67</f>
        <v>60</v>
      </c>
      <c r="E13" s="1239">
        <f>'Part V-Revenues &amp; Expenses'!$P$63</f>
        <v>52</v>
      </c>
      <c r="F13" s="693" t="s">
        <v>3454</v>
      </c>
      <c r="G13" s="692"/>
      <c r="H13" s="1295" t="e">
        <f>'Part I-Project Identification'!#REF!</f>
        <v>#REF!</v>
      </c>
      <c r="I13" s="1240"/>
      <c r="J13" s="1240"/>
      <c r="K13" s="1295">
        <f>'Part V-Revenues &amp; Expenses'!K175</f>
        <v>50700</v>
      </c>
      <c r="L13" s="654"/>
      <c r="M13" s="654"/>
    </row>
    <row r="14" spans="1:14" ht="15.5">
      <c r="A14" s="657" t="s">
        <v>2951</v>
      </c>
      <c r="B14" s="654"/>
      <c r="C14" s="1295" t="e">
        <f>'Part I-Project Identification'!#REF!</f>
        <v>#REF!</v>
      </c>
      <c r="D14" s="4570" t="e">
        <f>IF('Part V-Revenues &amp; Expenses'!#REF!=0,"",'Part V-Revenues &amp; Expenses'!#REF!)</f>
        <v>#REF!</v>
      </c>
      <c r="E14" s="4570"/>
      <c r="F14" s="693" t="s">
        <v>2660</v>
      </c>
      <c r="G14" s="692"/>
      <c r="H14" s="4575" t="s">
        <v>3102</v>
      </c>
      <c r="I14" s="4575"/>
      <c r="J14" s="4575"/>
      <c r="K14" s="4575" t="s">
        <v>3102</v>
      </c>
      <c r="L14" s="4575"/>
      <c r="M14" s="654"/>
    </row>
    <row r="15" spans="1:14" ht="15.5">
      <c r="A15" s="657" t="s">
        <v>2661</v>
      </c>
      <c r="B15" s="654"/>
      <c r="C15" s="695" t="s">
        <v>1647</v>
      </c>
      <c r="D15" s="692"/>
      <c r="E15" s="692"/>
      <c r="F15" s="693" t="s">
        <v>2952</v>
      </c>
      <c r="G15" s="692"/>
      <c r="H15" s="1294" t="str">
        <f>'Part I-Project Identification'!K32</f>
        <v>Rural</v>
      </c>
      <c r="I15" s="692"/>
      <c r="J15" s="692"/>
      <c r="K15" s="692"/>
      <c r="L15" s="654"/>
      <c r="M15" s="654"/>
    </row>
    <row r="16" spans="1:14" ht="15.5">
      <c r="A16" s="657" t="s">
        <v>3129</v>
      </c>
      <c r="B16" s="654"/>
      <c r="C16" s="1294" t="str">
        <f>'Part VIII Scoring Criteria'!P41</f>
        <v>Yes</v>
      </c>
      <c r="D16" s="696" t="s">
        <v>2445</v>
      </c>
      <c r="E16" s="1294" t="str">
        <f>'Part VIII Scoring Criteria'!P47</f>
        <v>No</v>
      </c>
      <c r="F16" s="693"/>
      <c r="G16" s="692"/>
      <c r="H16" s="692"/>
      <c r="I16" s="692"/>
      <c r="J16" s="692"/>
      <c r="K16" s="692"/>
      <c r="L16" s="654"/>
      <c r="M16" s="654"/>
    </row>
    <row r="17" spans="1:13" ht="15.5">
      <c r="A17" s="654"/>
      <c r="B17" s="654"/>
      <c r="C17" s="654"/>
      <c r="D17" s="692"/>
      <c r="E17" s="692"/>
      <c r="F17" s="692"/>
      <c r="G17" s="692"/>
      <c r="H17" s="692"/>
      <c r="I17" s="692"/>
      <c r="J17" s="654"/>
      <c r="K17" s="654"/>
      <c r="L17" s="654"/>
      <c r="M17" s="654"/>
    </row>
    <row r="18" spans="1:13" ht="15.5">
      <c r="A18" s="657" t="s">
        <v>2954</v>
      </c>
      <c r="B18" s="654"/>
      <c r="C18" s="1297">
        <f>'Part III-A-Uses of Funds'!G146</f>
        <v>17043481.5</v>
      </c>
      <c r="D18" s="1276">
        <f>IF(C18=0,"",$C$29/C18)</f>
        <v>0.12966834270333794</v>
      </c>
      <c r="E18" s="692" t="s">
        <v>2955</v>
      </c>
      <c r="F18" s="693" t="s">
        <v>2956</v>
      </c>
      <c r="G18" s="692"/>
      <c r="H18" s="4569">
        <f>'Part III-A-Uses of Funds'!C49</f>
        <v>10900498</v>
      </c>
      <c r="I18" s="4569"/>
      <c r="J18" s="1275">
        <f>IF(H18=0,"",$C$29/H18)</f>
        <v>0.20274303063951757</v>
      </c>
      <c r="K18" s="4570" t="s">
        <v>2957</v>
      </c>
      <c r="L18" s="4570"/>
      <c r="M18" s="654"/>
    </row>
    <row r="19" spans="1:13" ht="15.5">
      <c r="A19" s="657" t="s">
        <v>2662</v>
      </c>
      <c r="B19" s="654"/>
      <c r="C19" s="1296">
        <f>C18/C13</f>
        <v>284058.02500000002</v>
      </c>
      <c r="D19" s="692"/>
      <c r="E19" s="654"/>
      <c r="F19" s="657" t="s">
        <v>2662</v>
      </c>
      <c r="G19" s="654"/>
      <c r="H19" s="4571">
        <f>H18/C13</f>
        <v>181674.96666666667</v>
      </c>
      <c r="I19" s="4571"/>
      <c r="J19" s="654"/>
      <c r="K19" s="654"/>
      <c r="L19" s="654"/>
      <c r="M19" s="654"/>
    </row>
    <row r="20" spans="1:13" ht="15.5">
      <c r="A20" s="657" t="s">
        <v>2663</v>
      </c>
      <c r="B20" s="654"/>
      <c r="C20" s="1298">
        <f>C18/K13</f>
        <v>336.16334319526629</v>
      </c>
      <c r="D20" s="697"/>
      <c r="E20" s="698"/>
      <c r="F20" s="657" t="s">
        <v>2663</v>
      </c>
      <c r="G20" s="654"/>
      <c r="H20" s="4572">
        <f>H18/K13</f>
        <v>214.99996055226825</v>
      </c>
      <c r="I20" s="4571"/>
      <c r="J20" s="654"/>
      <c r="K20" s="654"/>
      <c r="L20" s="654"/>
      <c r="M20" s="654"/>
    </row>
    <row r="21" spans="1:13" ht="15.5">
      <c r="A21" s="657"/>
      <c r="B21" s="654"/>
      <c r="C21" s="699"/>
      <c r="D21" s="654"/>
      <c r="E21" s="654"/>
      <c r="F21" s="657"/>
      <c r="G21" s="654"/>
      <c r="H21" s="699"/>
      <c r="I21" s="654"/>
      <c r="J21" s="654"/>
      <c r="K21" s="654"/>
      <c r="L21" s="654"/>
      <c r="M21" s="654"/>
    </row>
    <row r="22" spans="1:13" ht="15.5">
      <c r="A22" s="689"/>
      <c r="B22" s="689"/>
      <c r="C22" s="689"/>
      <c r="D22" s="689"/>
      <c r="E22" s="689"/>
      <c r="F22" s="689"/>
      <c r="G22" s="689"/>
      <c r="H22" s="689"/>
      <c r="I22" s="689"/>
      <c r="J22" s="689"/>
      <c r="K22" s="689"/>
      <c r="L22" s="689"/>
      <c r="M22" s="694"/>
    </row>
    <row r="23" spans="1:13" ht="15.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5">
      <c r="A25" s="657" t="s">
        <v>2666</v>
      </c>
      <c r="B25" s="703" t="str">
        <f>'Part II-Sources of Funds'!E40</f>
        <v>Key Bank Permanent Loan</v>
      </c>
      <c r="C25" s="704">
        <f>'Part II-Sources of Funds'!I40</f>
        <v>2210000</v>
      </c>
      <c r="D25" s="705" t="s">
        <v>2667</v>
      </c>
      <c r="E25" s="654"/>
      <c r="F25" s="692"/>
      <c r="G25" s="654" t="s">
        <v>2668</v>
      </c>
      <c r="H25" s="654"/>
      <c r="I25" s="654"/>
      <c r="K25" s="704"/>
      <c r="L25" s="692"/>
      <c r="M25" s="694"/>
    </row>
    <row r="26" spans="1:13" ht="15.5">
      <c r="A26" s="654"/>
      <c r="B26" s="703"/>
      <c r="C26" s="704"/>
      <c r="D26" s="705"/>
      <c r="E26" s="654"/>
      <c r="F26" s="692"/>
      <c r="G26" s="654" t="s">
        <v>2669</v>
      </c>
      <c r="H26" s="654"/>
      <c r="I26" s="654"/>
      <c r="K26" s="706" t="e">
        <f>C29/K25</f>
        <v>#DIV/0!</v>
      </c>
      <c r="L26" s="692"/>
      <c r="M26" s="654"/>
    </row>
    <row r="27" spans="1:13" ht="15.5">
      <c r="A27" s="654"/>
      <c r="B27" s="703"/>
      <c r="C27" s="704"/>
      <c r="D27" s="705"/>
      <c r="E27" s="654"/>
      <c r="F27" s="692"/>
      <c r="G27" s="654"/>
      <c r="H27" s="654"/>
      <c r="I27" s="654"/>
      <c r="K27" s="692"/>
      <c r="L27" s="692"/>
      <c r="M27" s="654"/>
    </row>
    <row r="28" spans="1:13" ht="15.5">
      <c r="A28" s="654"/>
      <c r="B28" s="654"/>
      <c r="C28" s="654"/>
      <c r="D28" s="654"/>
      <c r="E28" s="654"/>
      <c r="F28" s="692"/>
      <c r="G28" s="654" t="s">
        <v>2670</v>
      </c>
      <c r="H28" s="654"/>
      <c r="I28" s="654"/>
      <c r="K28" s="704"/>
      <c r="L28" s="692"/>
      <c r="M28" s="654"/>
    </row>
    <row r="29" spans="1:13" ht="16" thickBot="1">
      <c r="A29" s="654"/>
      <c r="B29" s="707" t="s">
        <v>2671</v>
      </c>
      <c r="C29" s="708">
        <f>SUM(C25:C27)</f>
        <v>2210000</v>
      </c>
      <c r="D29" s="654"/>
      <c r="E29" s="654"/>
      <c r="F29" s="692"/>
      <c r="G29" s="654" t="s">
        <v>2672</v>
      </c>
      <c r="H29" s="654"/>
      <c r="I29" s="654"/>
      <c r="K29" s="706" t="e">
        <f>C29/K28</f>
        <v>#DIV/0!</v>
      </c>
      <c r="L29" s="692"/>
      <c r="M29" s="654"/>
    </row>
    <row r="30" spans="1:13" ht="16" thickTop="1">
      <c r="A30" s="657" t="s">
        <v>2673</v>
      </c>
      <c r="B30" s="707"/>
      <c r="C30" s="709">
        <f>'Part II-Sources of Funds'!$I$51+'Part II-Sources of Funds'!$I$52</f>
        <v>14499100</v>
      </c>
      <c r="D30" s="654"/>
      <c r="E30" s="654"/>
      <c r="F30" s="692"/>
      <c r="G30" s="654"/>
      <c r="H30" s="654"/>
      <c r="I30" s="654"/>
      <c r="K30" s="710"/>
      <c r="L30" s="692"/>
      <c r="M30" s="654"/>
    </row>
    <row r="31" spans="1:13" ht="15.5">
      <c r="A31" s="711" t="s">
        <v>2674</v>
      </c>
      <c r="B31" s="703">
        <f>'Part II-Sources of Funds'!E41</f>
        <v>0</v>
      </c>
      <c r="C31" s="704">
        <f>'Part II-Sources of Funds'!I41</f>
        <v>0</v>
      </c>
      <c r="D31" s="705"/>
      <c r="E31" s="654"/>
      <c r="F31" s="692"/>
      <c r="G31" s="654"/>
      <c r="H31" s="654"/>
      <c r="I31" s="654"/>
      <c r="K31" s="654"/>
      <c r="L31" s="692"/>
      <c r="M31" s="654"/>
    </row>
    <row r="32" spans="1:13" ht="15.5">
      <c r="A32" s="711" t="s">
        <v>2674</v>
      </c>
      <c r="B32" s="703">
        <f>'Part II-Sources of Funds'!E42</f>
        <v>0</v>
      </c>
      <c r="C32" s="704">
        <f>'Part II-Sources of Funds'!I42</f>
        <v>0</v>
      </c>
      <c r="D32" s="705"/>
      <c r="E32" s="654" t="s">
        <v>233</v>
      </c>
      <c r="F32" s="692"/>
      <c r="G32" s="654" t="s">
        <v>2675</v>
      </c>
      <c r="H32" s="654"/>
      <c r="I32" s="654"/>
      <c r="K32" s="704"/>
      <c r="L32" s="692"/>
      <c r="M32" s="692"/>
    </row>
    <row r="33" spans="1:13" ht="15.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5">
      <c r="A34" s="654"/>
      <c r="B34" s="707" t="s">
        <v>2677</v>
      </c>
      <c r="C34" s="712">
        <f>SUM(C31:C33)</f>
        <v>0</v>
      </c>
      <c r="D34" s="654"/>
      <c r="E34" s="654"/>
      <c r="F34" s="654"/>
      <c r="G34" s="654"/>
      <c r="H34" s="654"/>
      <c r="I34" s="654"/>
      <c r="K34" s="692"/>
      <c r="L34" s="654"/>
      <c r="M34" s="713"/>
    </row>
    <row r="35" spans="1:13" ht="15.5">
      <c r="A35" s="654"/>
      <c r="B35" s="707"/>
      <c r="C35" s="654"/>
      <c r="D35" s="654"/>
      <c r="E35" s="654"/>
      <c r="F35" s="654"/>
      <c r="G35" s="1242" t="s">
        <v>2678</v>
      </c>
      <c r="H35" s="1242"/>
      <c r="I35" s="1242"/>
      <c r="K35" s="714" t="e">
        <f>(C36)/K25</f>
        <v>#DIV/0!</v>
      </c>
      <c r="L35" s="654"/>
      <c r="M35" s="692"/>
    </row>
    <row r="36" spans="1:13" ht="15.5">
      <c r="A36" s="654"/>
      <c r="B36" s="707" t="s">
        <v>2679</v>
      </c>
      <c r="C36" s="712">
        <f>C29+C34</f>
        <v>2210000</v>
      </c>
      <c r="D36" s="654"/>
      <c r="E36" s="654"/>
      <c r="F36" s="654"/>
      <c r="G36" s="654"/>
      <c r="H36" s="654"/>
      <c r="I36" s="654"/>
      <c r="K36" s="692"/>
      <c r="L36" s="654"/>
      <c r="M36" s="692"/>
    </row>
    <row r="37" spans="1:13" ht="15.5">
      <c r="A37" s="654"/>
      <c r="B37" s="707"/>
      <c r="C37" s="715"/>
      <c r="D37" s="654"/>
      <c r="E37" s="654"/>
      <c r="F37" s="654"/>
      <c r="G37" s="1242" t="s">
        <v>2680</v>
      </c>
      <c r="H37" s="1242"/>
      <c r="I37" s="1242"/>
      <c r="K37" s="1243" t="e">
        <f>+(C36)/K32</f>
        <v>#DIV/0!</v>
      </c>
      <c r="L37" s="654"/>
      <c r="M37" s="713"/>
    </row>
    <row r="38" spans="1:13" ht="15.5">
      <c r="A38" s="654"/>
      <c r="B38" s="707" t="s">
        <v>2681</v>
      </c>
      <c r="C38" s="716">
        <f>C36/C18</f>
        <v>0.12966834270333794</v>
      </c>
      <c r="D38" s="654"/>
      <c r="E38" s="654"/>
      <c r="F38" s="654"/>
      <c r="G38" s="654"/>
      <c r="H38" s="654"/>
      <c r="I38" s="654"/>
      <c r="K38" s="692"/>
      <c r="L38" s="654"/>
      <c r="M38" s="713"/>
    </row>
    <row r="39" spans="1:13" ht="15.5">
      <c r="A39" s="654"/>
      <c r="B39" s="707"/>
      <c r="C39" s="715"/>
      <c r="D39" s="654"/>
      <c r="E39" s="654"/>
      <c r="F39" s="654"/>
      <c r="G39" s="654"/>
      <c r="H39" s="654"/>
      <c r="I39" s="654"/>
      <c r="K39" s="692"/>
      <c r="L39" s="654"/>
      <c r="M39" s="654"/>
    </row>
    <row r="40" spans="1:13" ht="15.5">
      <c r="A40" s="654"/>
      <c r="B40" s="707" t="s">
        <v>2682</v>
      </c>
      <c r="C40" s="716">
        <f>C36/H18</f>
        <v>0.20274303063951757</v>
      </c>
      <c r="D40" s="654"/>
      <c r="E40" s="654"/>
      <c r="F40" s="657"/>
      <c r="G40" s="657" t="s">
        <v>2683</v>
      </c>
      <c r="H40" s="654"/>
      <c r="I40" s="654"/>
      <c r="K40" s="706">
        <f>C30/C18</f>
        <v>0.85071233832125204</v>
      </c>
      <c r="L40" s="654"/>
      <c r="M40" s="654"/>
    </row>
    <row r="46" spans="1:13" ht="15.5">
      <c r="A46" s="717" t="s">
        <v>2684</v>
      </c>
      <c r="B46" s="687"/>
      <c r="C46" s="687"/>
      <c r="D46" s="687"/>
      <c r="E46" s="687"/>
      <c r="F46" s="687"/>
      <c r="G46" s="687"/>
      <c r="H46" s="687"/>
      <c r="I46" s="687"/>
      <c r="J46" s="687"/>
      <c r="K46" s="687"/>
      <c r="L46" s="687"/>
      <c r="M46" s="654"/>
    </row>
    <row r="47" spans="1:13" ht="15.5">
      <c r="A47" s="717" t="str">
        <f>C8</f>
        <v>Villa Rica Senior</v>
      </c>
      <c r="B47" s="687"/>
      <c r="C47" s="687"/>
      <c r="D47" s="687"/>
      <c r="E47" s="687"/>
      <c r="F47" s="687"/>
      <c r="G47" s="687"/>
      <c r="H47" s="687"/>
      <c r="I47" s="687"/>
      <c r="J47" s="687"/>
      <c r="K47" s="687"/>
      <c r="L47" s="687"/>
      <c r="M47" s="654"/>
    </row>
    <row r="50" spans="1:14" s="654" customFormat="1" ht="15.5">
      <c r="A50" s="657" t="s">
        <v>2685</v>
      </c>
      <c r="C50" s="718" t="s">
        <v>2686</v>
      </c>
      <c r="E50" s="719" t="s">
        <v>3103</v>
      </c>
      <c r="F50" s="720">
        <v>0.1</v>
      </c>
      <c r="G50" s="719" t="s">
        <v>3104</v>
      </c>
      <c r="H50" s="720">
        <v>0.05</v>
      </c>
      <c r="I50" s="719" t="s">
        <v>3105</v>
      </c>
      <c r="J50" s="720">
        <v>0.03</v>
      </c>
      <c r="K50" s="4573" t="s">
        <v>2687</v>
      </c>
      <c r="L50" s="4574"/>
      <c r="M50" s="27"/>
      <c r="N50" s="27"/>
    </row>
    <row r="51" spans="1:14" s="654" customFormat="1" ht="15.5">
      <c r="A51" s="657"/>
      <c r="C51" s="718"/>
      <c r="E51" s="718"/>
      <c r="F51" s="721"/>
      <c r="G51" s="718"/>
      <c r="H51" s="721"/>
      <c r="I51" s="718"/>
      <c r="J51" s="721"/>
      <c r="K51" s="718"/>
      <c r="M51" s="27"/>
      <c r="N51" s="27"/>
    </row>
    <row r="52" spans="1:14" s="654" customFormat="1" ht="18.75" customHeight="1">
      <c r="B52" s="722" t="s">
        <v>2688</v>
      </c>
      <c r="C52" s="723">
        <f>'Part VI-Pro Forma'!B15</f>
        <v>676800</v>
      </c>
      <c r="D52" s="723"/>
      <c r="E52" s="723">
        <f>$C$52</f>
        <v>676800</v>
      </c>
      <c r="F52" s="723"/>
      <c r="G52" s="723">
        <f>$C$52</f>
        <v>676800</v>
      </c>
      <c r="H52" s="723"/>
      <c r="I52" s="723">
        <f>$C$52</f>
        <v>676800</v>
      </c>
      <c r="J52" s="723"/>
      <c r="K52" s="723">
        <f>$C$52</f>
        <v>676800</v>
      </c>
      <c r="L52" s="724"/>
      <c r="M52" s="27"/>
      <c r="N52" s="27"/>
    </row>
    <row r="53" spans="1:14" s="654" customFormat="1" ht="18.75" customHeight="1">
      <c r="B53" s="722" t="s">
        <v>2691</v>
      </c>
      <c r="C53" s="723">
        <f>'Part VI-Pro Forma'!B16</f>
        <v>13536</v>
      </c>
      <c r="D53" s="723"/>
      <c r="E53" s="723">
        <f>$C$53</f>
        <v>13536</v>
      </c>
      <c r="F53" s="723"/>
      <c r="G53" s="723">
        <f>$C$53</f>
        <v>13536</v>
      </c>
      <c r="H53" s="723"/>
      <c r="I53" s="723">
        <f>$C$53</f>
        <v>13536</v>
      </c>
      <c r="J53" s="723"/>
      <c r="K53" s="723">
        <f>$C$53</f>
        <v>13536</v>
      </c>
      <c r="L53" s="724"/>
      <c r="M53" s="27"/>
      <c r="N53" s="27"/>
    </row>
    <row r="54" spans="1:14" s="654" customFormat="1" ht="18.75" customHeight="1">
      <c r="B54" s="722" t="s">
        <v>2689</v>
      </c>
      <c r="C54" s="723">
        <f>'Part VI-Pro Forma'!B17</f>
        <v>-48323.520000000004</v>
      </c>
      <c r="D54" s="723"/>
      <c r="E54" s="723">
        <f>-($C$52+E53)*F50</f>
        <v>-69033.600000000006</v>
      </c>
      <c r="F54" s="725"/>
      <c r="G54" s="723">
        <f>-($C$52+G53)*0.07</f>
        <v>-48323.520000000004</v>
      </c>
      <c r="H54" s="723"/>
      <c r="I54" s="723">
        <f>-($C$52+I53)*0.07</f>
        <v>-48323.520000000004</v>
      </c>
      <c r="J54" s="723"/>
      <c r="K54" s="723">
        <f>-($C$52+K53)*L54</f>
        <v>-69033.600000000006</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642012.48</v>
      </c>
      <c r="D56" s="723"/>
      <c r="E56" s="729">
        <f>SUM(E52:E55)</f>
        <v>621302.4</v>
      </c>
      <c r="F56" s="723"/>
      <c r="G56" s="729">
        <f>SUM(G52:G55)</f>
        <v>642012.48</v>
      </c>
      <c r="H56" s="723"/>
      <c r="I56" s="729">
        <f>SUM(I52:I55)</f>
        <v>642012.48</v>
      </c>
      <c r="J56" s="723"/>
      <c r="K56" s="729">
        <f>SUM(K52:K55)</f>
        <v>621302.4</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158874</v>
      </c>
      <c r="D58" s="723"/>
      <c r="E58" s="723">
        <f>$C$58</f>
        <v>158874</v>
      </c>
      <c r="F58" s="723"/>
      <c r="G58" s="723">
        <f>$C$58</f>
        <v>158874</v>
      </c>
      <c r="H58" s="723"/>
      <c r="I58" s="723">
        <f>$C$58</f>
        <v>158874</v>
      </c>
      <c r="J58" s="723"/>
      <c r="K58" s="723">
        <f>$C$58</f>
        <v>158874</v>
      </c>
      <c r="L58" s="724"/>
      <c r="M58" s="27"/>
      <c r="N58" s="27"/>
    </row>
    <row r="59" spans="1:14" s="654" customFormat="1" ht="18.75" customHeight="1">
      <c r="B59" s="722" t="s">
        <v>2694</v>
      </c>
      <c r="C59" s="723">
        <f>+'Part V-Revenues &amp; Expenses'!F247</f>
        <v>36850</v>
      </c>
      <c r="D59" s="723"/>
      <c r="E59" s="723">
        <f>$C$59</f>
        <v>36850</v>
      </c>
      <c r="F59" s="723"/>
      <c r="G59" s="723">
        <f>$C$59</f>
        <v>36850</v>
      </c>
      <c r="H59" s="723"/>
      <c r="I59" s="723">
        <f>$C$59</f>
        <v>36850</v>
      </c>
      <c r="J59" s="723"/>
      <c r="K59" s="723">
        <f>$C$59*(1+$L$59)</f>
        <v>38324</v>
      </c>
      <c r="L59" s="731">
        <v>0.04</v>
      </c>
      <c r="M59" s="27"/>
      <c r="N59" s="27"/>
    </row>
    <row r="60" spans="1:14" s="654" customFormat="1" ht="18.75" customHeight="1">
      <c r="B60" s="722" t="s">
        <v>1298</v>
      </c>
      <c r="C60" s="723">
        <f>+'Part V-Revenues &amp; Expenses'!L241</f>
        <v>77040</v>
      </c>
      <c r="D60" s="723"/>
      <c r="E60" s="723">
        <f>$C$60</f>
        <v>77040</v>
      </c>
      <c r="F60" s="723"/>
      <c r="G60" s="723">
        <f>$C$60</f>
        <v>77040</v>
      </c>
      <c r="H60" s="723"/>
      <c r="I60" s="723">
        <f>$C$60*(1+$J$50)</f>
        <v>79351.199999999997</v>
      </c>
      <c r="J60" s="725"/>
      <c r="K60" s="723">
        <f>$C$60*(1+$J$50)</f>
        <v>79351.199999999997</v>
      </c>
      <c r="L60" s="726">
        <v>0.03</v>
      </c>
      <c r="M60" s="27"/>
      <c r="N60" s="27"/>
    </row>
    <row r="61" spans="1:14" s="654" customFormat="1" ht="18.75" customHeight="1">
      <c r="B61" s="722" t="s">
        <v>1299</v>
      </c>
      <c r="C61" s="723">
        <f>+'Part V-Revenues &amp; Expenses'!L247</f>
        <v>133729</v>
      </c>
      <c r="D61" s="723"/>
      <c r="E61" s="723">
        <f>$C$61</f>
        <v>133729</v>
      </c>
      <c r="F61" s="723"/>
      <c r="G61" s="723">
        <f>$C$61*(1+H50)</f>
        <v>140415.45000000001</v>
      </c>
      <c r="H61" s="725"/>
      <c r="I61" s="723">
        <f>$C$61</f>
        <v>133729</v>
      </c>
      <c r="J61" s="723"/>
      <c r="K61" s="723">
        <f>$C$61*(1+$L$61)</f>
        <v>140415.45000000001</v>
      </c>
      <c r="L61" s="726">
        <v>0.05</v>
      </c>
      <c r="M61" s="27"/>
      <c r="N61" s="27"/>
    </row>
    <row r="62" spans="1:14" s="654" customFormat="1" ht="18.75" customHeight="1">
      <c r="B62" s="728" t="s">
        <v>2695</v>
      </c>
      <c r="C62" s="729">
        <f>SUM(C58:C61)</f>
        <v>406493</v>
      </c>
      <c r="D62" s="723"/>
      <c r="E62" s="729">
        <f>SUM(E58:E61)</f>
        <v>406493</v>
      </c>
      <c r="F62" s="723"/>
      <c r="G62" s="729">
        <f>SUM(G58:G61)</f>
        <v>413179.45</v>
      </c>
      <c r="H62" s="723"/>
      <c r="I62" s="729">
        <f>SUM(I58:I61)</f>
        <v>408804.2</v>
      </c>
      <c r="J62" s="723"/>
      <c r="K62" s="729">
        <f>SUM(K58:K61)</f>
        <v>416964.65</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5">
      <c r="A64" s="27"/>
      <c r="B64" s="734" t="s">
        <v>2696</v>
      </c>
      <c r="C64" s="735">
        <f>C56-C62</f>
        <v>235519.47999999998</v>
      </c>
      <c r="D64" s="735"/>
      <c r="E64" s="735">
        <f>E56-E62</f>
        <v>214809.40000000002</v>
      </c>
      <c r="F64" s="735"/>
      <c r="G64" s="735">
        <f>G56-G62</f>
        <v>228833.02999999997</v>
      </c>
      <c r="H64" s="735"/>
      <c r="I64" s="735">
        <f>I56-I62</f>
        <v>233208.27999999997</v>
      </c>
      <c r="J64" s="735"/>
      <c r="K64" s="735">
        <f>K56-K62</f>
        <v>204337.75</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5">
      <c r="A66" s="27"/>
      <c r="B66" s="733" t="s">
        <v>2697</v>
      </c>
      <c r="C66" s="730">
        <f>'Part V-Revenues &amp; Expenses'!Q234</f>
        <v>15000</v>
      </c>
      <c r="D66" s="730"/>
      <c r="E66" s="730">
        <f>$C$66</f>
        <v>15000</v>
      </c>
      <c r="F66" s="730"/>
      <c r="G66" s="730">
        <f>$C$66</f>
        <v>15000</v>
      </c>
      <c r="H66" s="730"/>
      <c r="I66" s="730">
        <f>$C$66</f>
        <v>15000</v>
      </c>
      <c r="J66" s="730"/>
      <c r="K66" s="730">
        <f>$C$66</f>
        <v>15000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5">
      <c r="A68" s="27"/>
      <c r="B68" s="733" t="s">
        <v>2698</v>
      </c>
      <c r="C68" s="730">
        <f>'Part V-Revenues &amp; Expenses'!Q220</f>
        <v>29316</v>
      </c>
      <c r="D68" s="730"/>
      <c r="E68" s="730">
        <f>$C$68</f>
        <v>29316</v>
      </c>
      <c r="F68" s="730"/>
      <c r="G68" s="730">
        <f>$C$68</f>
        <v>29316</v>
      </c>
      <c r="H68" s="730"/>
      <c r="I68" s="730">
        <f>$C$68</f>
        <v>29316</v>
      </c>
      <c r="J68" s="730"/>
      <c r="K68" s="730">
        <f>$C$68</f>
        <v>29316</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5">
      <c r="A70" s="27"/>
      <c r="B70" s="737" t="s">
        <v>2699</v>
      </c>
      <c r="C70" s="738">
        <f>C64-C66-C68</f>
        <v>191203.47999999998</v>
      </c>
      <c r="D70" s="739"/>
      <c r="E70" s="738">
        <f>E64-E66-E68</f>
        <v>170493.40000000002</v>
      </c>
      <c r="F70" s="739"/>
      <c r="G70" s="738">
        <f>G64-G66-G68</f>
        <v>184517.02999999997</v>
      </c>
      <c r="H70" s="739"/>
      <c r="I70" s="738">
        <f>I64-I66-I68</f>
        <v>188892.27999999997</v>
      </c>
      <c r="J70" s="739"/>
      <c r="K70" s="738">
        <f>K64-K66-K68</f>
        <v>160021.75</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1.3978673403246242</v>
      </c>
      <c r="D72" s="741"/>
      <c r="E72" s="1277">
        <f>-E70/E75</f>
        <v>1.2464582527520018</v>
      </c>
      <c r="F72" s="741"/>
      <c r="G72" s="1277">
        <f>-G70/G75</f>
        <v>1.3489834493111676</v>
      </c>
      <c r="H72" s="741"/>
      <c r="I72" s="1277">
        <f>-I70/I75</f>
        <v>1.380970414615122</v>
      </c>
      <c r="J72" s="741"/>
      <c r="K72" s="1277">
        <f>-K70/K75</f>
        <v>1.1699011862471957</v>
      </c>
      <c r="L72" s="742"/>
      <c r="M72" s="265"/>
      <c r="N72" s="265"/>
    </row>
    <row r="73" spans="1:14" s="654" customFormat="1" ht="18.75" customHeight="1">
      <c r="A73" s="27"/>
      <c r="B73" s="722" t="s">
        <v>2701</v>
      </c>
      <c r="C73" s="1278">
        <f>C76/C62</f>
        <v>0.13387979963476559</v>
      </c>
      <c r="D73" s="743"/>
      <c r="E73" s="1278">
        <f>E76/E62</f>
        <v>8.2931616025207849E-2</v>
      </c>
      <c r="F73" s="743"/>
      <c r="G73" s="1278">
        <f>G76/G62</f>
        <v>0.11553031350647948</v>
      </c>
      <c r="H73" s="743"/>
      <c r="I73" s="1278">
        <f>I76/I62</f>
        <v>0.1274693395834357</v>
      </c>
      <c r="J73" s="743"/>
      <c r="K73" s="1278">
        <f>K76/K62</f>
        <v>5.5734871991989711E-2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-136782.27860706521</v>
      </c>
      <c r="D75" s="723"/>
      <c r="E75" s="723">
        <f>$C$75</f>
        <v>-136782.27860706521</v>
      </c>
      <c r="F75" s="723"/>
      <c r="G75" s="723">
        <f>$C$75</f>
        <v>-136782.27860706521</v>
      </c>
      <c r="H75" s="723"/>
      <c r="I75" s="723">
        <f>$C$75</f>
        <v>-136782.27860706521</v>
      </c>
      <c r="J75" s="723"/>
      <c r="K75" s="723">
        <f>$C$75</f>
        <v>-136782.27860706521</v>
      </c>
      <c r="L75" s="33"/>
      <c r="M75" s="27"/>
      <c r="N75" s="27"/>
    </row>
    <row r="76" spans="1:14" s="654" customFormat="1" ht="18.75" customHeight="1">
      <c r="A76" s="27"/>
      <c r="B76" s="722" t="s">
        <v>1097</v>
      </c>
      <c r="C76" s="723">
        <f>C70+C75</f>
        <v>54421.201392934774</v>
      </c>
      <c r="D76" s="723"/>
      <c r="E76" s="723">
        <f>E70+E75</f>
        <v>33711.121392934816</v>
      </c>
      <c r="F76" s="723"/>
      <c r="G76" s="723">
        <f>G70+G75</f>
        <v>47734.751392934762</v>
      </c>
      <c r="H76" s="723"/>
      <c r="I76" s="723">
        <f>I70+I75</f>
        <v>52110.001392934762</v>
      </c>
      <c r="J76" s="723"/>
      <c r="K76" s="723">
        <f>K70+K75</f>
        <v>23239.471392934793</v>
      </c>
      <c r="L76" s="33"/>
      <c r="M76" s="27"/>
      <c r="N76" s="27"/>
    </row>
    <row r="77" spans="1:14" s="654" customFormat="1" ht="15.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5" hidden="1">
      <c r="A78" s="27"/>
      <c r="B78" s="745" t="s">
        <v>2704</v>
      </c>
      <c r="C78" s="732"/>
      <c r="D78" s="732"/>
      <c r="E78" s="732"/>
      <c r="F78" s="732"/>
      <c r="G78" s="732"/>
      <c r="H78" s="732"/>
      <c r="I78" s="732"/>
      <c r="J78" s="732"/>
      <c r="K78" s="732"/>
      <c r="L78" s="33"/>
      <c r="M78" s="27"/>
      <c r="N78" s="27"/>
    </row>
    <row r="79" spans="1:14" s="654" customFormat="1" ht="15.5" hidden="1">
      <c r="A79" s="27"/>
      <c r="B79" s="732"/>
      <c r="C79" s="732"/>
      <c r="D79" s="732"/>
      <c r="E79" s="732"/>
      <c r="F79" s="732"/>
      <c r="G79" s="732"/>
      <c r="H79" s="732"/>
      <c r="I79" s="732"/>
      <c r="J79" s="732"/>
      <c r="K79" s="732"/>
      <c r="L79" s="33"/>
      <c r="M79" s="27"/>
      <c r="N79" s="27"/>
    </row>
    <row r="80" spans="1:14" s="654" customFormat="1" ht="16"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5" hidden="1">
      <c r="A81" s="27"/>
      <c r="B81" s="732" t="s">
        <v>1609</v>
      </c>
      <c r="C81" s="746" t="e">
        <f>MAX(C77,E77,G77,I77,K77)</f>
        <v>#NAME?</v>
      </c>
      <c r="D81" s="732"/>
      <c r="E81" s="732"/>
      <c r="F81" s="732"/>
      <c r="G81" s="33"/>
      <c r="H81" s="33"/>
      <c r="I81" s="33"/>
      <c r="J81" s="33"/>
      <c r="K81" s="33"/>
      <c r="L81" s="33"/>
      <c r="M81" s="27"/>
      <c r="N81" s="27"/>
    </row>
    <row r="82" spans="1:14" s="654" customFormat="1" ht="15.5">
      <c r="A82" s="27"/>
      <c r="B82" s="732"/>
      <c r="C82" s="732"/>
      <c r="D82" s="732"/>
      <c r="E82" s="732" t="s">
        <v>233</v>
      </c>
      <c r="F82" s="732"/>
      <c r="G82" s="33"/>
      <c r="H82" s="33"/>
      <c r="I82" s="33"/>
      <c r="J82" s="33"/>
      <c r="K82" s="33"/>
      <c r="L82" s="33"/>
      <c r="M82" s="27"/>
      <c r="N82" s="27"/>
    </row>
    <row r="83" spans="1:14" s="654" customFormat="1" ht="15.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796875" defaultRowHeight="12.5"/>
  <cols>
    <col min="1" max="1" width="24.81640625" style="1221" customWidth="1"/>
    <col min="2" max="2" width="13.81640625" style="1221" customWidth="1"/>
    <col min="3" max="11" width="10.54296875" style="1221" customWidth="1"/>
    <col min="12" max="12" width="9.81640625" style="1221" customWidth="1"/>
    <col min="13" max="21" width="10.54296875" style="1221" customWidth="1"/>
    <col min="22" max="16384" width="9.1796875" style="1221"/>
  </cols>
  <sheetData>
    <row r="1" spans="1:7" ht="3" customHeight="1"/>
    <row r="2" spans="1:7" ht="13">
      <c r="A2" s="1220" t="s">
        <v>3418</v>
      </c>
    </row>
    <row r="3" spans="1:7" ht="3" customHeight="1"/>
    <row r="4" spans="1:7">
      <c r="A4" s="1221" t="s">
        <v>3419</v>
      </c>
      <c r="B4" s="1222">
        <f>+'Part III-A-Uses of Funds'!$G$146</f>
        <v>17043481.5</v>
      </c>
    </row>
    <row r="5" spans="1:7">
      <c r="A5" s="1221" t="s">
        <v>3450</v>
      </c>
      <c r="B5" s="1222">
        <f>+B18+B26+B38</f>
        <v>1650394.0245867521</v>
      </c>
    </row>
    <row r="6" spans="1:7">
      <c r="A6" s="1221" t="s">
        <v>3420</v>
      </c>
      <c r="B6" s="1223">
        <f>+B5-B4</f>
        <v>-15393087.475413248</v>
      </c>
    </row>
    <row r="7" spans="1:7">
      <c r="A7" s="1221" t="s">
        <v>3421</v>
      </c>
      <c r="B7" s="1224">
        <f>+B6/B4</f>
        <v>-0.90316567512413748</v>
      </c>
    </row>
    <row r="8" spans="1:7" ht="9" customHeight="1"/>
    <row r="9" spans="1:7">
      <c r="A9" s="1221" t="s">
        <v>3422</v>
      </c>
      <c r="B9" s="1222">
        <f>+B18+B26+B33</f>
        <v>1650294.0245867521</v>
      </c>
    </row>
    <row r="10" spans="1:7">
      <c r="A10" s="1221" t="s">
        <v>3420</v>
      </c>
      <c r="B10" s="1223">
        <f>+B9-B4</f>
        <v>-15393187.475413248</v>
      </c>
    </row>
    <row r="11" spans="1:7">
      <c r="A11" s="1221" t="s">
        <v>3421</v>
      </c>
      <c r="B11" s="1224">
        <f>+B10/B4</f>
        <v>-0.90317154246996123</v>
      </c>
    </row>
    <row r="12" spans="1:7" ht="24" customHeight="1"/>
    <row r="13" spans="1:7" ht="13">
      <c r="A13" s="1220" t="s">
        <v>3423</v>
      </c>
      <c r="D13" s="1283" t="s">
        <v>3667</v>
      </c>
      <c r="E13" s="1284"/>
    </row>
    <row r="14" spans="1:7">
      <c r="A14" s="1221" t="s">
        <v>3424</v>
      </c>
      <c r="B14" s="1225">
        <f>+SUM('Part II-Sources of Funds'!L51:M52)</f>
        <v>14500000</v>
      </c>
      <c r="D14" s="1284"/>
      <c r="E14" s="1284"/>
    </row>
    <row r="15" spans="1:7">
      <c r="A15" s="1221" t="s">
        <v>3425</v>
      </c>
      <c r="B15" s="1226">
        <f>+'Part III-A-Uses of Funds'!J180</f>
        <v>1483338.15</v>
      </c>
      <c r="D15" s="1284" t="s">
        <v>1896</v>
      </c>
      <c r="G15" s="1285">
        <f>'Part III-A-Uses of Funds'!J168</f>
        <v>12921680.633333335</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6145551.3092133347</v>
      </c>
    </row>
    <row r="20" spans="1:7">
      <c r="A20" s="1221" t="s">
        <v>3428</v>
      </c>
      <c r="B20" s="1225">
        <f>+B18-B14</f>
        <v>-14500000</v>
      </c>
      <c r="D20" s="1284" t="s">
        <v>3672</v>
      </c>
      <c r="G20" s="1287">
        <f>+B14-G19</f>
        <v>8354448.6907866653</v>
      </c>
    </row>
    <row r="21" spans="1:7">
      <c r="A21" s="1221" t="s">
        <v>3429</v>
      </c>
      <c r="B21" s="1224">
        <f>+B20/B14</f>
        <v>-1</v>
      </c>
      <c r="D21" s="1284" t="s">
        <v>3673</v>
      </c>
      <c r="G21" s="1284" t="str">
        <f>+IF(G20&gt;(B28+B35),"No","Yes")</f>
        <v>No</v>
      </c>
    </row>
    <row r="22" spans="1:7" ht="24" customHeight="1"/>
    <row r="23" spans="1:7" ht="13">
      <c r="A23" s="1220" t="s">
        <v>3430</v>
      </c>
    </row>
    <row r="24" spans="1:7">
      <c r="A24" s="1221" t="s">
        <v>3431</v>
      </c>
      <c r="B24" s="1228">
        <f>+SUM('Part II-Sources of Funds'!I40:J43)</f>
        <v>2210000</v>
      </c>
    </row>
    <row r="25" spans="1:7">
      <c r="A25" s="1221" t="s">
        <v>3432</v>
      </c>
      <c r="B25" s="1229">
        <f>IF('Part II-Sources of Funds'!E6="Yes","N/A",MAX(B46:P46))</f>
        <v>-15114.038258801622</v>
      </c>
    </row>
    <row r="26" spans="1:7">
      <c r="A26" s="1221" t="s">
        <v>3433</v>
      </c>
      <c r="B26" s="1219">
        <f>IFERROR(PV('Part II-Sources of Funds'!K40,'Part II-Sources of Funds'!L40,B25+B45),B24)</f>
        <v>1650294.0245867521</v>
      </c>
    </row>
    <row r="27" spans="1:7" ht="9" customHeight="1">
      <c r="B27" s="1219"/>
    </row>
    <row r="28" spans="1:7">
      <c r="A28" s="1221" t="s">
        <v>3434</v>
      </c>
      <c r="B28" s="1230">
        <f>+B26-B24</f>
        <v>-559705.97541324794</v>
      </c>
      <c r="C28" s="1231"/>
    </row>
    <row r="29" spans="1:7">
      <c r="A29" s="1221" t="s">
        <v>3429</v>
      </c>
      <c r="B29" s="1232">
        <f>+B28/B24</f>
        <v>-0.25326062235893571</v>
      </c>
    </row>
    <row r="30" spans="1:7" ht="24" customHeight="1"/>
    <row r="31" spans="1:7" ht="13">
      <c r="A31" s="1220" t="s">
        <v>3364</v>
      </c>
    </row>
    <row r="32" spans="1:7">
      <c r="A32" s="1221" t="s">
        <v>3435</v>
      </c>
      <c r="B32" s="1233">
        <f>+'Part II-Sources of Funds'!I45</f>
        <v>334282</v>
      </c>
    </row>
    <row r="33" spans="1:11">
      <c r="A33" s="1221" t="s">
        <v>3436</v>
      </c>
      <c r="B33" s="1219"/>
    </row>
    <row r="34" spans="1:11" ht="9" customHeight="1">
      <c r="B34" s="1219"/>
    </row>
    <row r="35" spans="1:11">
      <c r="A35" s="1221" t="s">
        <v>3437</v>
      </c>
      <c r="B35" s="1233">
        <f>+B33-B32</f>
        <v>-334282</v>
      </c>
    </row>
    <row r="36" spans="1:11">
      <c r="A36" s="1221" t="s">
        <v>3438</v>
      </c>
      <c r="B36" s="1218">
        <f>+B35/B32</f>
        <v>-1</v>
      </c>
    </row>
    <row r="37" spans="1:11" ht="24" customHeight="1">
      <c r="B37" s="1219"/>
    </row>
    <row r="38" spans="1:11" ht="13">
      <c r="A38" s="1220" t="s">
        <v>3439</v>
      </c>
      <c r="B38" s="1219">
        <f>+SUM('Part II-Sources of Funds'!I44,'Part II-Sources of Funds'!I49,'Part II-Sources of Funds'!I50,'Part II-Sources of Funds'!I53:I59)</f>
        <v>100</v>
      </c>
    </row>
    <row r="39" spans="1:11">
      <c r="B39" s="1219"/>
    </row>
    <row r="40" spans="1:11">
      <c r="B40" s="1219"/>
    </row>
    <row r="41" spans="1:11">
      <c r="B41" s="1219"/>
    </row>
    <row r="42" spans="1:11" ht="13">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191203.47999999998</v>
      </c>
      <c r="C44" s="1222">
        <f>+'Part VI-Pro Forma'!C25</f>
        <v>190811.93959999993</v>
      </c>
      <c r="D44" s="1222">
        <f>+'Part VI-Pro Forma'!D25</f>
        <v>190286.86049199995</v>
      </c>
      <c r="E44" s="1222">
        <f>+'Part VI-Pro Forma'!E25</f>
        <v>189620.99846483997</v>
      </c>
      <c r="F44" s="1222">
        <f>+'Part VI-Pro Forma'!F25</f>
        <v>188807.87062002681</v>
      </c>
      <c r="G44" s="1222">
        <f>+'Part VI-Pro Forma'!G25</f>
        <v>187840.74718389413</v>
      </c>
      <c r="H44" s="1222">
        <f>+'Part VI-Pro Forma'!H25</f>
        <v>186710.64305358264</v>
      </c>
      <c r="I44" s="1222">
        <f>+'Part VI-Pro Forma'!I25</f>
        <v>185412.30906844509</v>
      </c>
      <c r="J44" s="1222">
        <f>+'Part VI-Pro Forma'!J25</f>
        <v>183936.22299821902</v>
      </c>
      <c r="K44" s="1222">
        <f>+'Part VI-Pro Forma'!K25</f>
        <v>182275.5802390402</v>
      </c>
    </row>
    <row r="45" spans="1:11">
      <c r="A45" s="1221" t="s">
        <v>3441</v>
      </c>
      <c r="B45" s="1222">
        <f>SUM('Part VI-Pro Forma'!B26:B29)</f>
        <v>-136782.27860706521</v>
      </c>
      <c r="C45" s="1222">
        <f>SUM('Part VI-Pro Forma'!C26:C29)</f>
        <v>-136782.27860706521</v>
      </c>
      <c r="D45" s="1222">
        <f>SUM('Part VI-Pro Forma'!D26:D29)</f>
        <v>-136782.27860706521</v>
      </c>
      <c r="E45" s="1222">
        <f>SUM('Part VI-Pro Forma'!E26:E29)</f>
        <v>-136782.27860706521</v>
      </c>
      <c r="F45" s="1222">
        <f>SUM('Part VI-Pro Forma'!F26:F29)</f>
        <v>-136782.27860706521</v>
      </c>
      <c r="G45" s="1222">
        <f>SUM('Part VI-Pro Forma'!G26:G29)</f>
        <v>-136782.27860706521</v>
      </c>
      <c r="H45" s="1222">
        <f>SUM('Part VI-Pro Forma'!H26:H29)</f>
        <v>-136782.27860706521</v>
      </c>
      <c r="I45" s="1222">
        <f>SUM('Part VI-Pro Forma'!I26:I29)</f>
        <v>-136782.27860706521</v>
      </c>
      <c r="J45" s="1222">
        <f>SUM('Part VI-Pro Forma'!J26:J29)</f>
        <v>-136782.27860706521</v>
      </c>
      <c r="K45" s="1222">
        <f>SUM('Part VI-Pro Forma'!K26:K29)</f>
        <v>-136782.27860706521</v>
      </c>
    </row>
    <row r="46" spans="1:11">
      <c r="A46" s="1221" t="s">
        <v>3442</v>
      </c>
      <c r="B46" s="1223">
        <f t="shared" ref="B46:K46" si="0">-B44/B48-B45</f>
        <v>-22553.95472626813</v>
      </c>
      <c r="C46" s="1223">
        <f t="shared" si="0"/>
        <v>-22227.671059601416</v>
      </c>
      <c r="D46" s="1223">
        <f t="shared" si="0"/>
        <v>-21790.105136268103</v>
      </c>
      <c r="E46" s="1223">
        <f t="shared" si="0"/>
        <v>-21235.220113634772</v>
      </c>
      <c r="F46" s="1223">
        <f t="shared" si="0"/>
        <v>-20557.61357629046</v>
      </c>
      <c r="G46" s="1223">
        <f t="shared" si="0"/>
        <v>-19751.677379513247</v>
      </c>
      <c r="H46" s="1223">
        <f t="shared" si="0"/>
        <v>-18809.923937587009</v>
      </c>
      <c r="I46" s="1223">
        <f t="shared" si="0"/>
        <v>-17727.97894997237</v>
      </c>
      <c r="J46" s="1223">
        <f t="shared" si="0"/>
        <v>-16497.907224783994</v>
      </c>
      <c r="K46" s="1223">
        <f t="shared" si="0"/>
        <v>-15114.038258801622</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ht="13">
      <c r="A50" s="1220" t="s">
        <v>1097</v>
      </c>
    </row>
    <row r="51" spans="1:17">
      <c r="A51" s="1221" t="s">
        <v>1130</v>
      </c>
      <c r="B51" s="1223">
        <f>+B44</f>
        <v>191203.47999999998</v>
      </c>
      <c r="C51" s="1223">
        <f t="shared" ref="C51:K51" si="2">+C44</f>
        <v>190811.93959999993</v>
      </c>
      <c r="D51" s="1223">
        <f t="shared" si="2"/>
        <v>190286.86049199995</v>
      </c>
      <c r="E51" s="1223">
        <f t="shared" si="2"/>
        <v>189620.99846483997</v>
      </c>
      <c r="F51" s="1223">
        <f t="shared" si="2"/>
        <v>188807.87062002681</v>
      </c>
      <c r="G51" s="1223">
        <f t="shared" si="2"/>
        <v>187840.74718389413</v>
      </c>
      <c r="H51" s="1223">
        <f t="shared" si="2"/>
        <v>186710.64305358264</v>
      </c>
      <c r="I51" s="1223">
        <f t="shared" si="2"/>
        <v>185412.30906844509</v>
      </c>
      <c r="J51" s="1223">
        <f t="shared" si="2"/>
        <v>183936.22299821902</v>
      </c>
      <c r="K51" s="1223">
        <f t="shared" si="2"/>
        <v>182275.5802390402</v>
      </c>
    </row>
    <row r="52" spans="1:17">
      <c r="A52" s="1221" t="s">
        <v>3444</v>
      </c>
      <c r="B52" s="1223">
        <f>IF($B$25="N/A",B45,B45+$B$25)</f>
        <v>-151896.31686586683</v>
      </c>
      <c r="C52" s="1223">
        <f t="shared" ref="C52:K52" si="3">IF($B$25="N/A",C45,C45+$B$25)</f>
        <v>-151896.31686586683</v>
      </c>
      <c r="D52" s="1223">
        <f t="shared" si="3"/>
        <v>-151896.31686586683</v>
      </c>
      <c r="E52" s="1223">
        <f t="shared" si="3"/>
        <v>-151896.31686586683</v>
      </c>
      <c r="F52" s="1223">
        <f t="shared" si="3"/>
        <v>-151896.31686586683</v>
      </c>
      <c r="G52" s="1223">
        <f t="shared" si="3"/>
        <v>-151896.31686586683</v>
      </c>
      <c r="H52" s="1223">
        <f t="shared" si="3"/>
        <v>-151896.31686586683</v>
      </c>
      <c r="I52" s="1223">
        <f t="shared" si="3"/>
        <v>-151896.31686586683</v>
      </c>
      <c r="J52" s="1223">
        <f t="shared" si="3"/>
        <v>-151896.31686586683</v>
      </c>
      <c r="K52" s="1223">
        <f t="shared" si="3"/>
        <v>-151896.31686586683</v>
      </c>
    </row>
    <row r="53" spans="1:17">
      <c r="A53" s="1221" t="s">
        <v>3445</v>
      </c>
      <c r="B53" s="1222">
        <f>+'Part VI-Pro Forma'!B31</f>
        <v>-6000</v>
      </c>
      <c r="C53" s="1222">
        <f>+'Part VI-Pro Forma'!C31</f>
        <v>-6000</v>
      </c>
      <c r="D53" s="1222">
        <f>+'Part VI-Pro Forma'!D31</f>
        <v>-6000</v>
      </c>
      <c r="E53" s="1222">
        <f>+'Part VI-Pro Forma'!E31</f>
        <v>-6000</v>
      </c>
      <c r="F53" s="1222">
        <f>+'Part VI-Pro Forma'!F31</f>
        <v>-6000</v>
      </c>
      <c r="G53" s="1222">
        <f>+'Part VI-Pro Forma'!G31</f>
        <v>-6000</v>
      </c>
      <c r="H53" s="1222">
        <f>+'Part VI-Pro Forma'!H31</f>
        <v>-6000</v>
      </c>
      <c r="I53" s="1222">
        <f>+'Part VI-Pro Forma'!I31</f>
        <v>-6000</v>
      </c>
      <c r="J53" s="1222">
        <f>+'Part VI-Pro Forma'!J31</f>
        <v>-6000</v>
      </c>
      <c r="K53" s="1222">
        <f>+'Part VI-Pro Forma'!K31</f>
        <v>-6000</v>
      </c>
    </row>
    <row r="54" spans="1:17">
      <c r="A54" s="1221" t="s">
        <v>3446</v>
      </c>
      <c r="B54" s="1223">
        <f>+SUM(B51:B53)</f>
        <v>33307.163134133152</v>
      </c>
      <c r="C54" s="1223">
        <f t="shared" ref="C54:K54" si="4">+SUM(C51:C53)</f>
        <v>32915.622734133096</v>
      </c>
      <c r="D54" s="1223">
        <f t="shared" si="4"/>
        <v>32390.54362613312</v>
      </c>
      <c r="E54" s="1223">
        <f t="shared" si="4"/>
        <v>31724.68159897314</v>
      </c>
      <c r="F54" s="1223">
        <f t="shared" si="4"/>
        <v>30911.553754159977</v>
      </c>
      <c r="G54" s="1223">
        <f t="shared" si="4"/>
        <v>29944.430318027298</v>
      </c>
      <c r="H54" s="1223">
        <f t="shared" si="4"/>
        <v>28814.326187715807</v>
      </c>
      <c r="I54" s="1223">
        <f t="shared" si="4"/>
        <v>27515.992202578258</v>
      </c>
      <c r="J54" s="1223">
        <f t="shared" si="4"/>
        <v>26039.906132352189</v>
      </c>
      <c r="K54" s="1223">
        <f t="shared" si="4"/>
        <v>24379.263373173366</v>
      </c>
    </row>
    <row r="55" spans="1:17">
      <c r="A55" s="1221" t="s">
        <v>3364</v>
      </c>
      <c r="B55" s="1223">
        <f>-B54</f>
        <v>-33307.163134133152</v>
      </c>
      <c r="C55" s="1223">
        <f t="shared" ref="C55:K55" si="5">-C54</f>
        <v>-32915.622734133096</v>
      </c>
      <c r="D55" s="1223">
        <f t="shared" si="5"/>
        <v>-32390.54362613312</v>
      </c>
      <c r="E55" s="1223">
        <f t="shared" si="5"/>
        <v>-31724.68159897314</v>
      </c>
      <c r="F55" s="1223">
        <f t="shared" si="5"/>
        <v>-30911.553754159977</v>
      </c>
      <c r="G55" s="1223">
        <f t="shared" si="5"/>
        <v>-29944.430318027298</v>
      </c>
      <c r="H55" s="1223">
        <f t="shared" si="5"/>
        <v>-28814.326187715807</v>
      </c>
      <c r="I55" s="1223">
        <f t="shared" si="5"/>
        <v>-27515.992202578258</v>
      </c>
      <c r="J55" s="1223">
        <f t="shared" si="5"/>
        <v>-26039.906132352189</v>
      </c>
      <c r="K55" s="1223">
        <f t="shared" si="5"/>
        <v>-24379.263373173366</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1587599.1025235092</v>
      </c>
      <c r="C58" s="1222">
        <f>IF($B$26="","",-FV('Part II-Sources of Funds'!$K$40/12,12,C52/12,B58))</f>
        <v>1521367.694049641</v>
      </c>
      <c r="D58" s="1222">
        <f>IF($B$26="","",-FV('Part II-Sources of Funds'!$K$40/12,12,D52/12,C58))</f>
        <v>1451400.3135334414</v>
      </c>
      <c r="E58" s="1222">
        <f>IF($B$26="","",-FV('Part II-Sources of Funds'!$K$40/12,12,E52/12,D58))</f>
        <v>1377486.2227855425</v>
      </c>
      <c r="F58" s="1222">
        <f>IF($B$26="","",-FV('Part II-Sources of Funds'!$K$40/12,12,F52/12,E58))</f>
        <v>1299402.7963262124</v>
      </c>
      <c r="G58" s="1222">
        <f>IF($B$26="","",-FV('Part II-Sources of Funds'!$K$40/12,12,G52/12,F58))</f>
        <v>1216914.85084874</v>
      </c>
      <c r="H58" s="1222">
        <f>IF($B$26="","",-FV('Part II-Sources of Funds'!$K$40/12,12,H52/12,G58))</f>
        <v>1129773.9368592848</v>
      </c>
      <c r="I58" s="1222">
        <f>IF($B$26="","",-FV('Part II-Sources of Funds'!$K$40/12,12,I52/12,H58))</f>
        <v>1037717.5903596445</v>
      </c>
      <c r="J58" s="1222">
        <f>IF($B$26="","",-FV('Part II-Sources of Funds'!$K$40/12,12,J52/12,I58))</f>
        <v>940468.54231905006</v>
      </c>
      <c r="K58" s="1222">
        <f>IF($B$26="","",-FV('Part II-Sources of Funds'!$K$40/12,12,K52/12,J58))</f>
        <v>837733.88355395547</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ht="13">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180422.28420810367</v>
      </c>
      <c r="C64" s="1222">
        <f>+'Part VI-Pro Forma'!C57</f>
        <v>178365.93642747676</v>
      </c>
      <c r="D64" s="1222">
        <f>+'Part VI-Pro Forma'!D57</f>
        <v>176098.82628729384</v>
      </c>
      <c r="E64" s="1222">
        <f>+'Part VI-Pro Forma'!E57</f>
        <v>173610.92047824501</v>
      </c>
      <c r="F64" s="1222">
        <f>+'Part VI-Pro Forma'!F57</f>
        <v>170893.85208297157</v>
      </c>
      <c r="G64" s="1222">
        <f>+'Part VI-Pro Forma'!G57</f>
        <v>167935.90931564712</v>
      </c>
      <c r="H64" s="1222">
        <f>+'Part VI-Pro Forma'!H57</f>
        <v>164728.02389870744</v>
      </c>
      <c r="I64" s="1222">
        <f>+'Part VI-Pro Forma'!I57</f>
        <v>161258.75906533108</v>
      </c>
      <c r="J64" s="1222">
        <f>+'Part VI-Pro Forma'!J57</f>
        <v>157517.29717594635</v>
      </c>
      <c r="K64" s="1222">
        <f>+'Part VI-Pro Forma'!K57</f>
        <v>153492.42693665327</v>
      </c>
    </row>
    <row r="65" spans="1:11">
      <c r="A65" s="1221" t="s">
        <v>3441</v>
      </c>
      <c r="B65" s="1222">
        <f>SUM('Part VI-Pro Forma'!B58:B61)</f>
        <v>-136782.27860706521</v>
      </c>
      <c r="C65" s="1222">
        <f>SUM('Part VI-Pro Forma'!C58:C61)</f>
        <v>-136782.27860706521</v>
      </c>
      <c r="D65" s="1222">
        <f>SUM('Part VI-Pro Forma'!D58:D61)</f>
        <v>-136782.27860706521</v>
      </c>
      <c r="E65" s="1222">
        <f>SUM('Part VI-Pro Forma'!E58:E61)</f>
        <v>-136782.27860706521</v>
      </c>
      <c r="F65" s="1222">
        <f>SUM('Part VI-Pro Forma'!F58:F61)</f>
        <v>-136782.27860706521</v>
      </c>
      <c r="G65" s="1222">
        <f>SUM('Part VI-Pro Forma'!G58:G61)</f>
        <v>-136782.27860706521</v>
      </c>
      <c r="H65" s="1222">
        <f>SUM('Part VI-Pro Forma'!H58:H61)</f>
        <v>-136782.27860706521</v>
      </c>
      <c r="I65" s="1222">
        <f>SUM('Part VI-Pro Forma'!I58:I61)</f>
        <v>-136782.27860706521</v>
      </c>
      <c r="J65" s="1222">
        <f>SUM('Part VI-Pro Forma'!J58:J61)</f>
        <v>-136782.27860706521</v>
      </c>
      <c r="K65" s="1222">
        <f>SUM('Part VI-Pro Forma'!K58:K61)</f>
        <v>-136782.27860706521</v>
      </c>
    </row>
    <row r="66" spans="1:11">
      <c r="A66" s="1221" t="s">
        <v>3442</v>
      </c>
      <c r="B66" s="1223">
        <f t="shared" ref="B66:K66" si="7">-B64/B68-B65</f>
        <v>-13569.624899687857</v>
      </c>
      <c r="C66" s="1223">
        <f t="shared" si="7"/>
        <v>-11856.001749165443</v>
      </c>
      <c r="D66" s="1223">
        <f t="shared" si="7"/>
        <v>-9966.7432990130037</v>
      </c>
      <c r="E66" s="1223">
        <f t="shared" si="7"/>
        <v>-7893.4884581389779</v>
      </c>
      <c r="F66" s="1223">
        <f t="shared" si="7"/>
        <v>-5629.2647954111162</v>
      </c>
      <c r="G66" s="1223">
        <f t="shared" si="7"/>
        <v>-3164.3124893073982</v>
      </c>
      <c r="H66" s="1223">
        <f t="shared" si="7"/>
        <v>-491.07464185767458</v>
      </c>
      <c r="I66" s="1223">
        <f t="shared" si="7"/>
        <v>2399.9793859559577</v>
      </c>
      <c r="J66" s="1223">
        <f t="shared" si="7"/>
        <v>5517.864293776569</v>
      </c>
      <c r="K66" s="1223">
        <f t="shared" si="7"/>
        <v>8871.9228265208076</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ht="13">
      <c r="A70" s="1220" t="s">
        <v>1097</v>
      </c>
    </row>
    <row r="71" spans="1:11">
      <c r="A71" s="1221" t="s">
        <v>1130</v>
      </c>
      <c r="B71" s="1223">
        <f t="shared" ref="B71:G71" si="9">+B64</f>
        <v>180422.28420810367</v>
      </c>
      <c r="C71" s="1223">
        <f t="shared" si="9"/>
        <v>178365.93642747676</v>
      </c>
      <c r="D71" s="1223">
        <f t="shared" si="9"/>
        <v>176098.82628729384</v>
      </c>
      <c r="E71" s="1223">
        <f t="shared" si="9"/>
        <v>173610.92047824501</v>
      </c>
      <c r="F71" s="1223">
        <f t="shared" si="9"/>
        <v>170893.85208297157</v>
      </c>
      <c r="G71" s="1223">
        <f t="shared" si="9"/>
        <v>167935.90931564712</v>
      </c>
      <c r="H71" s="1223">
        <f>+H64</f>
        <v>164728.02389870744</v>
      </c>
      <c r="I71" s="1223">
        <f>+I64</f>
        <v>161258.75906533108</v>
      </c>
      <c r="J71" s="1223">
        <f>+J64</f>
        <v>157517.29717594635</v>
      </c>
      <c r="K71" s="1223">
        <f>+K64</f>
        <v>153492.42693665327</v>
      </c>
    </row>
    <row r="72" spans="1:11">
      <c r="A72" s="1221" t="s">
        <v>3444</v>
      </c>
      <c r="B72" s="1223">
        <f t="shared" ref="B72:G72" si="10">IF($B$25="N/A",B65,B65+$B$25)</f>
        <v>-151896.31686586683</v>
      </c>
      <c r="C72" s="1223">
        <f t="shared" si="10"/>
        <v>-151896.31686586683</v>
      </c>
      <c r="D72" s="1223">
        <f t="shared" si="10"/>
        <v>-151896.31686586683</v>
      </c>
      <c r="E72" s="1223">
        <f t="shared" si="10"/>
        <v>-151896.31686586683</v>
      </c>
      <c r="F72" s="1223">
        <f t="shared" si="10"/>
        <v>-151896.31686586683</v>
      </c>
      <c r="G72" s="1223">
        <f t="shared" si="10"/>
        <v>-151896.31686586683</v>
      </c>
      <c r="H72" s="1223">
        <f>IF($B$25="N/A",H65,H65+$B$25)</f>
        <v>-151896.31686586683</v>
      </c>
      <c r="I72" s="1223">
        <f>IF($B$25="N/A",I65,I65+$B$25)</f>
        <v>-151896.31686586683</v>
      </c>
      <c r="J72" s="1223">
        <f>IF($B$25="N/A",J65,J65+$B$25)</f>
        <v>-151896.31686586683</v>
      </c>
      <c r="K72" s="1223">
        <f>IF($B$25="N/A",K65,K65+$B$25)</f>
        <v>-151896.31686586683</v>
      </c>
    </row>
    <row r="73" spans="1:11">
      <c r="A73" s="1221" t="s">
        <v>3445</v>
      </c>
      <c r="B73" s="1222">
        <f>+'Part VI-Pro Forma'!B63</f>
        <v>-6000</v>
      </c>
      <c r="C73" s="1222">
        <f>+'Part VI-Pro Forma'!C63</f>
        <v>-6000</v>
      </c>
      <c r="D73" s="1222">
        <f>+'Part VI-Pro Forma'!D63</f>
        <v>-6000</v>
      </c>
      <c r="E73" s="1222">
        <f>+'Part VI-Pro Forma'!E63</f>
        <v>-6000</v>
      </c>
      <c r="F73" s="1222">
        <f>+'Part VI-Pro Forma'!F63</f>
        <v>-6000</v>
      </c>
      <c r="G73" s="1222">
        <f>+'Part VI-Pro Forma'!G63</f>
        <v>-6000</v>
      </c>
      <c r="H73" s="1222">
        <f>+'Part VI-Pro Forma'!H63</f>
        <v>-6000</v>
      </c>
      <c r="I73" s="1222">
        <f>+'Part VI-Pro Forma'!I63</f>
        <v>-6000</v>
      </c>
      <c r="J73" s="1222">
        <f>+'Part VI-Pro Forma'!J63</f>
        <v>-6000</v>
      </c>
      <c r="K73" s="1222">
        <f>+'Part VI-Pro Forma'!K63</f>
        <v>-6000</v>
      </c>
    </row>
    <row r="74" spans="1:11">
      <c r="A74" s="1221" t="s">
        <v>3446</v>
      </c>
      <c r="B74" s="1223">
        <f t="shared" ref="B74:G74" si="11">+SUM(B71:B73)</f>
        <v>22525.967342236836</v>
      </c>
      <c r="C74" s="1223">
        <f t="shared" si="11"/>
        <v>20469.619561609928</v>
      </c>
      <c r="D74" s="1223">
        <f t="shared" si="11"/>
        <v>18202.509421427007</v>
      </c>
      <c r="E74" s="1223">
        <f t="shared" si="11"/>
        <v>15714.603612378181</v>
      </c>
      <c r="F74" s="1223">
        <f t="shared" si="11"/>
        <v>12997.535217104742</v>
      </c>
      <c r="G74" s="1223">
        <f t="shared" si="11"/>
        <v>10039.592449780292</v>
      </c>
      <c r="H74" s="1223">
        <f>+SUM(H71:H73)</f>
        <v>6831.7070328406116</v>
      </c>
      <c r="I74" s="1223">
        <f>+SUM(I71:I73)</f>
        <v>3362.4421994642471</v>
      </c>
      <c r="J74" s="1223">
        <f>+SUM(J71:J73)</f>
        <v>-379.01968992047478</v>
      </c>
      <c r="K74" s="1223">
        <f>+SUM(K71:K73)</f>
        <v>-4403.8899292135611</v>
      </c>
    </row>
    <row r="75" spans="1:11">
      <c r="A75" s="1221" t="s">
        <v>3364</v>
      </c>
      <c r="B75" s="1223">
        <f t="shared" ref="B75:G75" si="12">-B74</f>
        <v>-22525.967342236836</v>
      </c>
      <c r="C75" s="1223">
        <f t="shared" si="12"/>
        <v>-20469.619561609928</v>
      </c>
      <c r="D75" s="1223">
        <f t="shared" si="12"/>
        <v>-18202.509421427007</v>
      </c>
      <c r="E75" s="1223">
        <f t="shared" si="12"/>
        <v>-15714.603612378181</v>
      </c>
      <c r="F75" s="1223">
        <f t="shared" si="12"/>
        <v>-12997.535217104742</v>
      </c>
      <c r="G75" s="1223">
        <f t="shared" si="12"/>
        <v>-10039.592449780292</v>
      </c>
      <c r="H75" s="1223">
        <f>-H74</f>
        <v>-6831.7070328406116</v>
      </c>
      <c r="I75" s="1223">
        <f>-I74</f>
        <v>-3362.4421994642471</v>
      </c>
      <c r="J75" s="1223">
        <f>-J74</f>
        <v>379.01968992047478</v>
      </c>
      <c r="K75" s="1223">
        <f>-K74</f>
        <v>4403.8899292135611</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729204.18250048382</v>
      </c>
      <c r="C78" s="1222">
        <f>IF($B$26="","",-FV('Part II-Sources of Funds'!$K$40/12,12,C72/12,B78))</f>
        <v>614552.55322230398</v>
      </c>
      <c r="D78" s="1222">
        <f>IF($B$26="","",-FV('Part II-Sources of Funds'!$K$40/12,12,D72/12,C78))</f>
        <v>493433.6708468264</v>
      </c>
      <c r="E78" s="1222">
        <f>IF($B$26="","",-FV('Part II-Sources of Funds'!$K$40/12,12,E72/12,D78))</f>
        <v>365482.73146426084</v>
      </c>
      <c r="F78" s="1222">
        <f>IF($B$26="","",-FV('Part II-Sources of Funds'!$K$40/12,12,F72/12,E78))</f>
        <v>230314.35335680543</v>
      </c>
      <c r="G78" s="1222">
        <f>IF($B$26="","",-FV('Part II-Sources of Funds'!$K$40/12,12,G72/12,F78))</f>
        <v>87521.416248525406</v>
      </c>
      <c r="H78" s="1222">
        <f>IF($B$26="","",-FV('Part II-Sources of Funds'!$K$40/12,12,H72/12,G78))</f>
        <v>-63326.164920199008</v>
      </c>
      <c r="I78" s="1222">
        <f>IF($B$26="","",-FV('Part II-Sources of Funds'!$K$40/12,12,I72/12,H78))</f>
        <v>-222682.73538698454</v>
      </c>
      <c r="J78" s="1222">
        <f>IF($B$26="","",-FV('Part II-Sources of Funds'!$K$40/12,12,J72/12,I78))</f>
        <v>-391028.26903217821</v>
      </c>
      <c r="K78" s="1222">
        <f>IF($B$26="","",-FV('Part II-Sources of Funds'!$K$40/12,12,K72/12,J78))</f>
        <v>-568869.81403575849</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663" customWidth="1"/>
    <col min="2" max="2" width="1.81640625" style="663" customWidth="1"/>
    <col min="3" max="3" width="13" style="663" customWidth="1"/>
    <col min="4" max="4" width="11.1796875" style="663" customWidth="1"/>
    <col min="5" max="5" width="14.81640625" style="663" customWidth="1"/>
    <col min="6" max="6" width="15.1796875" style="663" customWidth="1"/>
    <col min="7" max="7" width="11.81640625" style="663" customWidth="1"/>
    <col min="8" max="8" width="11.453125" style="663" customWidth="1"/>
    <col min="9" max="9" width="10.54296875" style="663" customWidth="1"/>
    <col min="10" max="10" width="6" style="663" customWidth="1"/>
    <col min="11" max="11" width="12.81640625" style="663" customWidth="1"/>
    <col min="12" max="12" width="10.81640625" style="663" customWidth="1"/>
    <col min="13" max="13" width="26.1796875" style="663" customWidth="1"/>
    <col min="14" max="14" width="9.1796875" style="663"/>
    <col min="15" max="15" width="12.453125" style="663" customWidth="1"/>
    <col min="16" max="16" width="9.1796875" style="663"/>
    <col min="17" max="17" width="11.81640625" style="663" bestFit="1" customWidth="1"/>
    <col min="18" max="16384" width="9.1796875" style="663"/>
  </cols>
  <sheetData>
    <row r="1" spans="1:15" ht="13.5" customHeight="1">
      <c r="A1" s="664" t="s">
        <v>2707</v>
      </c>
      <c r="B1" s="748"/>
      <c r="C1" s="663" t="str">
        <f>'Sensitivity Analysis'!C8</f>
        <v>Villa Rica Senior</v>
      </c>
    </row>
    <row r="2" spans="1:15" ht="13.5" customHeight="1"/>
    <row r="3" spans="1:15" ht="13.5" customHeight="1">
      <c r="A3" s="664" t="s">
        <v>2708</v>
      </c>
      <c r="C3" s="663" t="s">
        <v>2709</v>
      </c>
      <c r="E3" s="749">
        <f>SUM('Part III-A-Uses of Funds'!J162,'Part III-A-Uses of Funds'!M162,'Part III-A-Uses of Funds'!P162)</f>
        <v>14909631.5</v>
      </c>
      <c r="F3" s="1299" t="s">
        <v>2710</v>
      </c>
      <c r="H3" s="1279">
        <v>27.5</v>
      </c>
      <c r="I3" s="663" t="s">
        <v>2274</v>
      </c>
      <c r="K3" s="668" t="s">
        <v>2731</v>
      </c>
      <c r="M3" s="1299"/>
      <c r="O3" s="750"/>
    </row>
    <row r="4" spans="1:15" ht="13.5" customHeight="1">
      <c r="C4" s="663" t="s">
        <v>3130</v>
      </c>
      <c r="E4" s="749">
        <f>SUM('Part III-A-Uses of Funds'!G97:H101)</f>
        <v>75500</v>
      </c>
      <c r="F4" s="1299" t="s">
        <v>3664</v>
      </c>
      <c r="H4" s="664">
        <f>'Part II-Sources of Funds'!M40</f>
        <v>40</v>
      </c>
      <c r="I4" s="663" t="s">
        <v>2274</v>
      </c>
      <c r="K4" s="751" t="s">
        <v>2959</v>
      </c>
      <c r="M4" s="1299"/>
    </row>
    <row r="5" spans="1:15" ht="13.5" customHeight="1">
      <c r="C5" s="663" t="s">
        <v>3131</v>
      </c>
      <c r="E5" s="749">
        <f>SUM('Part III-A-Uses of Funds'!G105:H111)</f>
        <v>154500</v>
      </c>
      <c r="F5" s="1299" t="s">
        <v>3663</v>
      </c>
      <c r="H5" s="1279">
        <v>15</v>
      </c>
      <c r="I5" s="663" t="s">
        <v>2274</v>
      </c>
      <c r="K5" s="750">
        <f>-E6</f>
        <v>-14499100</v>
      </c>
    </row>
    <row r="6" spans="1:15" ht="13.5" customHeight="1">
      <c r="C6" s="663" t="s">
        <v>2711</v>
      </c>
      <c r="E6" s="752">
        <f>'Part II-Sources of Funds'!$I$51+'Part II-Sources of Funds'!$I$52</f>
        <v>14499100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v>
      </c>
      <c r="D9" s="757">
        <f>'Part VI-Pro Forma'!C33</f>
        <v>0</v>
      </c>
      <c r="E9" s="757">
        <f>'Part VI-Pro Forma'!D33</f>
        <v>0</v>
      </c>
      <c r="F9" s="757">
        <f>'Part VI-Pro Forma'!E33</f>
        <v>0</v>
      </c>
      <c r="G9" s="757">
        <f>'Part VI-Pro Forma'!F33</f>
        <v>0</v>
      </c>
      <c r="H9" s="757">
        <f>'Part VI-Pro Forma'!G33</f>
        <v>0</v>
      </c>
      <c r="I9" s="757">
        <f>'Part VI-Pro Forma'!H33</f>
        <v>0</v>
      </c>
      <c r="K9" s="750" t="e">
        <f>F24</f>
        <v>#VALUE!</v>
      </c>
      <c r="N9" s="758" t="s">
        <v>2717</v>
      </c>
    </row>
    <row r="10" spans="1:15" ht="13.5" customHeight="1">
      <c r="A10" s="663" t="s">
        <v>2716</v>
      </c>
      <c r="C10" s="1248">
        <f>'Part II-Sources of Funds'!I40-'Part VI-Pro Forma'!B40</f>
        <v>15622.186273107771</v>
      </c>
      <c r="D10" s="759">
        <f>'Part VI-Pro Forma'!B40-'Part VI-Pro Forma'!C40</f>
        <v>16503.400375317782</v>
      </c>
      <c r="E10" s="759">
        <f>'Part VI-Pro Forma'!C40-'Part VI-Pro Forma'!D40</f>
        <v>17434.321879575495</v>
      </c>
      <c r="F10" s="759">
        <f>'Part VI-Pro Forma'!D40-'Part VI-Pro Forma'!E40</f>
        <v>18417.754674075171</v>
      </c>
      <c r="G10" s="759">
        <f>'Part VI-Pro Forma'!E40-'Part VI-Pro Forma'!F40</f>
        <v>19456.660808345303</v>
      </c>
      <c r="H10" s="759">
        <f>'Part VI-Pro Forma'!F40-'Part VI-Pro Forma'!G40</f>
        <v>20554.169414791279</v>
      </c>
      <c r="I10" s="759">
        <f>'Part VI-Pro Forma'!G40-'Part VI-Pro Forma'!H40</f>
        <v>21713.586133481236</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-15000</v>
      </c>
      <c r="D13" s="1249">
        <f>'Part VI-Pro Forma'!C23</f>
        <v>-15450</v>
      </c>
      <c r="E13" s="1249">
        <f>'Part VI-Pro Forma'!D23</f>
        <v>-15913.5</v>
      </c>
      <c r="F13" s="1249">
        <f>'Part VI-Pro Forma'!E23</f>
        <v>-16390.904999999999</v>
      </c>
      <c r="G13" s="1249">
        <f>'Part VI-Pro Forma'!F23</f>
        <v>-16882.632149999998</v>
      </c>
      <c r="H13" s="1249">
        <f>'Part VI-Pro Forma'!G23</f>
        <v>-17389.111114499996</v>
      </c>
      <c r="I13" s="1249">
        <f>'Part VI-Pro Forma'!H23</f>
        <v>-17910.784447934999</v>
      </c>
      <c r="K13" s="750" t="e">
        <f>C44</f>
        <v>#VALUE!</v>
      </c>
      <c r="O13" s="755"/>
    </row>
    <row r="14" spans="1:15" ht="13.5" customHeight="1">
      <c r="A14" s="761" t="s">
        <v>3133</v>
      </c>
      <c r="B14" s="762"/>
      <c r="C14" s="1249">
        <f>'Part VI-Pro Forma'!B32</f>
        <v>-48421.201392934774</v>
      </c>
      <c r="D14" s="1249">
        <f>'Part VI-Pro Forma'!C32</f>
        <v>-48029.660992934718</v>
      </c>
      <c r="E14" s="1249">
        <f>'Part VI-Pro Forma'!D32</f>
        <v>-47504.581884934742</v>
      </c>
      <c r="F14" s="1249">
        <f>'Part VI-Pro Forma'!E32</f>
        <v>-46838.719857774762</v>
      </c>
      <c r="G14" s="1249">
        <f>'Part VI-Pro Forma'!F32</f>
        <v>-46025.592012961599</v>
      </c>
      <c r="H14" s="1249">
        <f>'Part VI-Pro Forma'!G32</f>
        <v>-45058.46857682892</v>
      </c>
      <c r="I14" s="1249">
        <f>'Part VI-Pro Forma'!H32</f>
        <v>-43928.364446517429</v>
      </c>
      <c r="K14" s="750" t="e">
        <f>D44</f>
        <v>#VALUE!</v>
      </c>
      <c r="M14" s="663" t="s">
        <v>2723</v>
      </c>
      <c r="O14" s="755" t="e">
        <f>O6-O8-O12</f>
        <v>#VALUE!</v>
      </c>
    </row>
    <row r="15" spans="1:15" ht="13.5" customHeight="1">
      <c r="A15" s="763" t="s">
        <v>2719</v>
      </c>
      <c r="C15" s="764">
        <f t="shared" ref="C15:I15" si="0">$E$3/$H$3</f>
        <v>542168.41818181821</v>
      </c>
      <c r="D15" s="764">
        <f t="shared" si="0"/>
        <v>542168.41818181821</v>
      </c>
      <c r="E15" s="764">
        <f t="shared" si="0"/>
        <v>542168.41818181821</v>
      </c>
      <c r="F15" s="764">
        <f t="shared" si="0"/>
        <v>542168.41818181821</v>
      </c>
      <c r="G15" s="764">
        <f t="shared" si="0"/>
        <v>542168.41818181821</v>
      </c>
      <c r="H15" s="764">
        <f t="shared" si="0"/>
        <v>542168.41818181821</v>
      </c>
      <c r="I15" s="764">
        <f t="shared" si="0"/>
        <v>542168.41818181821</v>
      </c>
      <c r="K15" s="750" t="e">
        <f>E44</f>
        <v>#VALUE!</v>
      </c>
      <c r="O15" s="755"/>
    </row>
    <row r="16" spans="1:15" ht="13.5" customHeight="1">
      <c r="A16" s="763" t="s">
        <v>2721</v>
      </c>
      <c r="C16" s="764">
        <f>IF(C$8&lt;=$H$4,($E$4/$H$4),0)+IF(C$8&lt;=$H$5,($E$5/$H$5),0)</f>
        <v>12187.5</v>
      </c>
      <c r="D16" s="764">
        <f t="shared" ref="D16:I16" si="1">IF(D$8&lt;=$H$4,($E$4/$H$4),0)+IF(D$8&lt;=$H$5,($E$5/$H$5),0)</f>
        <v>12187.5</v>
      </c>
      <c r="E16" s="764">
        <f t="shared" si="1"/>
        <v>12187.5</v>
      </c>
      <c r="F16" s="764">
        <f t="shared" si="1"/>
        <v>12187.5</v>
      </c>
      <c r="G16" s="764">
        <f t="shared" si="1"/>
        <v>12187.5</v>
      </c>
      <c r="H16" s="764">
        <f t="shared" si="1"/>
        <v>12187.5</v>
      </c>
      <c r="I16" s="764">
        <f t="shared" si="1"/>
        <v>12187.5</v>
      </c>
      <c r="K16" s="750" t="e">
        <f>F44</f>
        <v>#VALUE!</v>
      </c>
      <c r="M16" s="663" t="s">
        <v>2725</v>
      </c>
      <c r="O16" s="755">
        <f>E3</f>
        <v>14909631.5</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10843368.363636363</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4066263.1363636367</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1000000</v>
      </c>
      <c r="D21" s="765">
        <f t="shared" ref="D21:I21" si="5">C21</f>
        <v>1000000</v>
      </c>
      <c r="E21" s="765">
        <f t="shared" si="5"/>
        <v>1000000</v>
      </c>
      <c r="F21" s="765">
        <f t="shared" si="5"/>
        <v>1000000</v>
      </c>
      <c r="G21" s="765">
        <f t="shared" si="5"/>
        <v>1000000</v>
      </c>
      <c r="H21" s="765">
        <f t="shared" si="5"/>
        <v>1000000</v>
      </c>
      <c r="I21" s="765">
        <f t="shared" si="5"/>
        <v>1000000</v>
      </c>
      <c r="J21" s="663" t="s">
        <v>233</v>
      </c>
      <c r="K21" s="750" t="e">
        <f>D64</f>
        <v>#VALUE!</v>
      </c>
      <c r="O21" s="755"/>
    </row>
    <row r="22" spans="1:17" ht="13.5" customHeight="1">
      <c r="A22" s="663" t="s">
        <v>2728</v>
      </c>
      <c r="C22" s="765">
        <f>C21</f>
        <v>1000000</v>
      </c>
      <c r="D22" s="765">
        <f t="shared" ref="D22:I22" si="6">D21</f>
        <v>1000000</v>
      </c>
      <c r="E22" s="765">
        <f t="shared" si="6"/>
        <v>1000000</v>
      </c>
      <c r="F22" s="765">
        <f t="shared" si="6"/>
        <v>1000000</v>
      </c>
      <c r="G22" s="765">
        <f t="shared" si="6"/>
        <v>1000000</v>
      </c>
      <c r="H22" s="765">
        <f t="shared" si="6"/>
        <v>1000000</v>
      </c>
      <c r="I22" s="765">
        <f t="shared" si="6"/>
        <v>1000000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4066263.1363636367</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-4066263.1363636367</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0</v>
      </c>
      <c r="D29" s="757">
        <f>'Part VI-Pro Forma'!J33</f>
        <v>10105.944391153811</v>
      </c>
      <c r="E29" s="757">
        <f>'Part VI-Pro Forma'!K33</f>
        <v>39493.301631974988</v>
      </c>
      <c r="F29" s="757">
        <f>'Part VI-Pro Forma'!B65</f>
        <v>37640.005601038458</v>
      </c>
      <c r="G29" s="757">
        <f>'Part VI-Pro Forma'!C65</f>
        <v>35583.65782041155</v>
      </c>
      <c r="H29" s="757">
        <f>'Part VI-Pro Forma'!D65</f>
        <v>33316.547680228628</v>
      </c>
      <c r="I29" s="757">
        <f>'Part VI-Pro Forma'!E65</f>
        <v>30828.641871179803</v>
      </c>
      <c r="N29" s="768"/>
      <c r="O29" s="768"/>
    </row>
    <row r="30" spans="1:17" ht="13.5" customHeight="1">
      <c r="A30" s="663" t="s">
        <v>2716</v>
      </c>
      <c r="C30" s="759">
        <f>'Part VI-Pro Forma'!H40-'Part VI-Pro Forma'!I40</f>
        <v>22938.403068568092</v>
      </c>
      <c r="D30" s="759">
        <f>'Part VI-Pro Forma'!I40-'Part VI-Pro Forma'!J40</f>
        <v>24232.309306326788</v>
      </c>
      <c r="E30" s="759">
        <f>'Part VI-Pro Forma'!J40-'Part VI-Pro Forma'!K40</f>
        <v>25599.202026497107</v>
      </c>
      <c r="F30" s="1246">
        <f>'Part VI-Pro Forma'!K40-'Part VI-Pro Forma'!B72</f>
        <v>27043.198240389116</v>
      </c>
      <c r="G30" s="1246">
        <f>'Part VI-Pro Forma'!B72-'Part VI-Pro Forma'!C72</f>
        <v>28568.647191111231</v>
      </c>
      <c r="H30" s="1246">
        <f>'Part VI-Pro Forma'!C72-'Part VI-Pro Forma'!D72</f>
        <v>30180.143453270895</v>
      </c>
      <c r="I30" s="1246">
        <f>'Part VI-Pro Forma'!D72-'Part VI-Pro Forma'!E72</f>
        <v>31882.540771598462</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-813252.62727272743</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-18448.10798137305</v>
      </c>
      <c r="D33" s="1249">
        <f>'Part VI-Pro Forma'!J23</f>
        <v>-19001.551220814239</v>
      </c>
      <c r="E33" s="1249">
        <f>'Part VI-Pro Forma'!K23</f>
        <v>-19571.597757438667</v>
      </c>
      <c r="F33" s="1249">
        <f>'Part VI-Pro Forma'!B55</f>
        <v>-20158.745690161828</v>
      </c>
      <c r="G33" s="1249">
        <f>'Part VI-Pro Forma'!C55</f>
        <v>-20763.508060866683</v>
      </c>
      <c r="H33" s="1249">
        <f>'Part VI-Pro Forma'!D55</f>
        <v>-21386.413302692679</v>
      </c>
      <c r="I33" s="1249">
        <f>'Part VI-Pro Forma'!E55</f>
        <v>-22028.005701773458</v>
      </c>
      <c r="K33" s="663" t="s">
        <v>233</v>
      </c>
      <c r="M33" s="663" t="s">
        <v>2736</v>
      </c>
      <c r="O33" s="757" t="e">
        <f>O14-O31</f>
        <v>#VALUE!</v>
      </c>
    </row>
    <row r="34" spans="1:15" ht="13.5" customHeight="1">
      <c r="A34" s="761" t="s">
        <v>3133</v>
      </c>
      <c r="B34" s="762"/>
      <c r="C34" s="1249">
        <f>'Part VI-Pro Forma'!I32</f>
        <v>-42630.03046137988</v>
      </c>
      <c r="D34" s="1249">
        <f>'Part VI-Pro Forma'!J32</f>
        <v>-31048</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542168.41818181821</v>
      </c>
      <c r="D35" s="764">
        <f t="shared" si="8"/>
        <v>542168.41818181821</v>
      </c>
      <c r="E35" s="764">
        <f t="shared" si="8"/>
        <v>542168.41818181821</v>
      </c>
      <c r="F35" s="764">
        <f t="shared" si="8"/>
        <v>542168.41818181821</v>
      </c>
      <c r="G35" s="764">
        <f t="shared" si="8"/>
        <v>542168.41818181821</v>
      </c>
      <c r="H35" s="764">
        <f t="shared" si="8"/>
        <v>542168.41818181821</v>
      </c>
      <c r="I35" s="764">
        <f t="shared" si="8"/>
        <v>542168.41818181821</v>
      </c>
    </row>
    <row r="36" spans="1:15" ht="13.5" customHeight="1">
      <c r="A36" s="763" t="s">
        <v>2721</v>
      </c>
      <c r="C36" s="757">
        <f>IF(C$28&lt;=$H$4,($E$4/$H$4),0)+IF(C$28&lt;=$H$5,($E$5/$H$5),0)</f>
        <v>12187.5</v>
      </c>
      <c r="D36" s="757">
        <f t="shared" ref="D36:I36" si="9">IF(D$28&lt;=$H$4,($E$4/$H$4),0)+IF(D$28&lt;=$H$5,($E$5/$H$5),0)</f>
        <v>12187.5</v>
      </c>
      <c r="E36" s="757">
        <f t="shared" si="9"/>
        <v>12187.5</v>
      </c>
      <c r="F36" s="757">
        <f t="shared" si="9"/>
        <v>12187.5</v>
      </c>
      <c r="G36" s="757">
        <f t="shared" si="9"/>
        <v>12187.5</v>
      </c>
      <c r="H36" s="757">
        <f t="shared" si="9"/>
        <v>12187.5</v>
      </c>
      <c r="I36" s="757">
        <f t="shared" si="9"/>
        <v>12187.5</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1000000</v>
      </c>
      <c r="D41" s="765">
        <f>C41</f>
        <v>1000000</v>
      </c>
      <c r="E41" s="765">
        <f>D41</f>
        <v>1000000</v>
      </c>
      <c r="F41" s="765">
        <v>0</v>
      </c>
      <c r="G41" s="765">
        <v>0</v>
      </c>
      <c r="H41" s="765">
        <v>0</v>
      </c>
      <c r="I41" s="765">
        <v>0</v>
      </c>
    </row>
    <row r="42" spans="1:15" ht="13.5" customHeight="1">
      <c r="A42" s="663" t="s">
        <v>2728</v>
      </c>
      <c r="C42" s="765">
        <f>C22</f>
        <v>1000000</v>
      </c>
      <c r="D42" s="765">
        <f>C42</f>
        <v>1000000</v>
      </c>
      <c r="E42" s="765">
        <f>D42</f>
        <v>1000000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28111.573475906363</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33680.966680178884</v>
      </c>
      <c r="D50" s="1247">
        <f>'Part VI-Pro Forma'!F72-'Part VI-Pro Forma'!G72</f>
        <v>35580.837946324376</v>
      </c>
      <c r="E50" s="1247">
        <f>'Part VI-Pro Forma'!G72-'Part VI-Pro Forma'!H72</f>
        <v>37587.876885601087</v>
      </c>
      <c r="F50" s="1247">
        <f>'Part VI-Pro Forma'!H72-'Part VI-Pro Forma'!I72</f>
        <v>39708.128597152652</v>
      </c>
      <c r="G50" s="1247">
        <f>'Part VI-Pro Forma'!I72-'Part VI-Pro Forma'!J72</f>
        <v>41947.979171231855</v>
      </c>
      <c r="H50" s="1247">
        <f>'Part VI-Pro Forma'!J72-'Part VI-Pro Forma'!K72</f>
        <v>44314.174923778046</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-22688.845872826667</v>
      </c>
      <c r="D53" s="1249">
        <f>'Part VI-Pro Forma'!G55</f>
        <v>-23369.511249011466</v>
      </c>
      <c r="E53" s="1249">
        <f>'Part VI-Pro Forma'!H55</f>
        <v>-24070.596586481806</v>
      </c>
      <c r="F53" s="1249">
        <f>'Part VI-Pro Forma'!I55</f>
        <v>-24792.714484076259</v>
      </c>
      <c r="G53" s="1249">
        <f>'Part VI-Pro Forma'!J55</f>
        <v>-25536.49591859855</v>
      </c>
      <c r="H53" s="1249">
        <f>'Part VI-Pro Forma'!K55</f>
        <v>-26302.590796156503</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542168.41818181821</v>
      </c>
      <c r="D55" s="764">
        <f t="shared" si="14"/>
        <v>542168.41818181821</v>
      </c>
      <c r="E55" s="764">
        <f t="shared" si="14"/>
        <v>542168.41818181821</v>
      </c>
      <c r="F55" s="764">
        <f t="shared" si="14"/>
        <v>542168.41818181821</v>
      </c>
      <c r="G55" s="764">
        <f t="shared" si="14"/>
        <v>542168.41818181821</v>
      </c>
      <c r="H55" s="764">
        <f t="shared" si="14"/>
        <v>542168.41818181821</v>
      </c>
    </row>
    <row r="56" spans="1:10" ht="13.5" customHeight="1">
      <c r="A56" s="763" t="s">
        <v>2721</v>
      </c>
      <c r="C56" s="757">
        <f t="shared" ref="C56:H56" si="15">IF(C$48&lt;=$H$4,($E$4/$H$4),0)+IF(C$48&lt;=$H$5,($E$5/$H$5),0)</f>
        <v>12187.5</v>
      </c>
      <c r="D56" s="757">
        <f t="shared" si="15"/>
        <v>1887.5</v>
      </c>
      <c r="E56" s="757">
        <f t="shared" si="15"/>
        <v>1887.5</v>
      </c>
      <c r="F56" s="757">
        <f t="shared" si="15"/>
        <v>1887.5</v>
      </c>
      <c r="G56" s="757">
        <f t="shared" si="15"/>
        <v>1887.5</v>
      </c>
      <c r="H56" s="757">
        <f t="shared" si="15"/>
        <v>1887.5</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2737</v>
      </c>
      <c r="G66" s="4576" t="e">
        <f>IRR(K5:K25)</f>
        <v>#VALUE!</v>
      </c>
      <c r="H66" s="4577"/>
      <c r="I66" s="770"/>
      <c r="J66" s="770"/>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110" zoomScaleNormal="110" workbookViewId="0">
      <selection activeCell="A45" sqref="A45:L45"/>
    </sheetView>
  </sheetViews>
  <sheetFormatPr defaultColWidth="9.1796875" defaultRowHeight="13"/>
  <cols>
    <col min="1" max="1" width="3.1796875" style="332" customWidth="1"/>
    <col min="2" max="2" width="2.1796875" style="342" customWidth="1"/>
    <col min="3" max="11" width="8.81640625" style="332" customWidth="1"/>
    <col min="12" max="12" width="4" style="332" customWidth="1"/>
    <col min="13" max="13" width="8.81640625" style="332" customWidth="1"/>
    <col min="14" max="14" width="9.26953125" style="332" customWidth="1"/>
    <col min="15" max="16" width="8.81640625" style="332" customWidth="1"/>
    <col min="17" max="17" width="9.1796875" style="332"/>
    <col min="18" max="18" width="10.26953125" style="332" bestFit="1" customWidth="1"/>
    <col min="19" max="19" width="9.1796875" style="332"/>
    <col min="20" max="20" width="10.26953125" style="332" bestFit="1" customWidth="1"/>
    <col min="21" max="25" width="9.1796875" style="332"/>
    <col min="26" max="26" width="9.1796875" style="2220"/>
    <col min="27" max="16384" width="9.179687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5" customHeight="1">
      <c r="A2" s="3352" t="str">
        <f>CONCATENATE("PART ONE - PROJECT INFORMATION"," - ",$O$7," ",$F$29,", ",'Part I-Project Identification'!F30,", ",'Part I-Project Identification'!J30," County")</f>
        <v>PART ONE - PROJECT INFORMATION - 2022-0 Villa Rica Senior, Villa Rica, Carroll County</v>
      </c>
      <c r="B2" s="3353"/>
      <c r="C2" s="3353"/>
      <c r="D2" s="3353"/>
      <c r="E2" s="3353"/>
      <c r="F2" s="3353"/>
      <c r="G2" s="3353"/>
      <c r="H2" s="3353"/>
      <c r="I2" s="3353"/>
      <c r="J2" s="3353"/>
      <c r="K2" s="3353"/>
      <c r="L2" s="3353"/>
      <c r="M2" s="3353"/>
      <c r="N2" s="3353"/>
      <c r="O2" s="3353"/>
      <c r="P2" s="3354"/>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66" t="s">
        <v>6752</v>
      </c>
      <c r="B4" s="3366"/>
      <c r="C4" s="3366"/>
      <c r="D4" s="3366"/>
      <c r="E4" s="3366"/>
      <c r="F4" s="3366"/>
      <c r="G4" s="3366"/>
      <c r="H4" s="3366"/>
      <c r="I4" s="3366"/>
      <c r="J4" s="3366"/>
      <c r="K4" s="3366"/>
      <c r="L4" s="3366"/>
      <c r="M4" s="3366"/>
      <c r="N4" s="3366"/>
      <c r="O4" s="3366"/>
      <c r="P4" s="3366"/>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67" t="s">
        <v>6749</v>
      </c>
      <c r="B6" s="3367"/>
      <c r="C6" s="3367"/>
      <c r="D6" s="3367"/>
      <c r="F6" s="316"/>
      <c r="G6" s="292" t="s">
        <v>3828</v>
      </c>
      <c r="L6" s="862"/>
      <c r="P6" s="2357" t="s">
        <v>3292</v>
      </c>
      <c r="Z6" s="2246">
        <v>6</v>
      </c>
    </row>
    <row r="7" spans="1:26" s="315" customFormat="1" ht="12" customHeight="1" thickBot="1">
      <c r="A7" s="3367"/>
      <c r="B7" s="3367"/>
      <c r="C7" s="3367"/>
      <c r="D7" s="3367"/>
      <c r="E7" s="1272"/>
      <c r="F7" s="318"/>
      <c r="G7" s="292" t="s">
        <v>6088</v>
      </c>
      <c r="H7" s="1046"/>
      <c r="I7" s="1046"/>
      <c r="J7" s="1046"/>
      <c r="O7" s="3355" t="s">
        <v>6515</v>
      </c>
      <c r="P7" s="3356"/>
      <c r="Q7" s="3300" t="s">
        <v>6643</v>
      </c>
      <c r="R7" s="3300"/>
      <c r="S7" s="3301"/>
      <c r="Z7" s="2246">
        <v>7</v>
      </c>
    </row>
    <row r="8" spans="1:26" s="315" customFormat="1" ht="12" customHeight="1">
      <c r="A8" s="3367"/>
      <c r="B8" s="3367"/>
      <c r="C8" s="3367"/>
      <c r="D8" s="3367"/>
      <c r="E8" s="1272"/>
      <c r="F8" s="537"/>
      <c r="G8" s="185" t="s">
        <v>2961</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4" customHeight="1">
      <c r="A10" s="317" t="s">
        <v>573</v>
      </c>
      <c r="B10" s="317" t="s">
        <v>2193</v>
      </c>
      <c r="D10" s="293"/>
      <c r="E10" s="319"/>
      <c r="F10" s="320" t="s">
        <v>3268</v>
      </c>
      <c r="I10" s="3357">
        <f>'Part III-A-Uses of Funds'!$J$191</f>
        <v>1000000</v>
      </c>
      <c r="J10" s="3358"/>
      <c r="L10" s="315" t="s">
        <v>3269</v>
      </c>
      <c r="O10" s="3359">
        <f>'Part II-Sources of Funds'!$I$6</f>
        <v>0</v>
      </c>
      <c r="P10" s="3360"/>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4" customHeight="1">
      <c r="A12" s="321" t="s">
        <v>689</v>
      </c>
      <c r="B12" s="317" t="s">
        <v>1892</v>
      </c>
      <c r="F12" s="3361" t="s">
        <v>6909</v>
      </c>
      <c r="G12" s="3362"/>
      <c r="H12" s="3363"/>
      <c r="I12" s="2364" t="s">
        <v>6526</v>
      </c>
      <c r="J12" s="516" t="s">
        <v>6525</v>
      </c>
      <c r="K12" s="326"/>
      <c r="L12" s="1046"/>
      <c r="O12" s="3364" t="s">
        <v>6908</v>
      </c>
      <c r="P12" s="3365"/>
      <c r="Q12" s="3302"/>
      <c r="R12" s="3303"/>
      <c r="S12" s="3304"/>
      <c r="Z12" s="2246">
        <v>12</v>
      </c>
    </row>
    <row r="13" spans="1:26" s="315" customFormat="1" ht="9" customHeight="1">
      <c r="A13" s="495"/>
      <c r="B13" s="1577"/>
      <c r="C13" s="1577"/>
      <c r="D13" s="1577"/>
      <c r="E13" s="1577"/>
      <c r="H13" s="1046"/>
      <c r="J13" s="517"/>
      <c r="K13" s="290"/>
      <c r="M13" s="1046"/>
      <c r="Q13" s="3302"/>
      <c r="R13" s="3303"/>
      <c r="S13" s="3304"/>
      <c r="Z13" s="2246">
        <v>13</v>
      </c>
    </row>
    <row r="14" spans="1:26" s="1661" customFormat="1">
      <c r="A14" s="2216" t="s">
        <v>691</v>
      </c>
      <c r="B14" s="1665" t="s">
        <v>3675</v>
      </c>
      <c r="D14" s="1664"/>
      <c r="E14" s="2556"/>
      <c r="G14" s="2556"/>
      <c r="H14" s="2556"/>
      <c r="I14" s="2556"/>
      <c r="L14" s="2557"/>
      <c r="Q14" s="3302"/>
      <c r="R14" s="3303"/>
      <c r="S14" s="3304"/>
      <c r="Z14" s="2246">
        <v>14</v>
      </c>
    </row>
    <row r="15" spans="1:26" s="1661" customFormat="1">
      <c r="B15" s="1661" t="s">
        <v>3298</v>
      </c>
      <c r="F15" s="3337" t="s">
        <v>6910</v>
      </c>
      <c r="G15" s="3338"/>
      <c r="H15" s="3339"/>
      <c r="I15" s="2558" t="s">
        <v>1671</v>
      </c>
      <c r="J15" s="3337" t="s">
        <v>6977</v>
      </c>
      <c r="K15" s="3338"/>
      <c r="L15" s="3339"/>
      <c r="M15" s="2559" t="s">
        <v>1839</v>
      </c>
      <c r="N15" s="3340" t="s">
        <v>7006</v>
      </c>
      <c r="O15" s="3341"/>
      <c r="P15" s="3342"/>
      <c r="Q15" s="3302"/>
      <c r="R15" s="3303"/>
      <c r="S15" s="3304"/>
      <c r="Z15" s="2246">
        <v>15</v>
      </c>
    </row>
    <row r="16" spans="1:26" s="1661" customFormat="1">
      <c r="B16" s="1664" t="s">
        <v>1840</v>
      </c>
      <c r="F16" s="3328" t="s">
        <v>6978</v>
      </c>
      <c r="G16" s="3329"/>
      <c r="H16" s="3329"/>
      <c r="I16" s="3322"/>
      <c r="J16" s="3329"/>
      <c r="K16" s="3311"/>
      <c r="L16" s="3312"/>
      <c r="M16" s="3330" t="s">
        <v>3297</v>
      </c>
      <c r="N16" s="3330"/>
      <c r="O16" s="3330"/>
      <c r="P16" s="3330"/>
      <c r="Q16" s="3302"/>
      <c r="R16" s="3303"/>
      <c r="S16" s="3304"/>
      <c r="Z16" s="2246">
        <v>16</v>
      </c>
    </row>
    <row r="17" spans="1:26" s="1661" customFormat="1">
      <c r="B17" s="1664" t="s">
        <v>575</v>
      </c>
      <c r="F17" s="3328" t="s">
        <v>154</v>
      </c>
      <c r="G17" s="3329"/>
      <c r="H17" s="3331"/>
      <c r="I17" s="2563" t="s">
        <v>1672</v>
      </c>
      <c r="J17" s="2560" t="s">
        <v>1274</v>
      </c>
      <c r="K17" s="2566"/>
      <c r="L17" s="2564"/>
      <c r="M17" s="3330"/>
      <c r="N17" s="3330"/>
      <c r="O17" s="3330"/>
      <c r="P17" s="3330"/>
      <c r="Q17" s="3302"/>
      <c r="R17" s="3303"/>
      <c r="S17" s="3304"/>
      <c r="Z17" s="2246">
        <v>17</v>
      </c>
    </row>
    <row r="18" spans="1:26" s="1661" customFormat="1">
      <c r="B18" s="1664" t="s">
        <v>2062</v>
      </c>
      <c r="F18" s="3332">
        <v>432200000</v>
      </c>
      <c r="G18" s="3333"/>
      <c r="H18" s="3334"/>
      <c r="I18" s="2565" t="s">
        <v>1600</v>
      </c>
      <c r="J18" s="3324">
        <v>6142733539</v>
      </c>
      <c r="K18" s="3336"/>
      <c r="L18" s="2561" t="s">
        <v>1599</v>
      </c>
      <c r="M18" s="834"/>
      <c r="N18" s="1664" t="s">
        <v>1601</v>
      </c>
      <c r="O18" s="3324">
        <v>6142733539</v>
      </c>
      <c r="P18" s="3336"/>
      <c r="Q18" s="3302"/>
      <c r="R18" s="3303"/>
      <c r="S18" s="3304"/>
      <c r="Z18" s="2246">
        <v>18</v>
      </c>
    </row>
    <row r="19" spans="1:26" s="1661" customFormat="1">
      <c r="B19" s="1664" t="s">
        <v>1843</v>
      </c>
      <c r="F19" s="3321" t="s">
        <v>6979</v>
      </c>
      <c r="G19" s="3322"/>
      <c r="H19" s="3322"/>
      <c r="I19" s="3341"/>
      <c r="J19" s="3322"/>
      <c r="K19" s="3323"/>
      <c r="N19" s="1664" t="s">
        <v>1838</v>
      </c>
      <c r="O19" s="3324">
        <v>6142733539</v>
      </c>
      <c r="P19" s="3336"/>
      <c r="Q19" s="3302"/>
      <c r="R19" s="3303"/>
      <c r="S19" s="3304"/>
      <c r="Z19" s="2246">
        <v>19</v>
      </c>
    </row>
    <row r="20" spans="1:26" s="1661" customFormat="1">
      <c r="A20" s="2562"/>
      <c r="B20" s="1665" t="s">
        <v>3674</v>
      </c>
      <c r="C20" s="181"/>
      <c r="H20" s="2561"/>
      <c r="J20" s="181"/>
      <c r="P20" s="2561"/>
      <c r="Q20" s="3302"/>
      <c r="R20" s="3303"/>
      <c r="S20" s="3304"/>
      <c r="Z20" s="2246">
        <v>20</v>
      </c>
    </row>
    <row r="21" spans="1:26" s="1661" customFormat="1">
      <c r="B21" s="1661" t="s">
        <v>3298</v>
      </c>
      <c r="F21" s="3337" t="s">
        <v>6910</v>
      </c>
      <c r="G21" s="3338"/>
      <c r="H21" s="3339"/>
      <c r="I21" s="2558" t="s">
        <v>1671</v>
      </c>
      <c r="J21" s="3337" t="s">
        <v>6912</v>
      </c>
      <c r="K21" s="3338"/>
      <c r="L21" s="3339"/>
      <c r="M21" s="2559" t="s">
        <v>1839</v>
      </c>
      <c r="N21" s="3340" t="s">
        <v>6913</v>
      </c>
      <c r="O21" s="3341"/>
      <c r="P21" s="3342"/>
      <c r="Q21" s="3302"/>
      <c r="R21" s="3303"/>
      <c r="S21" s="3304"/>
      <c r="Z21" s="2245">
        <v>21</v>
      </c>
    </row>
    <row r="22" spans="1:26" s="1661" customFormat="1">
      <c r="B22" s="1664" t="s">
        <v>1840</v>
      </c>
      <c r="F22" s="3328" t="s">
        <v>6911</v>
      </c>
      <c r="G22" s="3329"/>
      <c r="H22" s="3329"/>
      <c r="I22" s="3322"/>
      <c r="J22" s="3329"/>
      <c r="K22" s="3311"/>
      <c r="L22" s="3312"/>
      <c r="M22" s="3343" t="s">
        <v>3297</v>
      </c>
      <c r="N22" s="3343"/>
      <c r="O22" s="3343"/>
      <c r="P22" s="3343"/>
      <c r="Q22" s="3302"/>
      <c r="R22" s="3303"/>
      <c r="S22" s="3304"/>
      <c r="Z22" s="2246">
        <v>22</v>
      </c>
    </row>
    <row r="23" spans="1:26" s="1661" customFormat="1">
      <c r="B23" s="1664" t="s">
        <v>575</v>
      </c>
      <c r="F23" s="3328" t="s">
        <v>1132</v>
      </c>
      <c r="G23" s="3329"/>
      <c r="H23" s="3331"/>
      <c r="I23" s="2567" t="s">
        <v>1672</v>
      </c>
      <c r="J23" s="2560" t="s">
        <v>791</v>
      </c>
      <c r="K23" s="2566"/>
      <c r="L23" s="2564"/>
      <c r="M23" s="3343"/>
      <c r="N23" s="3343"/>
      <c r="O23" s="3343"/>
      <c r="P23" s="3343"/>
      <c r="Q23" s="3302"/>
      <c r="R23" s="3303"/>
      <c r="S23" s="3304"/>
      <c r="Z23" s="2246">
        <v>23</v>
      </c>
    </row>
    <row r="24" spans="1:26" s="1661" customFormat="1">
      <c r="B24" s="1664" t="s">
        <v>2062</v>
      </c>
      <c r="F24" s="3332">
        <v>303030000</v>
      </c>
      <c r="G24" s="3333"/>
      <c r="H24" s="3334"/>
      <c r="I24" s="2565" t="s">
        <v>1600</v>
      </c>
      <c r="J24" s="3324">
        <v>8457064788</v>
      </c>
      <c r="K24" s="3325"/>
      <c r="L24" s="2561" t="s">
        <v>1599</v>
      </c>
      <c r="M24" s="834"/>
      <c r="N24" s="1664" t="s">
        <v>1601</v>
      </c>
      <c r="O24" s="3335"/>
      <c r="P24" s="3336"/>
      <c r="Q24" s="3302"/>
      <c r="R24" s="3303"/>
      <c r="S24" s="3304"/>
      <c r="Z24" s="2246">
        <v>24</v>
      </c>
    </row>
    <row r="25" spans="1:26" s="1661" customFormat="1">
      <c r="B25" s="1664" t="s">
        <v>1843</v>
      </c>
      <c r="F25" s="3321" t="s">
        <v>6914</v>
      </c>
      <c r="G25" s="3322"/>
      <c r="H25" s="3322"/>
      <c r="I25" s="3322"/>
      <c r="J25" s="3322"/>
      <c r="K25" s="3323"/>
      <c r="N25" s="1664" t="s">
        <v>1838</v>
      </c>
      <c r="O25" s="3324">
        <v>8457064788</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4"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4" customHeight="1">
      <c r="A29" s="317"/>
      <c r="B29" s="315" t="s">
        <v>574</v>
      </c>
      <c r="D29" s="326"/>
      <c r="F29" s="3344" t="s">
        <v>6915</v>
      </c>
      <c r="G29" s="3345"/>
      <c r="H29" s="3345"/>
      <c r="I29" s="3346"/>
      <c r="J29" s="3345"/>
      <c r="K29" s="3347"/>
      <c r="M29" s="1034" t="s">
        <v>425</v>
      </c>
      <c r="P29" s="2568" t="s">
        <v>2654</v>
      </c>
      <c r="Q29" s="3302"/>
      <c r="R29" s="3303"/>
      <c r="S29" s="3304"/>
      <c r="Z29" s="2246">
        <v>29</v>
      </c>
    </row>
    <row r="30" spans="1:26" s="315" customFormat="1">
      <c r="A30" s="495"/>
      <c r="B30" s="315" t="s">
        <v>575</v>
      </c>
      <c r="F30" s="3310" t="s">
        <v>1584</v>
      </c>
      <c r="G30" s="3311"/>
      <c r="H30" s="3312"/>
      <c r="I30" s="340" t="s">
        <v>576</v>
      </c>
      <c r="J30" s="3348" t="str">
        <f>IF(F30="","",VLOOKUP(F30,'DCA Underwriting Assumptions'!$T$136:$U$765,2,FALSE))</f>
        <v>Carroll</v>
      </c>
      <c r="K30" s="3349"/>
      <c r="M30" s="2618" t="s">
        <v>426</v>
      </c>
      <c r="P30" s="2641" t="s">
        <v>2654</v>
      </c>
      <c r="Q30" s="3302"/>
      <c r="R30" s="3303"/>
      <c r="S30" s="3304"/>
      <c r="U30" s="2562"/>
      <c r="W30" s="1661"/>
      <c r="X30" s="1661"/>
      <c r="Y30" s="1661"/>
      <c r="Z30" s="2246">
        <v>30</v>
      </c>
    </row>
    <row r="31" spans="1:26" s="315" customFormat="1">
      <c r="A31" s="2120"/>
      <c r="B31" s="1661" t="s">
        <v>3911</v>
      </c>
      <c r="C31" s="330"/>
      <c r="D31" s="331"/>
      <c r="E31" s="331"/>
      <c r="F31" s="3310" t="s">
        <v>6916</v>
      </c>
      <c r="G31" s="3311"/>
      <c r="H31" s="3312"/>
      <c r="I31" s="2617"/>
      <c r="J31" s="515" t="s">
        <v>6729</v>
      </c>
      <c r="K31" s="2617"/>
      <c r="M31" s="1664" t="s">
        <v>6675</v>
      </c>
      <c r="N31" s="1661"/>
      <c r="O31" s="3368">
        <v>3.2909999999999999</v>
      </c>
      <c r="P31" s="3369"/>
      <c r="Q31" s="3302"/>
      <c r="R31" s="3303"/>
      <c r="S31" s="3304"/>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MSA</v>
      </c>
      <c r="O32" s="3350" t="str">
        <f>IF($F$30="","",VLOOKUP($J$30,'DCA Underwriting Assumptions'!$G$136:$L$295,3,FALSE))</f>
        <v>Atlanta-Sandy Springs-Marietta</v>
      </c>
      <c r="P32" s="3351"/>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6662</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6661</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3937</v>
      </c>
      <c r="I39" s="2533"/>
      <c r="J39" s="340" t="s">
        <v>2485</v>
      </c>
      <c r="O39" s="3308"/>
      <c r="P39" s="3309"/>
      <c r="Q39" s="3302"/>
      <c r="R39" s="3303"/>
      <c r="S39" s="3304"/>
      <c r="Z39" s="2246">
        <v>39</v>
      </c>
    </row>
    <row r="40" spans="1:26" s="315" customFormat="1" ht="12.75" customHeight="1">
      <c r="A40" s="495"/>
      <c r="B40" s="317"/>
      <c r="C40" s="1659" t="s">
        <v>1677</v>
      </c>
      <c r="I40" s="1578" t="s">
        <v>2654</v>
      </c>
      <c r="J40" s="340" t="s">
        <v>2485</v>
      </c>
      <c r="O40" s="3319"/>
      <c r="P40" s="3320"/>
      <c r="Q40" s="3302"/>
      <c r="R40" s="3303"/>
      <c r="S40" s="3304"/>
      <c r="Z40" s="2246">
        <v>40</v>
      </c>
    </row>
    <row r="41" spans="1:26" s="315" customFormat="1" ht="12.65" customHeight="1">
      <c r="A41" s="495"/>
      <c r="B41" s="495"/>
      <c r="C41" s="1041" t="s">
        <v>2576</v>
      </c>
      <c r="I41" s="1098" t="s">
        <v>2654</v>
      </c>
      <c r="J41" s="340" t="s">
        <v>2485</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t="s">
        <v>6917</v>
      </c>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5"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796875" defaultRowHeight="12.5"/>
  <cols>
    <col min="1" max="1" width="6.453125" style="563" customWidth="1"/>
    <col min="2" max="2" width="16.7265625" style="563" customWidth="1"/>
    <col min="3" max="3" width="4.7265625" style="563" customWidth="1"/>
    <col min="4" max="4" width="6.453125" style="563" customWidth="1"/>
    <col min="5" max="5" width="16.7265625" style="563" customWidth="1"/>
    <col min="6" max="6" width="4.7265625" style="563" customWidth="1"/>
    <col min="7" max="7" width="6.453125" style="563" customWidth="1"/>
    <col min="8" max="8" width="16.7265625" style="563" customWidth="1"/>
    <col min="9" max="9" width="4.7265625" style="563" customWidth="1"/>
    <col min="10" max="10" width="6.453125" style="563" customWidth="1"/>
    <col min="11" max="11" width="16.7265625" style="563" customWidth="1"/>
    <col min="12" max="16384" width="9.1796875" style="563"/>
  </cols>
  <sheetData>
    <row r="1" spans="1:11" s="1878" customFormat="1" ht="17.5" customHeight="1">
      <c r="A1" s="4579" t="str">
        <f>'Sensitivity Analysis'!C8</f>
        <v>Villa Rica Senior</v>
      </c>
      <c r="B1" s="4579"/>
      <c r="C1" s="4579"/>
      <c r="D1" s="4579"/>
      <c r="E1" s="4579"/>
      <c r="F1" s="4579"/>
      <c r="G1" s="4579"/>
      <c r="H1" s="4579"/>
      <c r="I1" s="4579"/>
      <c r="J1" s="4579"/>
      <c r="K1" s="4579"/>
    </row>
    <row r="2" spans="1:11" s="1878" customFormat="1" ht="17.5" customHeight="1">
      <c r="A2" s="4578" t="s">
        <v>2888</v>
      </c>
      <c r="B2" s="4578"/>
      <c r="C2" s="4578"/>
      <c r="D2" s="4578"/>
      <c r="E2" s="4578"/>
      <c r="F2" s="4578"/>
      <c r="G2" s="4578"/>
      <c r="H2" s="4578"/>
      <c r="I2" s="4578"/>
      <c r="J2" s="4578"/>
      <c r="K2" s="4578"/>
    </row>
    <row r="3" spans="1:11" ht="9" customHeight="1">
      <c r="A3" s="1877"/>
      <c r="B3" s="1877"/>
      <c r="C3" s="1877"/>
      <c r="D3" s="1877"/>
      <c r="E3" s="1877"/>
      <c r="G3" s="1877"/>
      <c r="H3" s="1877"/>
      <c r="J3" s="1877"/>
      <c r="K3" s="1877"/>
    </row>
    <row r="4" spans="1:11" ht="12.65" customHeight="1">
      <c r="A4" s="4580" t="s">
        <v>6065</v>
      </c>
      <c r="B4" s="4580"/>
      <c r="C4" s="1879"/>
      <c r="D4" s="4580" t="s">
        <v>6066</v>
      </c>
      <c r="E4" s="4580"/>
      <c r="F4" s="1880"/>
      <c r="G4" s="4580" t="s">
        <v>6067</v>
      </c>
      <c r="H4" s="4580"/>
      <c r="I4" s="1880"/>
      <c r="J4" s="4580" t="s">
        <v>6185</v>
      </c>
      <c r="K4" s="4580"/>
    </row>
    <row r="5" spans="1:11" ht="25.9" customHeight="1">
      <c r="A5" s="4581" t="str">
        <f>'Part II-Sources of Funds'!E40</f>
        <v>Key Bank Permanent Loan</v>
      </c>
      <c r="B5" s="4582"/>
      <c r="C5" s="1878"/>
      <c r="D5" s="4581">
        <f>'Part II-Sources of Funds'!E41</f>
        <v>0</v>
      </c>
      <c r="E5" s="4582"/>
      <c r="F5" s="1881"/>
      <c r="G5" s="4581">
        <f>'Part II-Sources of Funds'!E42</f>
        <v>0</v>
      </c>
      <c r="H5" s="4582"/>
      <c r="I5" s="1881"/>
      <c r="J5" s="4581">
        <f>'Part II-Sources of Funds'!E43</f>
        <v>0</v>
      </c>
      <c r="K5" s="4582"/>
    </row>
    <row r="6" spans="1:11" ht="9" customHeight="1"/>
    <row r="7" spans="1:11" ht="15.5">
      <c r="A7" s="1252"/>
      <c r="B7" s="1252" t="s">
        <v>2738</v>
      </c>
      <c r="D7" s="1252"/>
      <c r="E7" s="1252" t="s">
        <v>2738</v>
      </c>
      <c r="G7" s="1252"/>
      <c r="H7" s="1252" t="s">
        <v>2738</v>
      </c>
      <c r="J7" s="1252"/>
      <c r="K7" s="1252" t="s">
        <v>2738</v>
      </c>
    </row>
    <row r="8" spans="1:11" ht="15.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11398.523217255433</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11398.523217255433</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11398.523217255433</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11398.523217255433</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11398.523217255433</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11398.523217255433</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11398.523217255433</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11398.523217255433</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11398.523217255433</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11398.523217255433</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11398.523217255433</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11398.523217255433</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11398.523217255433</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11398.523217255433</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11398.523217255433</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11398.523217255433</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11398.523217255433</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11398.523217255433</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11398.523217255433</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11398.523217255433</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11398.523217255433</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11398.523217255433</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11398.523217255433</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11398.523217255433</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11398.523217255433</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11398.523217255433</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11398.523217255433</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11398.523217255433</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11398.523217255433</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11398.523217255433</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11398.523217255433</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11398.523217255433</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11398.523217255433</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11398.523217255433</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11398.523217255433</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796875" defaultRowHeight="12.5"/>
  <cols>
    <col min="1" max="1" width="3" style="774" customWidth="1"/>
    <col min="2" max="2" width="0.81640625" style="774" customWidth="1"/>
    <col min="3" max="3" width="16.453125" style="774" customWidth="1"/>
    <col min="4" max="4" width="18.1796875" style="774" customWidth="1"/>
    <col min="5" max="5" width="16.453125" style="774" customWidth="1"/>
    <col min="6" max="6" width="13.1796875" style="774" customWidth="1"/>
    <col min="7" max="7" width="14.453125" style="774" customWidth="1"/>
    <col min="8" max="8" width="5.81640625" style="774" customWidth="1"/>
    <col min="9" max="16384" width="9.1796875" style="774"/>
  </cols>
  <sheetData>
    <row r="1" spans="1:13" ht="12" customHeight="1">
      <c r="A1" s="4583" t="str">
        <f>CONCATENATE('Sensitivity Analysis'!E8,"  ",'Sensitivity Analysis'!C8)</f>
        <v>2022-0  Villa Rica Senior</v>
      </c>
      <c r="B1" s="4583"/>
      <c r="C1" s="4583"/>
      <c r="D1" s="4583"/>
      <c r="E1" s="4583"/>
      <c r="F1" s="4583"/>
      <c r="G1" s="4583"/>
      <c r="H1" s="4583"/>
    </row>
    <row r="3" spans="1:13" ht="12" customHeight="1">
      <c r="A3" s="4584" t="s">
        <v>3107</v>
      </c>
      <c r="B3" s="4584"/>
      <c r="C3" s="4584"/>
      <c r="D3" s="4584"/>
      <c r="E3" s="4584"/>
      <c r="F3" s="4584"/>
      <c r="G3" s="4584"/>
      <c r="H3" s="4584"/>
      <c r="I3" s="1302"/>
      <c r="J3" s="4586" t="s">
        <v>3461</v>
      </c>
      <c r="K3" s="4586"/>
      <c r="L3" s="810"/>
      <c r="M3" s="810"/>
    </row>
    <row r="4" spans="1:13">
      <c r="J4" s="4586"/>
      <c r="K4" s="4586"/>
    </row>
    <row r="5" spans="1:13" ht="12" customHeight="1">
      <c r="A5" s="774">
        <v>1</v>
      </c>
      <c r="C5" s="774" t="s">
        <v>2741</v>
      </c>
      <c r="E5" s="792" t="str">
        <f>'Sensitivity Analysis'!H9</f>
        <v>(Enter name as it will appear on all legal documents)</v>
      </c>
      <c r="J5" s="4586"/>
      <c r="K5" s="4586"/>
    </row>
    <row r="6" spans="1:13" ht="3" customHeight="1">
      <c r="H6" s="776"/>
      <c r="J6" s="4586"/>
      <c r="K6" s="4586"/>
    </row>
    <row r="7" spans="1:13" ht="12" customHeight="1">
      <c r="A7" s="774">
        <v>2</v>
      </c>
      <c r="C7" s="774" t="s">
        <v>2742</v>
      </c>
      <c r="E7" s="792">
        <f>'Part II-Development Team'!H7</f>
        <v>0</v>
      </c>
      <c r="J7" s="4586"/>
      <c r="K7" s="4586"/>
    </row>
    <row r="8" spans="1:13" ht="12" customHeight="1">
      <c r="E8" s="792" t="str">
        <f>+'Part II-Development Team'!H8&amp;","&amp;" "&amp;'Part II-Development Team'!H9&amp;" "&amp;LEFT('Part II-Development Team'!J9,5)</f>
        <v xml:space="preserve">,  </v>
      </c>
      <c r="J8" s="4586"/>
      <c r="K8" s="4586"/>
    </row>
    <row r="9" spans="1:13" ht="12" customHeight="1">
      <c r="C9" s="774" t="s">
        <v>2743</v>
      </c>
      <c r="E9" s="4585">
        <f>'Part II-Development Team'!L8</f>
        <v>0</v>
      </c>
      <c r="F9" s="4585"/>
      <c r="J9" s="4586"/>
      <c r="K9" s="4586"/>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Villa Rica Senior</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13148434</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204</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60</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4</v>
      </c>
      <c r="G58" s="774" t="s">
        <v>3108</v>
      </c>
    </row>
    <row r="59" spans="1:7" ht="3" customHeight="1">
      <c r="F59" s="783"/>
    </row>
    <row r="60" spans="1:7" ht="12" customHeight="1">
      <c r="A60" s="774">
        <v>20</v>
      </c>
      <c r="C60" s="774" t="s">
        <v>2770</v>
      </c>
      <c r="F60" s="1311">
        <f>'Subsidy Layering Memo'!$L$70</f>
        <v>1657033.5121792774</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6169</v>
      </c>
    </row>
    <row r="64" spans="1:7" ht="12" customHeight="1">
      <c r="E64" s="1312" t="s">
        <v>3109</v>
      </c>
      <c r="F64" s="1313" t="s">
        <v>3110</v>
      </c>
      <c r="G64" s="1312" t="s">
        <v>6170</v>
      </c>
    </row>
    <row r="65" spans="1:7" ht="12" customHeight="1">
      <c r="E65" s="1312" t="s">
        <v>3109</v>
      </c>
      <c r="F65" s="1313" t="s">
        <v>3110</v>
      </c>
      <c r="G65" s="1312" t="s">
        <v>6171</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286296</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108952</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796875" defaultRowHeight="12.5"/>
  <cols>
    <col min="1" max="1" width="23.54296875" style="774" customWidth="1"/>
    <col min="2" max="2" width="11" style="774" customWidth="1"/>
    <col min="3" max="3" width="31" style="774" customWidth="1"/>
    <col min="4" max="4" width="14" style="774" customWidth="1"/>
    <col min="5" max="10" width="11.1796875" style="774" customWidth="1"/>
    <col min="11" max="16384" width="9.1796875" style="774"/>
  </cols>
  <sheetData>
    <row r="1" spans="1:13" ht="14">
      <c r="A1" s="4599" t="s">
        <v>2962</v>
      </c>
      <c r="B1" s="4599"/>
      <c r="C1" s="4599"/>
      <c r="D1" s="4599"/>
      <c r="E1" s="4599"/>
      <c r="F1" s="4599"/>
      <c r="G1" s="4599"/>
      <c r="H1" s="4599"/>
      <c r="I1" s="4599"/>
      <c r="J1" s="4599"/>
    </row>
    <row r="2" spans="1:13" ht="14">
      <c r="A2" s="4599" t="str">
        <f>'Sensitivity Analysis'!E8&amp;"  "&amp;'Sensitivity Analysis'!C8</f>
        <v>2022-0  Villa Rica Senior</v>
      </c>
      <c r="B2" s="4599"/>
      <c r="C2" s="4599"/>
      <c r="D2" s="4599"/>
      <c r="E2" s="4599"/>
      <c r="F2" s="4599"/>
      <c r="G2" s="4599"/>
      <c r="H2" s="4599"/>
      <c r="I2" s="4599"/>
      <c r="J2" s="4599"/>
    </row>
    <row r="3" spans="1:13" ht="6" customHeight="1">
      <c r="K3" s="4586" t="s">
        <v>3461</v>
      </c>
      <c r="L3" s="4586"/>
      <c r="M3" s="4586"/>
    </row>
    <row r="4" spans="1:13" ht="12" customHeight="1">
      <c r="A4" s="779" t="s">
        <v>2780</v>
      </c>
      <c r="K4" s="4586"/>
      <c r="L4" s="4586"/>
      <c r="M4" s="4586"/>
    </row>
    <row r="5" spans="1:13" ht="12" customHeight="1">
      <c r="A5" s="774" t="s">
        <v>2781</v>
      </c>
      <c r="C5" s="780" t="str">
        <f>'Subsidy Layering Memo'!D6</f>
        <v>(Underwriter)</v>
      </c>
      <c r="I5" s="780"/>
      <c r="K5" s="4586"/>
      <c r="L5" s="4586"/>
      <c r="M5" s="4586"/>
    </row>
    <row r="6" spans="1:13" ht="6" customHeight="1">
      <c r="C6" s="711"/>
      <c r="D6" s="780"/>
      <c r="I6" s="780"/>
      <c r="K6" s="4586"/>
      <c r="L6" s="4586"/>
      <c r="M6" s="4586"/>
    </row>
    <row r="7" spans="1:13" ht="12" customHeight="1">
      <c r="A7" s="779" t="s">
        <v>2782</v>
      </c>
      <c r="C7" s="711"/>
      <c r="D7" s="780"/>
      <c r="I7" s="780"/>
      <c r="K7" s="4586"/>
      <c r="L7" s="4586"/>
      <c r="M7" s="4586"/>
    </row>
    <row r="8" spans="1:13" ht="12" customHeight="1">
      <c r="A8" s="774" t="s">
        <v>2783</v>
      </c>
      <c r="C8" s="780" t="str">
        <f>'Sensitivity Analysis'!$H$9</f>
        <v>(Enter name as it will appear on all legal documents)</v>
      </c>
      <c r="I8" s="780"/>
      <c r="K8" s="4586"/>
      <c r="L8" s="4586"/>
      <c r="M8" s="4586"/>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87"/>
      <c r="E13" s="4587"/>
      <c r="F13" s="4587"/>
      <c r="G13" s="4587"/>
      <c r="H13" s="4587"/>
      <c r="I13" s="4587"/>
      <c r="J13" s="4587"/>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Villa Rica Senior</v>
      </c>
      <c r="I28" s="780"/>
    </row>
    <row r="29" spans="1:9" ht="3" customHeight="1">
      <c r="C29" s="782"/>
      <c r="I29" s="780"/>
    </row>
    <row r="30" spans="1:9" ht="12" customHeight="1">
      <c r="A30" s="774" t="s">
        <v>2793</v>
      </c>
      <c r="C30" s="782" t="e">
        <f>'Preview term'!E16</f>
        <v>#REF!</v>
      </c>
      <c r="I30" s="780"/>
    </row>
    <row r="31" spans="1:9" ht="13">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6172</v>
      </c>
      <c r="C39" s="4600" t="str">
        <f>_xlfn.CONCAT('Part VII-Threshold Criteria'!K192," and ",'Part VII-Threshold Criteria'!K193)</f>
        <v>Room and Covered Porch</v>
      </c>
      <c r="D39" s="4600"/>
      <c r="E39" s="4600"/>
      <c r="F39" s="4600"/>
      <c r="G39" s="4600"/>
      <c r="H39" s="4600"/>
      <c r="I39" s="4600"/>
      <c r="J39" s="4600"/>
    </row>
    <row r="40" spans="1:10" ht="25.5" customHeight="1">
      <c r="A40" s="787" t="s">
        <v>6173</v>
      </c>
      <c r="C40" s="460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Arts &amp; Craft /Activity Center , Furnished Exercise /Fitness Center, (Select an amenity from options provided here), (Select an amenity from options provided here),   , ,   , and  </v>
      </c>
      <c r="D40" s="4600"/>
      <c r="E40" s="4600"/>
      <c r="F40" s="4600"/>
      <c r="G40" s="4600"/>
      <c r="H40" s="4600"/>
      <c r="I40" s="4600"/>
      <c r="J40" s="4600"/>
    </row>
    <row r="41" spans="1:10" ht="3" customHeight="1">
      <c r="G41" s="711"/>
      <c r="H41" s="711"/>
      <c r="I41" s="711"/>
    </row>
    <row r="42" spans="1:10" ht="25.5" customHeight="1">
      <c r="A42" s="787" t="s">
        <v>2800</v>
      </c>
      <c r="C42" s="4601" t="s">
        <v>3111</v>
      </c>
      <c r="D42" s="4601"/>
      <c r="E42" s="4601"/>
      <c r="F42" s="4601"/>
      <c r="G42" s="4601"/>
      <c r="H42" s="4601"/>
      <c r="I42" s="4601"/>
      <c r="J42" s="4601"/>
    </row>
    <row r="43" spans="1:10" ht="3" customHeight="1">
      <c r="C43" s="574"/>
      <c r="D43" s="574"/>
      <c r="E43" s="574"/>
      <c r="F43" s="574"/>
      <c r="G43" s="574"/>
      <c r="H43" s="575"/>
      <c r="I43" s="576"/>
      <c r="J43" s="575"/>
    </row>
    <row r="44" spans="1:10" ht="12" customHeight="1">
      <c r="A44" s="774" t="s">
        <v>2801</v>
      </c>
      <c r="C44" s="650" t="str">
        <f>'Part I-Project Identification'!J30</f>
        <v>Carroll</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4</v>
      </c>
      <c r="I48" s="789"/>
      <c r="J48" s="789"/>
    </row>
    <row r="49" spans="1:10" ht="3" customHeight="1">
      <c r="D49" s="789"/>
      <c r="E49" s="789"/>
      <c r="F49" s="789"/>
      <c r="G49" s="790"/>
      <c r="H49" s="711"/>
      <c r="I49" s="789"/>
      <c r="J49" s="789"/>
    </row>
    <row r="50" spans="1:10" ht="12" customHeight="1">
      <c r="A50" s="711"/>
      <c r="B50" s="774" t="s">
        <v>2804</v>
      </c>
      <c r="C50" s="4601" t="s">
        <v>533</v>
      </c>
      <c r="D50" s="4601"/>
      <c r="E50" s="4601"/>
      <c r="F50" s="4601"/>
      <c r="G50" s="4601"/>
      <c r="H50" s="4601"/>
      <c r="I50" s="4601"/>
      <c r="J50" s="4601"/>
    </row>
    <row r="51" spans="1:10" ht="12" customHeight="1">
      <c r="C51" s="4590" t="s">
        <v>1678</v>
      </c>
      <c r="D51" s="4590"/>
      <c r="E51" s="4590"/>
      <c r="F51" s="4590"/>
      <c r="G51" s="4590"/>
      <c r="H51" s="4590"/>
      <c r="I51" s="4590"/>
      <c r="J51" s="4590"/>
    </row>
    <row r="52" spans="1:10" ht="3" customHeight="1">
      <c r="D52" s="789"/>
      <c r="E52" s="789"/>
      <c r="F52" s="789"/>
      <c r="G52" s="790"/>
      <c r="H52" s="711"/>
      <c r="I52" s="789"/>
      <c r="J52" s="789"/>
    </row>
    <row r="53" spans="1:10" ht="12" customHeight="1">
      <c r="A53" s="787" t="s">
        <v>2805</v>
      </c>
      <c r="B53" s="787"/>
      <c r="C53" s="791" t="s">
        <v>2806</v>
      </c>
      <c r="D53" s="791" t="s">
        <v>3112</v>
      </c>
      <c r="E53" s="4591"/>
      <c r="F53" s="4591"/>
      <c r="G53" s="4591"/>
      <c r="H53" s="4591"/>
      <c r="I53" s="4591"/>
      <c r="J53" s="4591"/>
    </row>
    <row r="54" spans="1:10" ht="12" customHeight="1">
      <c r="A54" s="787"/>
      <c r="B54" s="787"/>
      <c r="C54" s="787"/>
      <c r="D54" s="791" t="s">
        <v>3113</v>
      </c>
      <c r="E54" s="4592"/>
      <c r="F54" s="4592"/>
      <c r="G54" s="4592"/>
      <c r="H54" s="4592"/>
      <c r="I54" s="4592"/>
      <c r="J54" s="4592"/>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13148434</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87"/>
      <c r="E69" s="4587"/>
      <c r="F69" s="4587"/>
      <c r="G69" s="4587"/>
      <c r="H69" s="4587"/>
      <c r="I69" s="4587"/>
      <c r="J69" s="4587"/>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204</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6174</v>
      </c>
      <c r="G84" s="711"/>
    </row>
    <row r="85" spans="1:9" ht="3" customHeight="1">
      <c r="G85" s="711"/>
      <c r="H85" s="711"/>
      <c r="I85" s="711"/>
    </row>
    <row r="86" spans="1:9" ht="12" customHeight="1">
      <c r="A86" s="774" t="s">
        <v>2827</v>
      </c>
      <c r="C86" s="2001">
        <f>'Subsidy Layering Memo'!L70</f>
        <v>1657033.5121792774</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Key Bank Construction Loan</v>
      </c>
      <c r="I93" s="711"/>
    </row>
    <row r="94" spans="1:9" ht="12" customHeight="1">
      <c r="C94" s="806"/>
      <c r="D94" s="711"/>
      <c r="E94" s="792" t="s">
        <v>1671</v>
      </c>
      <c r="F94" s="4593"/>
      <c r="G94" s="4593"/>
      <c r="H94" s="4593"/>
      <c r="I94" s="711"/>
    </row>
    <row r="95" spans="1:9" ht="12" customHeight="1">
      <c r="C95" s="792"/>
      <c r="D95" s="711"/>
      <c r="E95" s="792" t="s">
        <v>1841</v>
      </c>
      <c r="F95" s="4594"/>
      <c r="G95" s="4594"/>
      <c r="H95" s="4594"/>
      <c r="I95" s="711"/>
    </row>
    <row r="96" spans="1:9" ht="12" customHeight="1">
      <c r="C96" s="792"/>
      <c r="D96" s="711"/>
      <c r="E96" s="792" t="s">
        <v>1673</v>
      </c>
      <c r="F96" s="4589"/>
      <c r="G96" s="4589"/>
      <c r="H96" s="4589"/>
      <c r="I96" s="711"/>
    </row>
    <row r="97" spans="1:10" ht="12" customHeight="1">
      <c r="B97" s="783"/>
      <c r="C97" s="795" t="s">
        <v>2974</v>
      </c>
      <c r="D97" s="711" t="s">
        <v>2833</v>
      </c>
      <c r="E97" s="792" t="str">
        <f>'Part II-Sources of Funds'!E40</f>
        <v>Key Bank Permanent Loan</v>
      </c>
      <c r="I97" s="711"/>
    </row>
    <row r="98" spans="1:10" ht="12" customHeight="1">
      <c r="C98" s="792"/>
      <c r="D98" s="711"/>
      <c r="E98" s="792" t="s">
        <v>1671</v>
      </c>
      <c r="F98" s="4593"/>
      <c r="G98" s="4593"/>
      <c r="H98" s="4593"/>
      <c r="I98" s="711"/>
    </row>
    <row r="99" spans="1:10" ht="12" customHeight="1">
      <c r="C99" s="792"/>
      <c r="D99" s="711"/>
      <c r="E99" s="792" t="s">
        <v>1841</v>
      </c>
      <c r="F99" s="4594"/>
      <c r="G99" s="4594"/>
      <c r="H99" s="4594"/>
      <c r="I99" s="711"/>
    </row>
    <row r="100" spans="1:10" ht="12" customHeight="1">
      <c r="C100" s="792"/>
      <c r="D100" s="711"/>
      <c r="E100" s="792" t="s">
        <v>1673</v>
      </c>
      <c r="F100" s="4589"/>
      <c r="G100" s="4589"/>
      <c r="H100" s="4589"/>
      <c r="I100" s="711"/>
    </row>
    <row r="101" spans="1:10" ht="3" customHeight="1">
      <c r="D101" s="803"/>
      <c r="G101" s="711"/>
      <c r="H101" s="711"/>
      <c r="I101" s="711"/>
    </row>
    <row r="102" spans="1:10" ht="12" customHeight="1">
      <c r="A102" s="774" t="s">
        <v>2834</v>
      </c>
      <c r="D102" s="1301" t="str">
        <f>'Part VIII Scoring Criteria'!O264</f>
        <v>No</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595"/>
      <c r="E107" s="4595"/>
      <c r="F107" s="4595"/>
      <c r="G107" s="4595"/>
      <c r="H107" s="4595"/>
      <c r="I107" s="4595"/>
      <c r="J107" s="4596"/>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8" t="s">
        <v>6177</v>
      </c>
      <c r="F120" s="4598"/>
      <c r="G120" s="4598"/>
      <c r="H120" s="4598"/>
      <c r="I120" s="4598"/>
      <c r="J120" s="4598"/>
    </row>
    <row r="121" spans="1:10" ht="12" customHeight="1">
      <c r="C121" s="711" t="s">
        <v>2844</v>
      </c>
      <c r="D121" s="1269"/>
      <c r="E121" s="4598"/>
      <c r="F121" s="4598"/>
      <c r="G121" s="4598"/>
      <c r="H121" s="4598"/>
      <c r="I121" s="4598"/>
      <c r="J121" s="4598"/>
    </row>
    <row r="122" spans="1:10" ht="12" customHeight="1">
      <c r="C122" s="711" t="s">
        <v>2845</v>
      </c>
      <c r="D122" s="1269"/>
      <c r="E122" s="4598"/>
      <c r="F122" s="4598"/>
      <c r="G122" s="4598"/>
      <c r="H122" s="4598"/>
      <c r="I122" s="4598"/>
      <c r="J122" s="4598"/>
    </row>
    <row r="123" spans="1:10" ht="12" customHeight="1">
      <c r="C123" s="711" t="s">
        <v>2845</v>
      </c>
      <c r="D123" s="1269"/>
      <c r="E123" s="4598"/>
      <c r="F123" s="4598"/>
      <c r="G123" s="4598"/>
      <c r="H123" s="4598"/>
      <c r="I123" s="4598"/>
      <c r="J123" s="4598"/>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630359</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ht="13">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87"/>
      <c r="F166" s="4587"/>
      <c r="G166" s="4587"/>
      <c r="I166" s="711"/>
    </row>
    <row r="167" spans="1:13" ht="3" customHeight="1">
      <c r="E167" s="711"/>
      <c r="G167" s="711"/>
      <c r="I167" s="711"/>
    </row>
    <row r="168" spans="1:13" ht="12" customHeight="1">
      <c r="A168" s="774" t="s">
        <v>2868</v>
      </c>
      <c r="C168" s="774" t="s">
        <v>2869</v>
      </c>
      <c r="E168" s="813">
        <f>'Preview term'!F73</f>
        <v>286296</v>
      </c>
      <c r="G168" s="711"/>
      <c r="I168" s="711"/>
    </row>
    <row r="169" spans="1:13" ht="12" customHeight="1">
      <c r="C169" s="774" t="s">
        <v>3118</v>
      </c>
      <c r="E169" s="4587"/>
      <c r="F169" s="4587"/>
      <c r="G169" s="4587"/>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15000</v>
      </c>
      <c r="F174" s="780" t="s">
        <v>2873</v>
      </c>
      <c r="J174" s="810"/>
      <c r="K174" s="810"/>
      <c r="L174" s="810"/>
      <c r="M174" s="810"/>
    </row>
    <row r="175" spans="1:13" ht="13">
      <c r="E175" s="813">
        <f>E174/12</f>
        <v>1250</v>
      </c>
      <c r="F175" s="711" t="s">
        <v>2738</v>
      </c>
    </row>
    <row r="176" spans="1:13" ht="12" customHeight="1">
      <c r="C176" s="774" t="s">
        <v>3119</v>
      </c>
      <c r="E176" s="4587"/>
      <c r="F176" s="4587"/>
      <c r="G176" s="4587"/>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87"/>
      <c r="G181" s="4587"/>
      <c r="H181" s="4587"/>
      <c r="I181" s="4587"/>
      <c r="J181" s="4587"/>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108952</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ht="13">
      <c r="A199" s="787" t="s">
        <v>3122</v>
      </c>
      <c r="B199" s="787"/>
      <c r="C199" s="787"/>
      <c r="D199" s="787"/>
      <c r="E199" s="791" t="s">
        <v>3121</v>
      </c>
      <c r="F199" s="4597">
        <f>'Part VII-Threshold Criteria'!E372</f>
        <v>0</v>
      </c>
      <c r="G199" s="4597"/>
      <c r="H199" s="4597"/>
      <c r="I199" s="4597"/>
      <c r="J199" s="4597"/>
    </row>
    <row r="200" spans="1:10" ht="9" customHeight="1">
      <c r="G200" s="711"/>
      <c r="H200" s="711"/>
      <c r="I200" s="711"/>
    </row>
    <row r="201" spans="1:10" ht="12" customHeight="1">
      <c r="A201" s="815" t="s">
        <v>2963</v>
      </c>
      <c r="G201" s="711"/>
      <c r="H201" s="711"/>
      <c r="I201" s="799"/>
    </row>
    <row r="202" spans="1:10" ht="25.5" hidden="1" customHeight="1">
      <c r="A202" s="4588" t="str">
        <f>'Subsidy Layering Memo'!A105</f>
        <v>Include any reserve requirements; explain any reserves far in excess of 6 month ODR, 3 mo lease up, 1 year RR, 6 mo T&amp;I standards.</v>
      </c>
      <c r="B202" s="4588"/>
      <c r="C202" s="4588"/>
      <c r="D202" s="4588"/>
      <c r="E202" s="4588"/>
      <c r="F202" s="4588"/>
      <c r="G202" s="4588"/>
      <c r="H202" s="4588"/>
      <c r="I202" s="4588"/>
      <c r="J202" s="4588"/>
    </row>
    <row r="203" spans="1:10" ht="13">
      <c r="A203" s="711"/>
      <c r="G203" s="711"/>
      <c r="H203" s="711"/>
      <c r="I203" s="711"/>
    </row>
    <row r="204" spans="1:10" s="663" customFormat="1" ht="14">
      <c r="A204" s="669" t="s">
        <v>6161</v>
      </c>
    </row>
    <row r="205" spans="1:10" s="663" customFormat="1" ht="14.25" customHeight="1">
      <c r="A205" s="456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8"/>
      <c r="C205" s="4568"/>
      <c r="D205" s="4568"/>
      <c r="E205" s="4568"/>
      <c r="F205" s="4568"/>
      <c r="G205" s="4568"/>
      <c r="H205" s="4568"/>
      <c r="I205" s="4568"/>
      <c r="J205" s="4568"/>
    </row>
    <row r="206" spans="1:10" s="663" customFormat="1" ht="14.25" customHeight="1">
      <c r="A206" s="4568"/>
      <c r="B206" s="4568"/>
      <c r="C206" s="4568"/>
      <c r="D206" s="4568"/>
      <c r="E206" s="4568"/>
      <c r="F206" s="4568"/>
      <c r="G206" s="4568"/>
      <c r="H206" s="4568"/>
      <c r="I206" s="4568"/>
      <c r="J206" s="4568"/>
    </row>
    <row r="207" spans="1:10" s="663" customFormat="1" ht="6.75" customHeight="1">
      <c r="A207" s="4568"/>
      <c r="B207" s="4568"/>
      <c r="C207" s="4568"/>
      <c r="D207" s="4568"/>
      <c r="E207" s="4568"/>
      <c r="F207" s="4568"/>
      <c r="G207" s="4568"/>
      <c r="H207" s="4568"/>
      <c r="I207" s="4568"/>
      <c r="J207" s="4568"/>
    </row>
    <row r="208" spans="1:10" s="663" customFormat="1" ht="21.75" customHeight="1">
      <c r="A208" s="4568"/>
      <c r="B208" s="4568"/>
      <c r="C208" s="4568"/>
      <c r="D208" s="4568"/>
      <c r="E208" s="4568"/>
      <c r="F208" s="4568"/>
      <c r="G208" s="4568"/>
      <c r="H208" s="4568"/>
      <c r="I208" s="4568"/>
      <c r="J208" s="4568"/>
    </row>
    <row r="209" spans="1:10" s="663" customFormat="1" ht="20.25" customHeight="1">
      <c r="A209" s="4568"/>
      <c r="B209" s="4568"/>
      <c r="C209" s="4568"/>
      <c r="D209" s="4568"/>
      <c r="E209" s="4568"/>
      <c r="F209" s="4568"/>
      <c r="G209" s="4568"/>
      <c r="H209" s="4568"/>
      <c r="I209" s="4568"/>
      <c r="J209" s="4568"/>
    </row>
    <row r="210" spans="1:10" s="663" customFormat="1" ht="54.75" customHeight="1">
      <c r="A210" s="4568"/>
      <c r="B210" s="4568"/>
      <c r="C210" s="4568"/>
      <c r="D210" s="4568"/>
      <c r="E210" s="4568"/>
      <c r="F210" s="4568"/>
      <c r="G210" s="4568"/>
      <c r="H210" s="4568"/>
      <c r="I210" s="4568"/>
      <c r="J210" s="4568"/>
    </row>
    <row r="211" spans="1:10" s="663" customFormat="1" ht="0.75" hidden="1" customHeight="1">
      <c r="A211" s="4568"/>
      <c r="B211" s="4568"/>
      <c r="C211" s="4568"/>
      <c r="D211" s="4568"/>
      <c r="E211" s="4568"/>
      <c r="F211" s="4568"/>
      <c r="G211" s="4568"/>
      <c r="H211" s="4568"/>
      <c r="I211" s="4568"/>
      <c r="J211" s="4568"/>
    </row>
    <row r="212" spans="1:10" s="663" customFormat="1" ht="3.75" hidden="1" customHeight="1">
      <c r="A212" s="4568"/>
      <c r="B212" s="4568"/>
      <c r="C212" s="4568"/>
      <c r="D212" s="4568"/>
      <c r="E212" s="4568"/>
      <c r="F212" s="4568"/>
      <c r="G212" s="4568"/>
      <c r="H212" s="4568"/>
      <c r="I212" s="4568"/>
      <c r="J212" s="4568"/>
    </row>
    <row r="213" spans="1:10" s="663" customFormat="1" ht="5.25" customHeight="1">
      <c r="A213" s="1988"/>
      <c r="B213" s="1988"/>
      <c r="C213" s="1988"/>
      <c r="D213" s="1988"/>
      <c r="E213" s="1988"/>
      <c r="F213" s="1988"/>
      <c r="G213" s="1988"/>
      <c r="H213" s="1988"/>
      <c r="I213" s="1988"/>
      <c r="J213" s="1988"/>
    </row>
    <row r="214" spans="1:10" s="663" customFormat="1" ht="19.5" customHeight="1">
      <c r="A214" s="4567" t="s">
        <v>6164</v>
      </c>
      <c r="B214" s="4567"/>
      <c r="C214" s="4567"/>
      <c r="D214" s="1987"/>
      <c r="E214" s="1987"/>
      <c r="F214" s="1987"/>
      <c r="G214" s="1987"/>
      <c r="H214" s="1987"/>
      <c r="I214" s="1987"/>
      <c r="J214" s="1987"/>
    </row>
    <row r="215" spans="1:10" s="663" customFormat="1" ht="22.5" customHeight="1">
      <c r="A215" s="4546" t="str">
        <f>'Subsidy Layering Memo'!A37</f>
        <v>1)</v>
      </c>
      <c r="B215" s="4546"/>
      <c r="C215" s="4546"/>
      <c r="D215" s="4546"/>
      <c r="E215" s="4546"/>
      <c r="F215" s="4546"/>
      <c r="G215" s="4546"/>
      <c r="H215" s="4546"/>
      <c r="I215" s="4546"/>
      <c r="J215" s="4546"/>
    </row>
    <row r="216" spans="1:10" s="663" customFormat="1" ht="22.5" customHeight="1">
      <c r="A216" s="4546" t="str">
        <f>'Subsidy Layering Memo'!A38</f>
        <v>2)</v>
      </c>
      <c r="B216" s="4546"/>
      <c r="C216" s="4546"/>
      <c r="D216" s="4546"/>
      <c r="E216" s="4546"/>
      <c r="F216" s="4546"/>
      <c r="G216" s="4546"/>
      <c r="H216" s="4546"/>
      <c r="I216" s="4546"/>
      <c r="J216" s="4546"/>
    </row>
    <row r="217" spans="1:10" s="663" customFormat="1" ht="22.5" customHeight="1">
      <c r="A217" s="4546" t="str">
        <f>'Subsidy Layering Memo'!A39</f>
        <v>3)</v>
      </c>
      <c r="B217" s="4546"/>
      <c r="C217" s="4546"/>
      <c r="D217" s="4546"/>
      <c r="E217" s="4546"/>
      <c r="F217" s="4546"/>
      <c r="G217" s="4546"/>
      <c r="H217" s="4546"/>
      <c r="I217" s="4546"/>
      <c r="J217" s="4546"/>
    </row>
    <row r="218" spans="1:10" s="663" customFormat="1" ht="22.5" customHeight="1">
      <c r="A218" s="4546" t="str">
        <f>'Subsidy Layering Memo'!A40</f>
        <v>4)</v>
      </c>
      <c r="B218" s="4546"/>
      <c r="C218" s="4546"/>
      <c r="D218" s="4546"/>
      <c r="E218" s="4546"/>
      <c r="F218" s="4546"/>
      <c r="G218" s="4546"/>
      <c r="H218" s="4546"/>
      <c r="I218" s="4546"/>
      <c r="J218" s="4546"/>
    </row>
    <row r="219" spans="1:10" s="663" customFormat="1" ht="22.5" customHeight="1">
      <c r="A219" s="4546" t="str">
        <f>'Subsidy Layering Memo'!A41</f>
        <v>5)</v>
      </c>
      <c r="B219" s="4546"/>
      <c r="C219" s="4546"/>
      <c r="D219" s="4546"/>
      <c r="E219" s="4546"/>
      <c r="F219" s="4546"/>
      <c r="G219" s="4546"/>
      <c r="H219" s="4546"/>
      <c r="I219" s="4546"/>
      <c r="J219" s="4546"/>
    </row>
    <row r="220" spans="1:10" s="663" customFormat="1" ht="22.5" customHeight="1">
      <c r="A220" s="4546" t="str">
        <f>'Subsidy Layering Memo'!A42</f>
        <v>6)</v>
      </c>
      <c r="B220" s="4546"/>
      <c r="C220" s="4546"/>
      <c r="D220" s="4546"/>
      <c r="E220" s="4546"/>
      <c r="F220" s="4546"/>
      <c r="G220" s="4546"/>
      <c r="H220" s="4546"/>
      <c r="I220" s="4546"/>
      <c r="J220" s="4546"/>
    </row>
    <row r="221" spans="1:10" s="663" customFormat="1" ht="22.5" customHeight="1">
      <c r="A221" s="4546" t="str">
        <f>'Subsidy Layering Memo'!A43</f>
        <v>7)</v>
      </c>
      <c r="B221" s="4546"/>
      <c r="C221" s="4546"/>
      <c r="D221" s="4546"/>
      <c r="E221" s="4546"/>
      <c r="F221" s="4546"/>
      <c r="G221" s="4546"/>
      <c r="H221" s="4546"/>
      <c r="I221" s="4546"/>
      <c r="J221" s="4546"/>
    </row>
    <row r="222" spans="1:10" s="663" customFormat="1" ht="22.5" customHeight="1">
      <c r="A222" s="4546" t="str">
        <f>'Subsidy Layering Memo'!A44</f>
        <v>8)</v>
      </c>
      <c r="B222" s="4546"/>
      <c r="C222" s="4546"/>
      <c r="D222" s="4546"/>
      <c r="E222" s="4546"/>
      <c r="F222" s="4546"/>
      <c r="G222" s="4546"/>
      <c r="H222" s="4546"/>
      <c r="I222" s="4546"/>
      <c r="J222" s="4546"/>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796875" defaultRowHeight="14"/>
  <cols>
    <col min="1" max="1" width="5.453125" style="1691" customWidth="1"/>
    <col min="2" max="2" width="6.26953125" style="1691" customWidth="1"/>
    <col min="3" max="3" width="9.81640625" style="1691" customWidth="1"/>
    <col min="4" max="4" width="10.453125" style="1691" customWidth="1"/>
    <col min="5" max="5" width="7.7265625" style="1695" customWidth="1"/>
    <col min="6" max="6" width="8" style="1691" customWidth="1"/>
    <col min="7" max="7" width="8.7265625" style="1691" customWidth="1"/>
    <col min="8" max="8" width="10.26953125" style="1691" customWidth="1"/>
    <col min="9" max="9" width="10.7265625" style="1691" customWidth="1"/>
    <col min="10" max="10" width="11.7265625" style="1691" customWidth="1"/>
    <col min="11" max="11" width="11.81640625" style="1691" customWidth="1"/>
    <col min="12" max="16384" width="9.1796875" style="1691"/>
  </cols>
  <sheetData>
    <row r="1" spans="1:11" ht="18">
      <c r="A1" s="1741" t="s">
        <v>3970</v>
      </c>
      <c r="B1" s="1741"/>
      <c r="C1" s="1741"/>
      <c r="D1" s="1741"/>
      <c r="E1" s="1741"/>
      <c r="F1" s="1741"/>
      <c r="G1" s="1741"/>
      <c r="H1" s="1741"/>
    </row>
    <row r="2" spans="1:11" ht="18.5" thickBot="1">
      <c r="A2" s="1741" t="s">
        <v>3971</v>
      </c>
      <c r="B2" s="1741"/>
      <c r="C2" s="1741"/>
      <c r="D2" s="1741"/>
      <c r="E2" s="1741"/>
      <c r="F2" s="1741"/>
      <c r="G2" s="1741"/>
      <c r="H2" s="1741"/>
    </row>
    <row r="3" spans="1:11" ht="15" customHeight="1" thickBot="1">
      <c r="A3" s="1692" t="s">
        <v>3972</v>
      </c>
      <c r="B3" s="1693"/>
      <c r="C3" s="1694"/>
      <c r="D3" s="4618" t="str">
        <f>'Part I-Project Identification'!F29</f>
        <v>Villa Rica Senior</v>
      </c>
      <c r="E3" s="4619"/>
      <c r="F3" s="4619"/>
      <c r="G3" s="4619"/>
      <c r="H3" s="4619"/>
      <c r="I3" s="4619"/>
      <c r="J3" s="4620" t="s">
        <v>6178</v>
      </c>
      <c r="K3" s="4621"/>
    </row>
    <row r="4" spans="1:11" ht="15" customHeight="1">
      <c r="A4" s="1696" t="s">
        <v>3973</v>
      </c>
      <c r="B4" s="1697"/>
      <c r="C4" s="1698"/>
      <c r="D4" s="4622" t="e">
        <f>CONCATENATE('Part I-Project Identification'!#REF!,", ",'Part I-Project Identification'!F30,", GA ",'Part I-Project Identification'!#REF!," (",'Part I-Project Identification'!J30," Co.)",)</f>
        <v>#REF!</v>
      </c>
      <c r="E4" s="4623"/>
      <c r="F4" s="4623"/>
      <c r="G4" s="4623"/>
      <c r="H4" s="4623"/>
      <c r="I4" s="4623"/>
      <c r="J4" s="4624" t="s">
        <v>4014</v>
      </c>
      <c r="K4" s="4625"/>
    </row>
    <row r="5" spans="1:11" ht="15" customHeight="1" thickBot="1">
      <c r="A5" s="1699" t="s">
        <v>3974</v>
      </c>
      <c r="B5" s="1700"/>
      <c r="C5" s="1701"/>
      <c r="D5" s="4628"/>
      <c r="E5" s="4629"/>
      <c r="F5" s="4629"/>
      <c r="G5" s="4629"/>
      <c r="H5" s="4629"/>
      <c r="I5" s="4629"/>
      <c r="J5" s="4626"/>
      <c r="K5" s="4627"/>
    </row>
    <row r="6" spans="1:11" ht="9" customHeight="1" thickBot="1">
      <c r="E6" s="1691"/>
    </row>
    <row r="7" spans="1:11">
      <c r="A7" s="4610" t="s">
        <v>3976</v>
      </c>
      <c r="B7" s="4611"/>
      <c r="C7" s="4611"/>
      <c r="D7" s="4611"/>
      <c r="E7" s="4611"/>
      <c r="F7" s="4611"/>
      <c r="G7" s="4611"/>
      <c r="H7" s="4611"/>
      <c r="I7" s="4611"/>
      <c r="J7" s="4611"/>
      <c r="K7" s="4612"/>
    </row>
    <row r="8" spans="1:11" ht="14.25" customHeight="1">
      <c r="A8" s="1717"/>
      <c r="B8" s="1717"/>
      <c r="C8" s="2011">
        <v>1</v>
      </c>
      <c r="D8" s="1718" t="s">
        <v>3977</v>
      </c>
      <c r="E8" s="1718"/>
      <c r="F8" s="1718"/>
      <c r="G8" s="1718"/>
      <c r="H8" s="1718"/>
      <c r="I8" s="1718"/>
      <c r="J8" s="4608"/>
      <c r="K8" s="4609"/>
    </row>
    <row r="9" spans="1:11" ht="7.15" customHeight="1">
      <c r="A9" s="4613"/>
      <c r="B9" s="4613"/>
      <c r="C9" s="4613"/>
      <c r="D9" s="4614"/>
      <c r="E9" s="4614"/>
      <c r="F9" s="4614"/>
      <c r="G9" s="4614"/>
      <c r="H9" s="4614"/>
      <c r="I9" s="4614"/>
      <c r="J9" s="4614"/>
      <c r="K9" s="1719"/>
    </row>
    <row r="10" spans="1:11">
      <c r="A10" s="4615" t="s">
        <v>3978</v>
      </c>
      <c r="B10" s="4616"/>
      <c r="C10" s="4616"/>
      <c r="D10" s="4616"/>
      <c r="E10" s="4616"/>
      <c r="F10" s="4616"/>
      <c r="G10" s="4616"/>
      <c r="H10" s="4616"/>
      <c r="I10" s="4616"/>
      <c r="J10" s="4616"/>
      <c r="K10" s="4617"/>
    </row>
    <row r="11" spans="1:11" ht="14.25" customHeight="1">
      <c r="A11" s="1717"/>
      <c r="B11" s="1717"/>
      <c r="C11" s="2011">
        <v>2</v>
      </c>
      <c r="D11" s="1718" t="s">
        <v>3979</v>
      </c>
      <c r="E11" s="1720"/>
      <c r="F11" s="1720"/>
      <c r="G11" s="1720"/>
      <c r="H11" s="1720"/>
      <c r="I11" s="1720"/>
      <c r="J11" s="4606"/>
      <c r="K11" s="4607"/>
    </row>
    <row r="12" spans="1:11" ht="7.15" customHeight="1">
      <c r="A12" s="4613"/>
      <c r="B12" s="4613"/>
      <c r="C12" s="4613"/>
      <c r="D12" s="4614"/>
      <c r="E12" s="4614"/>
      <c r="F12" s="4614"/>
      <c r="G12" s="4614"/>
      <c r="H12" s="4614"/>
      <c r="I12" s="4614"/>
      <c r="J12" s="4614"/>
      <c r="K12" s="1993"/>
    </row>
    <row r="13" spans="1:11">
      <c r="A13" s="4615" t="s">
        <v>3980</v>
      </c>
      <c r="B13" s="4616"/>
      <c r="C13" s="4616"/>
      <c r="D13" s="4616"/>
      <c r="E13" s="4616"/>
      <c r="F13" s="4616"/>
      <c r="G13" s="4616"/>
      <c r="H13" s="4616"/>
      <c r="I13" s="4616"/>
      <c r="J13" s="4616"/>
      <c r="K13" s="4617"/>
    </row>
    <row r="14" spans="1:11" ht="14.25" customHeight="1">
      <c r="A14" s="1697"/>
      <c r="B14" s="1697"/>
      <c r="C14" s="2012">
        <v>3</v>
      </c>
      <c r="D14" s="1722" t="s">
        <v>3981</v>
      </c>
      <c r="E14" s="1722"/>
      <c r="F14" s="1722"/>
      <c r="G14" s="1722"/>
      <c r="H14" s="1722"/>
      <c r="I14" s="1722"/>
      <c r="J14" s="4604"/>
      <c r="K14" s="4605"/>
    </row>
    <row r="15" spans="1:11" ht="14.25" customHeight="1">
      <c r="A15" s="1697"/>
      <c r="B15" s="1697"/>
      <c r="C15" s="2013">
        <v>4</v>
      </c>
      <c r="D15" s="1697" t="s">
        <v>3982</v>
      </c>
      <c r="E15" s="1697"/>
      <c r="F15" s="1697"/>
      <c r="G15" s="1697"/>
      <c r="H15" s="1697"/>
      <c r="I15" s="1697"/>
      <c r="J15" s="4602"/>
      <c r="K15" s="4603"/>
    </row>
    <row r="16" spans="1:11" ht="14.25" customHeight="1">
      <c r="A16" s="1697"/>
      <c r="B16" s="1697"/>
      <c r="C16" s="2013">
        <v>5</v>
      </c>
      <c r="D16" s="1697" t="s">
        <v>3983</v>
      </c>
      <c r="E16" s="1697"/>
      <c r="F16" s="1697"/>
      <c r="G16" s="1697"/>
      <c r="H16" s="1697"/>
      <c r="I16" s="1697"/>
      <c r="J16" s="4602"/>
      <c r="K16" s="4603"/>
    </row>
    <row r="17" spans="1:13" ht="14.25" customHeight="1">
      <c r="A17" s="1717"/>
      <c r="B17" s="1717"/>
      <c r="C17" s="2014">
        <v>6</v>
      </c>
      <c r="D17" s="1700" t="s">
        <v>3984</v>
      </c>
      <c r="E17" s="1700"/>
      <c r="F17" s="1700"/>
      <c r="G17" s="1700"/>
      <c r="H17" s="1700"/>
      <c r="I17" s="1700"/>
      <c r="J17" s="4683"/>
      <c r="K17" s="4684"/>
    </row>
    <row r="18" spans="1:13" ht="7.15" customHeight="1">
      <c r="A18" s="4613"/>
      <c r="B18" s="4613"/>
      <c r="C18" s="4613"/>
      <c r="D18" s="4614"/>
      <c r="E18" s="4614"/>
      <c r="F18" s="4614"/>
      <c r="G18" s="4614"/>
      <c r="H18" s="4614"/>
      <c r="I18" s="4614"/>
      <c r="J18" s="4614"/>
      <c r="K18" s="1993"/>
    </row>
    <row r="19" spans="1:13" ht="14.25" customHeight="1">
      <c r="A19" s="1697"/>
      <c r="B19" s="1697"/>
      <c r="C19" s="2012">
        <v>7</v>
      </c>
      <c r="D19" s="1722" t="s">
        <v>3985</v>
      </c>
      <c r="E19" s="1722"/>
      <c r="F19" s="1722"/>
      <c r="G19" s="1722"/>
      <c r="H19" s="1722"/>
      <c r="I19" s="1722"/>
      <c r="J19" s="4681" t="str">
        <f>IF(J17="No",J14-J15,IF(J17="Yes",J14-J15-J16,"Error"))</f>
        <v>Error</v>
      </c>
      <c r="K19" s="4682"/>
    </row>
    <row r="20" spans="1:13" ht="14.25" customHeight="1">
      <c r="A20" s="1717"/>
      <c r="B20" s="1717"/>
      <c r="C20" s="2014">
        <v>8</v>
      </c>
      <c r="D20" s="1700" t="s">
        <v>3986</v>
      </c>
      <c r="E20" s="1700"/>
      <c r="F20" s="1700"/>
      <c r="G20" s="1700"/>
      <c r="H20" s="1700"/>
      <c r="I20" s="1700"/>
      <c r="J20" s="4679" t="e">
        <f>ROUNDDOWN(J19/J8,2)</f>
        <v>#VALUE!</v>
      </c>
      <c r="K20" s="4680"/>
    </row>
    <row r="21" spans="1:13" ht="7.15" customHeight="1">
      <c r="A21" s="4613"/>
      <c r="B21" s="4613"/>
      <c r="C21" s="4613"/>
      <c r="D21" s="4614"/>
      <c r="E21" s="4614"/>
      <c r="F21" s="4614"/>
      <c r="G21" s="4614"/>
      <c r="H21" s="4614"/>
      <c r="I21" s="4614"/>
      <c r="J21" s="4614"/>
      <c r="K21" s="1993"/>
    </row>
    <row r="22" spans="1:13" ht="14.25" customHeight="1" thickBot="1">
      <c r="A22" s="1697"/>
      <c r="B22" s="1697"/>
      <c r="C22" s="2011">
        <v>9</v>
      </c>
      <c r="D22" s="1723" t="s">
        <v>3987</v>
      </c>
      <c r="E22" s="1723"/>
      <c r="F22" s="1723"/>
      <c r="G22" s="1723"/>
      <c r="H22" s="1723"/>
      <c r="I22" s="1723"/>
      <c r="J22" s="4677" t="e">
        <f>J11/J19</f>
        <v>#VALUE!</v>
      </c>
      <c r="K22" s="4678"/>
    </row>
    <row r="23" spans="1:13" ht="9" customHeight="1">
      <c r="A23" s="1989"/>
      <c r="C23" s="1707"/>
      <c r="D23" s="1707"/>
      <c r="E23" s="1707"/>
      <c r="F23" s="1707"/>
      <c r="G23" s="1707"/>
      <c r="H23" s="1707"/>
      <c r="I23" s="1707"/>
      <c r="J23" s="1707"/>
      <c r="K23" s="1708"/>
    </row>
    <row r="24" spans="1:13" ht="18">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35" t="s">
        <v>4018</v>
      </c>
      <c r="B30" s="4636"/>
      <c r="C30" s="4636"/>
      <c r="D30" s="4636"/>
      <c r="E30" s="4636"/>
      <c r="F30" s="4636"/>
      <c r="G30" s="4636"/>
      <c r="H30" s="4636"/>
      <c r="I30" s="4636"/>
      <c r="J30" s="4636"/>
      <c r="K30" s="4637"/>
    </row>
    <row r="31" spans="1:13">
      <c r="A31" s="1715"/>
      <c r="B31" s="4638" t="s">
        <v>6178</v>
      </c>
      <c r="C31" s="4638"/>
      <c r="D31" s="4638"/>
      <c r="E31" s="4638"/>
      <c r="F31" s="4638"/>
      <c r="G31" s="4639" t="s">
        <v>3989</v>
      </c>
      <c r="H31" s="4640"/>
      <c r="I31" s="4640"/>
      <c r="J31" s="4640"/>
      <c r="K31" s="4641"/>
    </row>
    <row r="32" spans="1:13" ht="56.25" customHeight="1">
      <c r="A32" s="1992"/>
      <c r="B32" s="1735" t="s">
        <v>4017</v>
      </c>
      <c r="C32" s="1736" t="s">
        <v>4013</v>
      </c>
      <c r="D32" s="1736" t="s">
        <v>4012</v>
      </c>
      <c r="E32" s="4642" t="s">
        <v>6103</v>
      </c>
      <c r="F32" s="4643"/>
      <c r="G32" s="1737" t="s">
        <v>3990</v>
      </c>
      <c r="H32" s="1737" t="s">
        <v>3991</v>
      </c>
      <c r="J32" s="1737" t="s">
        <v>3992</v>
      </c>
      <c r="K32" s="1737" t="s">
        <v>3993</v>
      </c>
      <c r="L32" s="4630" t="s">
        <v>3994</v>
      </c>
      <c r="M32" s="4630"/>
    </row>
    <row r="33" spans="2:14" ht="12.75" customHeight="1">
      <c r="B33" s="2002"/>
      <c r="C33" s="2003"/>
      <c r="D33" s="2004"/>
      <c r="E33" s="4631"/>
      <c r="F33" s="4632"/>
      <c r="G33" s="1757" t="e">
        <f t="shared" ref="G33:G51" si="0">$J$22*B33</f>
        <v>#VALUE!</v>
      </c>
      <c r="H33" s="1758" t="e">
        <f>ROUNDUP(G33,0)</f>
        <v>#VALUE!</v>
      </c>
      <c r="I33" s="1759"/>
      <c r="J33" s="1760" t="e">
        <f t="shared" ref="J33:J51" si="1">$J$20*E33</f>
        <v>#VALUE!</v>
      </c>
      <c r="K33" s="1760" t="e">
        <f t="shared" ref="K33:K51" si="2">ROUNDDOWN(J33*H33,0)</f>
        <v>#VALUE!</v>
      </c>
      <c r="L33" s="4630"/>
      <c r="M33" s="4630"/>
    </row>
    <row r="34" spans="2:14" ht="12.75" customHeight="1">
      <c r="B34" s="2005"/>
      <c r="C34" s="2006"/>
      <c r="D34" s="2007"/>
      <c r="E34" s="4633"/>
      <c r="F34" s="4634"/>
      <c r="G34" s="1761" t="e">
        <f t="shared" si="0"/>
        <v>#VALUE!</v>
      </c>
      <c r="H34" s="1762" t="e">
        <f t="shared" ref="H34:H51" si="3">ROUNDUP(G34,0)</f>
        <v>#VALUE!</v>
      </c>
      <c r="I34" s="1759"/>
      <c r="J34" s="1763" t="e">
        <f t="shared" si="1"/>
        <v>#VALUE!</v>
      </c>
      <c r="K34" s="1763" t="e">
        <f t="shared" si="2"/>
        <v>#VALUE!</v>
      </c>
      <c r="L34" s="4630"/>
      <c r="M34" s="4630"/>
    </row>
    <row r="35" spans="2:14" ht="12.75" customHeight="1">
      <c r="B35" s="2005"/>
      <c r="C35" s="2006"/>
      <c r="D35" s="2007"/>
      <c r="E35" s="4633"/>
      <c r="F35" s="4634"/>
      <c r="G35" s="1761" t="e">
        <f t="shared" si="0"/>
        <v>#VALUE!</v>
      </c>
      <c r="H35" s="1762" t="e">
        <f t="shared" si="3"/>
        <v>#VALUE!</v>
      </c>
      <c r="I35" s="1759"/>
      <c r="J35" s="1763" t="e">
        <f t="shared" si="1"/>
        <v>#VALUE!</v>
      </c>
      <c r="K35" s="1763" t="e">
        <f t="shared" si="2"/>
        <v>#VALUE!</v>
      </c>
      <c r="L35" s="4630"/>
      <c r="M35" s="4630"/>
    </row>
    <row r="36" spans="2:14" ht="12.75" customHeight="1">
      <c r="B36" s="2005"/>
      <c r="C36" s="2006"/>
      <c r="D36" s="2007"/>
      <c r="E36" s="4633"/>
      <c r="F36" s="4634"/>
      <c r="G36" s="1761" t="e">
        <f t="shared" si="0"/>
        <v>#VALUE!</v>
      </c>
      <c r="H36" s="1762" t="e">
        <f t="shared" si="3"/>
        <v>#VALUE!</v>
      </c>
      <c r="I36" s="1759"/>
      <c r="J36" s="1763" t="e">
        <f t="shared" si="1"/>
        <v>#VALUE!</v>
      </c>
      <c r="K36" s="1763" t="e">
        <f t="shared" si="2"/>
        <v>#VALUE!</v>
      </c>
      <c r="L36" s="4630"/>
      <c r="M36" s="4630"/>
      <c r="N36" s="1710"/>
    </row>
    <row r="37" spans="2:14" ht="12.75" customHeight="1">
      <c r="B37" s="2005"/>
      <c r="C37" s="2006"/>
      <c r="D37" s="2007"/>
      <c r="E37" s="4633"/>
      <c r="F37" s="4634"/>
      <c r="G37" s="1761" t="e">
        <f t="shared" si="0"/>
        <v>#VALUE!</v>
      </c>
      <c r="H37" s="1762" t="e">
        <f t="shared" si="3"/>
        <v>#VALUE!</v>
      </c>
      <c r="I37" s="1759"/>
      <c r="J37" s="1763" t="e">
        <f t="shared" si="1"/>
        <v>#VALUE!</v>
      </c>
      <c r="K37" s="1763" t="e">
        <f t="shared" si="2"/>
        <v>#VALUE!</v>
      </c>
      <c r="L37" s="4630"/>
      <c r="M37" s="4630"/>
    </row>
    <row r="38" spans="2:14" ht="12.75" customHeight="1">
      <c r="B38" s="2005"/>
      <c r="C38" s="2006"/>
      <c r="D38" s="2007"/>
      <c r="E38" s="4633"/>
      <c r="F38" s="4634"/>
      <c r="G38" s="1761" t="e">
        <f t="shared" si="0"/>
        <v>#VALUE!</v>
      </c>
      <c r="H38" s="1762" t="e">
        <f t="shared" si="3"/>
        <v>#VALUE!</v>
      </c>
      <c r="I38" s="1759"/>
      <c r="J38" s="1763" t="e">
        <f t="shared" si="1"/>
        <v>#VALUE!</v>
      </c>
      <c r="K38" s="1763" t="e">
        <f t="shared" si="2"/>
        <v>#VALUE!</v>
      </c>
      <c r="L38" s="4630"/>
      <c r="M38" s="4630"/>
    </row>
    <row r="39" spans="2:14" ht="12.75" customHeight="1">
      <c r="B39" s="2005"/>
      <c r="C39" s="2006"/>
      <c r="D39" s="2007"/>
      <c r="E39" s="4633"/>
      <c r="F39" s="4634"/>
      <c r="G39" s="1761" t="e">
        <f t="shared" si="0"/>
        <v>#VALUE!</v>
      </c>
      <c r="H39" s="1762" t="e">
        <f t="shared" si="3"/>
        <v>#VALUE!</v>
      </c>
      <c r="I39" s="1759"/>
      <c r="J39" s="1763" t="e">
        <f t="shared" si="1"/>
        <v>#VALUE!</v>
      </c>
      <c r="K39" s="1763" t="e">
        <f t="shared" si="2"/>
        <v>#VALUE!</v>
      </c>
      <c r="L39" s="4630"/>
      <c r="M39" s="4630"/>
    </row>
    <row r="40" spans="2:14" ht="12.75" customHeight="1">
      <c r="B40" s="2005"/>
      <c r="C40" s="2006"/>
      <c r="D40" s="2007"/>
      <c r="E40" s="4633"/>
      <c r="F40" s="4634"/>
      <c r="G40" s="1761" t="e">
        <f t="shared" si="0"/>
        <v>#VALUE!</v>
      </c>
      <c r="H40" s="1762" t="e">
        <f t="shared" si="3"/>
        <v>#VALUE!</v>
      </c>
      <c r="I40" s="1759"/>
      <c r="J40" s="1763" t="e">
        <f t="shared" si="1"/>
        <v>#VALUE!</v>
      </c>
      <c r="K40" s="1763" t="e">
        <f t="shared" si="2"/>
        <v>#VALUE!</v>
      </c>
      <c r="L40" s="4630"/>
      <c r="M40" s="4630"/>
    </row>
    <row r="41" spans="2:14" ht="12.75" customHeight="1">
      <c r="B41" s="2005"/>
      <c r="C41" s="2006"/>
      <c r="D41" s="2007"/>
      <c r="E41" s="4633"/>
      <c r="F41" s="4634"/>
      <c r="G41" s="1761" t="e">
        <f t="shared" si="0"/>
        <v>#VALUE!</v>
      </c>
      <c r="H41" s="1762" t="e">
        <f t="shared" si="3"/>
        <v>#VALUE!</v>
      </c>
      <c r="I41" s="1759"/>
      <c r="J41" s="1763" t="e">
        <f t="shared" si="1"/>
        <v>#VALUE!</v>
      </c>
      <c r="K41" s="1763" t="e">
        <f t="shared" si="2"/>
        <v>#VALUE!</v>
      </c>
      <c r="L41" s="4630"/>
      <c r="M41" s="4630"/>
    </row>
    <row r="42" spans="2:14" ht="12.75" customHeight="1">
      <c r="B42" s="2005"/>
      <c r="C42" s="2006"/>
      <c r="D42" s="2007"/>
      <c r="E42" s="4633"/>
      <c r="F42" s="4634"/>
      <c r="G42" s="1761" t="e">
        <f t="shared" si="0"/>
        <v>#VALUE!</v>
      </c>
      <c r="H42" s="1762" t="e">
        <f t="shared" si="3"/>
        <v>#VALUE!</v>
      </c>
      <c r="I42" s="1759"/>
      <c r="J42" s="1763" t="e">
        <f t="shared" si="1"/>
        <v>#VALUE!</v>
      </c>
      <c r="K42" s="1763" t="e">
        <f t="shared" si="2"/>
        <v>#VALUE!</v>
      </c>
      <c r="L42" s="4630"/>
      <c r="M42" s="4630"/>
    </row>
    <row r="43" spans="2:14" ht="12.75" customHeight="1">
      <c r="B43" s="2005"/>
      <c r="C43" s="2006"/>
      <c r="D43" s="2007"/>
      <c r="E43" s="4633"/>
      <c r="F43" s="4634"/>
      <c r="G43" s="1761" t="e">
        <f t="shared" si="0"/>
        <v>#VALUE!</v>
      </c>
      <c r="H43" s="1762" t="e">
        <f t="shared" si="3"/>
        <v>#VALUE!</v>
      </c>
      <c r="I43" s="1759"/>
      <c r="J43" s="1763" t="e">
        <f t="shared" si="1"/>
        <v>#VALUE!</v>
      </c>
      <c r="K43" s="1763" t="e">
        <f t="shared" si="2"/>
        <v>#VALUE!</v>
      </c>
      <c r="L43" s="4630"/>
      <c r="M43" s="4630"/>
    </row>
    <row r="44" spans="2:14" ht="12.75" customHeight="1">
      <c r="B44" s="2005"/>
      <c r="C44" s="2006"/>
      <c r="D44" s="2007"/>
      <c r="E44" s="4633"/>
      <c r="F44" s="4634"/>
      <c r="G44" s="1761" t="e">
        <f t="shared" si="0"/>
        <v>#VALUE!</v>
      </c>
      <c r="H44" s="1762" t="e">
        <f t="shared" si="3"/>
        <v>#VALUE!</v>
      </c>
      <c r="I44" s="1759"/>
      <c r="J44" s="1763" t="e">
        <f t="shared" si="1"/>
        <v>#VALUE!</v>
      </c>
      <c r="K44" s="1763" t="e">
        <f t="shared" si="2"/>
        <v>#VALUE!</v>
      </c>
      <c r="L44" s="4630"/>
      <c r="M44" s="4630"/>
    </row>
    <row r="45" spans="2:14" ht="12.75" customHeight="1">
      <c r="B45" s="2005"/>
      <c r="C45" s="2006"/>
      <c r="D45" s="2007"/>
      <c r="E45" s="4633"/>
      <c r="F45" s="4634"/>
      <c r="G45" s="1761" t="e">
        <f t="shared" si="0"/>
        <v>#VALUE!</v>
      </c>
      <c r="H45" s="1762" t="e">
        <f t="shared" si="3"/>
        <v>#VALUE!</v>
      </c>
      <c r="I45" s="1759"/>
      <c r="J45" s="1763" t="e">
        <f t="shared" si="1"/>
        <v>#VALUE!</v>
      </c>
      <c r="K45" s="1763" t="e">
        <f t="shared" si="2"/>
        <v>#VALUE!</v>
      </c>
      <c r="L45" s="4630"/>
      <c r="M45" s="4630"/>
    </row>
    <row r="46" spans="2:14" ht="12.75" customHeight="1">
      <c r="B46" s="2005"/>
      <c r="C46" s="2006"/>
      <c r="D46" s="2007"/>
      <c r="E46" s="4633"/>
      <c r="F46" s="4634"/>
      <c r="G46" s="1761" t="e">
        <f t="shared" si="0"/>
        <v>#VALUE!</v>
      </c>
      <c r="H46" s="1762" t="e">
        <f t="shared" si="3"/>
        <v>#VALUE!</v>
      </c>
      <c r="I46" s="1759"/>
      <c r="J46" s="1763" t="e">
        <f t="shared" si="1"/>
        <v>#VALUE!</v>
      </c>
      <c r="K46" s="1763" t="e">
        <f t="shared" si="2"/>
        <v>#VALUE!</v>
      </c>
      <c r="L46" s="4630"/>
      <c r="M46" s="4630"/>
    </row>
    <row r="47" spans="2:14" ht="12.75" customHeight="1">
      <c r="B47" s="2005"/>
      <c r="C47" s="2006"/>
      <c r="D47" s="2007"/>
      <c r="E47" s="4633"/>
      <c r="F47" s="4634"/>
      <c r="G47" s="1761" t="e">
        <f t="shared" si="0"/>
        <v>#VALUE!</v>
      </c>
      <c r="H47" s="1762" t="e">
        <f t="shared" si="3"/>
        <v>#VALUE!</v>
      </c>
      <c r="I47" s="1759"/>
      <c r="J47" s="1763" t="e">
        <f t="shared" si="1"/>
        <v>#VALUE!</v>
      </c>
      <c r="K47" s="1763" t="e">
        <f t="shared" si="2"/>
        <v>#VALUE!</v>
      </c>
      <c r="L47" s="4630"/>
      <c r="M47" s="4630"/>
    </row>
    <row r="48" spans="2:14" ht="12.75" customHeight="1">
      <c r="B48" s="2005"/>
      <c r="C48" s="2006"/>
      <c r="D48" s="2007"/>
      <c r="E48" s="4633"/>
      <c r="F48" s="4634"/>
      <c r="G48" s="1761" t="e">
        <f t="shared" si="0"/>
        <v>#VALUE!</v>
      </c>
      <c r="H48" s="1762" t="e">
        <f t="shared" si="3"/>
        <v>#VALUE!</v>
      </c>
      <c r="I48" s="1759"/>
      <c r="J48" s="1763" t="e">
        <f t="shared" si="1"/>
        <v>#VALUE!</v>
      </c>
      <c r="K48" s="1763" t="e">
        <f t="shared" si="2"/>
        <v>#VALUE!</v>
      </c>
      <c r="L48" s="4630"/>
      <c r="M48" s="4630"/>
    </row>
    <row r="49" spans="1:13" ht="12.75" customHeight="1">
      <c r="B49" s="2005"/>
      <c r="C49" s="2006"/>
      <c r="D49" s="2007"/>
      <c r="E49" s="4633"/>
      <c r="F49" s="4634"/>
      <c r="G49" s="1761" t="e">
        <f t="shared" si="0"/>
        <v>#VALUE!</v>
      </c>
      <c r="H49" s="1762" t="e">
        <f t="shared" si="3"/>
        <v>#VALUE!</v>
      </c>
      <c r="I49" s="1759"/>
      <c r="J49" s="1763" t="e">
        <f t="shared" si="1"/>
        <v>#VALUE!</v>
      </c>
      <c r="K49" s="1763" t="e">
        <f t="shared" si="2"/>
        <v>#VALUE!</v>
      </c>
      <c r="L49" s="4630"/>
      <c r="M49" s="4630"/>
    </row>
    <row r="50" spans="1:13" ht="12.75" customHeight="1">
      <c r="B50" s="2005"/>
      <c r="C50" s="2006"/>
      <c r="D50" s="2007"/>
      <c r="E50" s="4633"/>
      <c r="F50" s="4634"/>
      <c r="G50" s="1761" t="e">
        <f t="shared" si="0"/>
        <v>#VALUE!</v>
      </c>
      <c r="H50" s="1762" t="e">
        <f t="shared" si="3"/>
        <v>#VALUE!</v>
      </c>
      <c r="I50" s="1759"/>
      <c r="J50" s="1763" t="e">
        <f t="shared" si="1"/>
        <v>#VALUE!</v>
      </c>
      <c r="K50" s="1763" t="e">
        <f t="shared" si="2"/>
        <v>#VALUE!</v>
      </c>
      <c r="L50" s="4630"/>
      <c r="M50" s="4630"/>
    </row>
    <row r="51" spans="1:13" ht="12.75" customHeight="1" thickBot="1">
      <c r="B51" s="2008"/>
      <c r="C51" s="2009"/>
      <c r="D51" s="2010"/>
      <c r="E51" s="4647"/>
      <c r="F51" s="4648"/>
      <c r="G51" s="1764" t="e">
        <f t="shared" si="0"/>
        <v>#VALUE!</v>
      </c>
      <c r="H51" s="1765" t="e">
        <f t="shared" si="3"/>
        <v>#VALUE!</v>
      </c>
      <c r="I51" s="1759"/>
      <c r="J51" s="1766" t="e">
        <f t="shared" si="1"/>
        <v>#VALUE!</v>
      </c>
      <c r="K51" s="1766" t="e">
        <f t="shared" si="2"/>
        <v>#VALUE!</v>
      </c>
      <c r="L51" s="4630"/>
      <c r="M51" s="4630"/>
    </row>
    <row r="52" spans="1:13" ht="15" customHeight="1" thickBot="1">
      <c r="A52" s="1715"/>
      <c r="B52" s="1728"/>
      <c r="D52" s="1722"/>
      <c r="E52" s="1722"/>
      <c r="F52" s="1722"/>
      <c r="G52" s="1740" t="s">
        <v>3995</v>
      </c>
      <c r="H52" s="1739" t="e">
        <f>SUM(H33:H51)</f>
        <v>#VALUE!</v>
      </c>
      <c r="I52" s="1722"/>
      <c r="J52" s="1728" t="s">
        <v>3996</v>
      </c>
      <c r="K52" s="1724" t="e">
        <f>SUM(K33:K51)</f>
        <v>#VALUE!</v>
      </c>
      <c r="L52" s="4630"/>
      <c r="M52" s="4630"/>
    </row>
    <row r="53" spans="1:13" ht="15" customHeight="1">
      <c r="A53" s="1715"/>
      <c r="B53" s="1990"/>
      <c r="C53" s="4649" t="s">
        <v>3997</v>
      </c>
      <c r="D53" s="4649"/>
      <c r="E53" s="4649"/>
      <c r="F53" s="4649"/>
      <c r="G53" s="4649"/>
      <c r="H53" s="4649"/>
      <c r="I53" s="4649"/>
      <c r="J53" s="4650"/>
      <c r="K53" s="1730" t="str">
        <f>IF(J17="no",0,IF(J17="yes",J16,"Error"))</f>
        <v>Error</v>
      </c>
      <c r="L53" s="4630"/>
      <c r="M53" s="4630"/>
    </row>
    <row r="54" spans="1:13" ht="15" customHeight="1" thickBot="1">
      <c r="A54" s="1715"/>
      <c r="B54" s="1990"/>
      <c r="C54" s="4651" t="s">
        <v>3998</v>
      </c>
      <c r="D54" s="4651"/>
      <c r="E54" s="4651"/>
      <c r="F54" s="4651"/>
      <c r="G54" s="4651"/>
      <c r="H54" s="4651"/>
      <c r="I54" s="4651"/>
      <c r="J54" s="4652"/>
      <c r="K54" s="1742" t="e">
        <f>K52+K53</f>
        <v>#VALUE!</v>
      </c>
    </row>
    <row r="55" spans="1:13" ht="7.9" customHeight="1">
      <c r="A55" s="4653"/>
      <c r="B55" s="4654"/>
      <c r="C55" s="4654"/>
      <c r="D55" s="4654"/>
      <c r="E55" s="4654"/>
      <c r="F55" s="4654"/>
      <c r="G55" s="4654"/>
      <c r="H55" s="4654"/>
      <c r="I55" s="4654"/>
      <c r="J55" s="4654"/>
      <c r="K55" s="1756"/>
    </row>
    <row r="56" spans="1:13" ht="15" customHeight="1">
      <c r="A56" s="4644" t="s">
        <v>3999</v>
      </c>
      <c r="B56" s="4645"/>
      <c r="C56" s="4645"/>
      <c r="D56" s="4645"/>
      <c r="E56" s="4645"/>
      <c r="F56" s="4645"/>
      <c r="G56" s="4645"/>
      <c r="H56" s="4645"/>
      <c r="I56" s="4645"/>
      <c r="J56" s="4645"/>
      <c r="K56" s="4646"/>
    </row>
    <row r="57" spans="1:13" ht="48" customHeight="1">
      <c r="A57" s="1712"/>
      <c r="B57" s="1703"/>
      <c r="C57" s="1714" t="s">
        <v>4000</v>
      </c>
      <c r="D57" s="1890" t="s">
        <v>6068</v>
      </c>
      <c r="E57" s="4655" t="s">
        <v>4016</v>
      </c>
      <c r="F57" s="4656"/>
      <c r="G57" s="4657" t="s">
        <v>4001</v>
      </c>
      <c r="H57" s="4658"/>
      <c r="I57" s="4655" t="s">
        <v>4015</v>
      </c>
      <c r="J57" s="4656"/>
      <c r="K57" s="4659"/>
    </row>
    <row r="58" spans="1:13" ht="15" customHeight="1">
      <c r="A58" s="1991"/>
      <c r="B58" s="1887"/>
      <c r="C58" s="1725">
        <f>SUMIF(C33:C51, "0", H33:H51)</f>
        <v>0</v>
      </c>
      <c r="D58" s="1891">
        <f t="shared" ref="D58:D63" si="4">ROUNDUP(C58*1.1,0)</f>
        <v>0</v>
      </c>
      <c r="E58" s="4661" t="s">
        <v>4002</v>
      </c>
      <c r="F58" s="4662"/>
      <c r="G58" s="4663">
        <v>153314.4</v>
      </c>
      <c r="H58" s="4664"/>
      <c r="I58" s="4665">
        <f t="shared" ref="I58:I63" si="5">D58*G58</f>
        <v>0</v>
      </c>
      <c r="J58" s="4665"/>
      <c r="K58" s="4660"/>
    </row>
    <row r="59" spans="1:13">
      <c r="A59" s="1991"/>
      <c r="B59" s="1887"/>
      <c r="C59" s="1726">
        <f>SUMIF(C33:C51, "1", H33:H51)</f>
        <v>0</v>
      </c>
      <c r="D59" s="1892">
        <f t="shared" si="4"/>
        <v>0</v>
      </c>
      <c r="E59" s="4666" t="s">
        <v>2463</v>
      </c>
      <c r="F59" s="4667"/>
      <c r="G59" s="4668">
        <v>175752</v>
      </c>
      <c r="H59" s="4669"/>
      <c r="I59" s="4670">
        <f t="shared" si="5"/>
        <v>0</v>
      </c>
      <c r="J59" s="4670"/>
      <c r="K59" s="4660"/>
    </row>
    <row r="60" spans="1:13" ht="15" customHeight="1">
      <c r="A60" s="1991"/>
      <c r="B60" s="1887"/>
      <c r="C60" s="1726">
        <f>SUMIF(C33:C51, "2", H33:H51)</f>
        <v>0</v>
      </c>
      <c r="D60" s="1892">
        <f t="shared" si="4"/>
        <v>0</v>
      </c>
      <c r="E60" s="4666" t="s">
        <v>2464</v>
      </c>
      <c r="F60" s="4667"/>
      <c r="G60" s="4668">
        <v>213717.6</v>
      </c>
      <c r="H60" s="4669"/>
      <c r="I60" s="4670">
        <f t="shared" si="5"/>
        <v>0</v>
      </c>
      <c r="J60" s="4670"/>
      <c r="K60" s="4660"/>
    </row>
    <row r="61" spans="1:13">
      <c r="A61" s="1991"/>
      <c r="B61" s="1887"/>
      <c r="C61" s="1726">
        <f>SUMIF(C33:C51, "3", H33:H51)</f>
        <v>0</v>
      </c>
      <c r="D61" s="1892">
        <f t="shared" si="4"/>
        <v>0</v>
      </c>
      <c r="E61" s="4666" t="s">
        <v>2467</v>
      </c>
      <c r="F61" s="4667"/>
      <c r="G61" s="4668">
        <v>276482.40000000002</v>
      </c>
      <c r="H61" s="4669"/>
      <c r="I61" s="4670">
        <f t="shared" si="5"/>
        <v>0</v>
      </c>
      <c r="J61" s="4670"/>
      <c r="K61" s="4660"/>
    </row>
    <row r="62" spans="1:13">
      <c r="A62" s="1991"/>
      <c r="B62" s="1887"/>
      <c r="C62" s="1726">
        <f>SUMIF(C33:C51, "4", H33:H51)</f>
        <v>0</v>
      </c>
      <c r="D62" s="1892">
        <f t="shared" si="4"/>
        <v>0</v>
      </c>
      <c r="E62" s="4666" t="s">
        <v>4003</v>
      </c>
      <c r="F62" s="4667"/>
      <c r="G62" s="4668">
        <v>303489.59999999998</v>
      </c>
      <c r="H62" s="4669"/>
      <c r="I62" s="4670">
        <f t="shared" si="5"/>
        <v>0</v>
      </c>
      <c r="J62" s="4670"/>
      <c r="K62" s="4660"/>
    </row>
    <row r="63" spans="1:13">
      <c r="A63" s="1888"/>
      <c r="B63" s="1889"/>
      <c r="C63" s="1727">
        <f>SUMIF(C33:C51, "5", H33:H51)</f>
        <v>0</v>
      </c>
      <c r="D63" s="1893">
        <f t="shared" si="4"/>
        <v>0</v>
      </c>
      <c r="E63" s="4672" t="s">
        <v>4004</v>
      </c>
      <c r="F63" s="4673"/>
      <c r="G63" s="4674">
        <v>303489.59999999998</v>
      </c>
      <c r="H63" s="4675"/>
      <c r="I63" s="4676">
        <f t="shared" si="5"/>
        <v>0</v>
      </c>
      <c r="J63" s="4676"/>
      <c r="K63" s="1754"/>
    </row>
    <row r="64" spans="1:13" ht="14.5" thickBot="1">
      <c r="A64" s="1886" t="s">
        <v>4005</v>
      </c>
      <c r="B64" s="1744">
        <f>SUM(C58:C63)</f>
        <v>0</v>
      </c>
      <c r="C64" s="1894"/>
      <c r="D64" s="1894">
        <f>SUM(D58:D63)</f>
        <v>0</v>
      </c>
      <c r="E64" s="1885"/>
      <c r="F64" s="1885"/>
      <c r="G64" s="1885"/>
      <c r="H64" s="1885"/>
      <c r="I64" s="1885"/>
      <c r="J64" s="1868" t="s">
        <v>4006</v>
      </c>
      <c r="K64" s="1743">
        <f>SUM(I58:I62)</f>
        <v>0</v>
      </c>
    </row>
    <row r="65" spans="1:11">
      <c r="A65" s="4654"/>
      <c r="B65" s="4654"/>
      <c r="C65" s="4654"/>
      <c r="D65" s="4654"/>
      <c r="E65" s="4654"/>
      <c r="F65" s="4654"/>
      <c r="G65" s="4654"/>
      <c r="H65" s="4654"/>
      <c r="I65" s="4654"/>
      <c r="J65" s="4654"/>
    </row>
    <row r="66" spans="1:11">
      <c r="A66" s="4644" t="s">
        <v>4007</v>
      </c>
      <c r="B66" s="4645"/>
      <c r="C66" s="4645"/>
      <c r="D66" s="4645"/>
      <c r="E66" s="4645"/>
      <c r="F66" s="4645"/>
      <c r="G66" s="4645"/>
      <c r="H66" s="4645"/>
      <c r="I66" s="4645"/>
      <c r="J66" s="4645"/>
      <c r="K66" s="4646"/>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4.5" thickBot="1">
      <c r="A69" s="1747"/>
      <c r="B69" s="1704"/>
      <c r="C69" s="1751"/>
      <c r="D69" s="1751"/>
      <c r="E69" s="1751" t="s">
        <v>4010</v>
      </c>
      <c r="F69" s="1751"/>
      <c r="G69" s="1751"/>
      <c r="H69" s="1751"/>
      <c r="I69" s="1751"/>
      <c r="J69" s="1752"/>
      <c r="K69" s="1755">
        <f>K64</f>
        <v>0</v>
      </c>
    </row>
    <row r="70" spans="1:11" ht="14.5" thickBot="1">
      <c r="A70" s="1713"/>
      <c r="B70" s="1705"/>
      <c r="C70" s="4671" t="s">
        <v>4011</v>
      </c>
      <c r="D70" s="4671"/>
      <c r="E70" s="4671"/>
      <c r="F70" s="4671"/>
      <c r="G70" s="4671"/>
      <c r="H70" s="4671"/>
      <c r="I70" s="4671"/>
      <c r="J70" s="4671"/>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796875" defaultRowHeight="14"/>
  <cols>
    <col min="1" max="1" width="5.453125" style="1691" customWidth="1"/>
    <col min="2" max="2" width="6.26953125" style="1691" customWidth="1"/>
    <col min="3" max="3" width="9.81640625" style="1691" customWidth="1"/>
    <col min="4" max="4" width="10.453125" style="1691" customWidth="1"/>
    <col min="5" max="5" width="7.7265625" style="1695" customWidth="1"/>
    <col min="6" max="6" width="8" style="1691" customWidth="1"/>
    <col min="7" max="7" width="8.7265625" style="1691" customWidth="1"/>
    <col min="8" max="8" width="10.26953125" style="1691" customWidth="1"/>
    <col min="9" max="9" width="10.7265625" style="1691" customWidth="1"/>
    <col min="10" max="10" width="11.7265625" style="1691" customWidth="1"/>
    <col min="11" max="11" width="11.81640625" style="1691" customWidth="1"/>
    <col min="12" max="16384" width="9.1796875" style="1691"/>
  </cols>
  <sheetData>
    <row r="1" spans="1:11" ht="18">
      <c r="A1" s="1741" t="s">
        <v>3970</v>
      </c>
      <c r="B1" s="1741"/>
      <c r="C1" s="1741"/>
      <c r="D1" s="1741"/>
      <c r="E1" s="1741"/>
      <c r="F1" s="1741"/>
      <c r="G1" s="1741"/>
      <c r="H1" s="1741"/>
    </row>
    <row r="2" spans="1:11" ht="18.5" thickBot="1">
      <c r="A2" s="1741" t="s">
        <v>3971</v>
      </c>
      <c r="B2" s="1741"/>
      <c r="C2" s="1741"/>
      <c r="D2" s="1741"/>
      <c r="E2" s="1741"/>
      <c r="F2" s="1741"/>
      <c r="G2" s="1741"/>
      <c r="H2" s="1741"/>
    </row>
    <row r="3" spans="1:11" ht="15" customHeight="1" thickBot="1">
      <c r="A3" s="1692" t="s">
        <v>3972</v>
      </c>
      <c r="B3" s="1693"/>
      <c r="C3" s="1694"/>
      <c r="D3" s="4618" t="str">
        <f>'Part I-Project Identification'!F29</f>
        <v>Villa Rica Senior</v>
      </c>
      <c r="E3" s="4619"/>
      <c r="F3" s="4619"/>
      <c r="G3" s="4619"/>
      <c r="H3" s="4619"/>
      <c r="I3" s="4619"/>
      <c r="J3" s="4685" t="s">
        <v>3975</v>
      </c>
      <c r="K3" s="4686"/>
    </row>
    <row r="4" spans="1:11" ht="15" customHeight="1">
      <c r="A4" s="1696" t="s">
        <v>3973</v>
      </c>
      <c r="B4" s="1697"/>
      <c r="C4" s="1698"/>
      <c r="D4" s="4622" t="e">
        <f>CONCATENATE('Part I-Project Identification'!#REF!,", ",'Part I-Project Identification'!F30,", GA ",'Part I-Project Identification'!#REF!," (",'Part I-Project Identification'!J30," Co.)",)</f>
        <v>#REF!</v>
      </c>
      <c r="E4" s="4623"/>
      <c r="F4" s="4623"/>
      <c r="G4" s="4623"/>
      <c r="H4" s="4623"/>
      <c r="I4" s="4623"/>
      <c r="J4" s="4624" t="s">
        <v>4014</v>
      </c>
      <c r="K4" s="4625"/>
    </row>
    <row r="5" spans="1:11" ht="15" customHeight="1" thickBot="1">
      <c r="A5" s="1699" t="s">
        <v>3974</v>
      </c>
      <c r="B5" s="1700"/>
      <c r="C5" s="1701"/>
      <c r="D5" s="4628"/>
      <c r="E5" s="4629"/>
      <c r="F5" s="4629"/>
      <c r="G5" s="4629"/>
      <c r="H5" s="4629"/>
      <c r="I5" s="4629"/>
      <c r="J5" s="4626"/>
      <c r="K5" s="4627"/>
    </row>
    <row r="6" spans="1:11" ht="9" customHeight="1" thickBot="1">
      <c r="E6" s="1691"/>
    </row>
    <row r="7" spans="1:11">
      <c r="A7" s="4610" t="s">
        <v>3976</v>
      </c>
      <c r="B7" s="4611"/>
      <c r="C7" s="4611"/>
      <c r="D7" s="4611"/>
      <c r="E7" s="4611"/>
      <c r="F7" s="4611"/>
      <c r="G7" s="4611"/>
      <c r="H7" s="4611"/>
      <c r="I7" s="4611"/>
      <c r="J7" s="4611"/>
      <c r="K7" s="4612"/>
    </row>
    <row r="8" spans="1:11" ht="14.25" customHeight="1">
      <c r="A8" s="1717"/>
      <c r="B8" s="1717"/>
      <c r="C8" s="1731">
        <v>1</v>
      </c>
      <c r="D8" s="1718" t="s">
        <v>3977</v>
      </c>
      <c r="E8" s="1718"/>
      <c r="F8" s="1718"/>
      <c r="G8" s="1718"/>
      <c r="H8" s="1718"/>
      <c r="I8" s="1718"/>
      <c r="J8" s="4700"/>
      <c r="K8" s="4701"/>
    </row>
    <row r="9" spans="1:11" ht="7.15" customHeight="1">
      <c r="A9" s="4613"/>
      <c r="B9" s="4613"/>
      <c r="C9" s="4613"/>
      <c r="D9" s="4614"/>
      <c r="E9" s="4614"/>
      <c r="F9" s="4614"/>
      <c r="G9" s="4614"/>
      <c r="H9" s="4614"/>
      <c r="I9" s="4614"/>
      <c r="J9" s="4614"/>
      <c r="K9" s="1719"/>
    </row>
    <row r="10" spans="1:11">
      <c r="A10" s="4615" t="s">
        <v>3978</v>
      </c>
      <c r="B10" s="4616"/>
      <c r="C10" s="4616"/>
      <c r="D10" s="4616"/>
      <c r="E10" s="4616"/>
      <c r="F10" s="4616"/>
      <c r="G10" s="4616"/>
      <c r="H10" s="4616"/>
      <c r="I10" s="4616"/>
      <c r="J10" s="4616"/>
      <c r="K10" s="4617"/>
    </row>
    <row r="11" spans="1:11" ht="14.25" customHeight="1">
      <c r="A11" s="1717"/>
      <c r="B11" s="1717"/>
      <c r="C11" s="1731">
        <v>2</v>
      </c>
      <c r="D11" s="1718" t="s">
        <v>3979</v>
      </c>
      <c r="E11" s="1720"/>
      <c r="F11" s="1720"/>
      <c r="G11" s="1720"/>
      <c r="H11" s="1720"/>
      <c r="I11" s="1720"/>
      <c r="J11" s="4698"/>
      <c r="K11" s="4699"/>
    </row>
    <row r="12" spans="1:11" ht="7.15" customHeight="1">
      <c r="A12" s="4613"/>
      <c r="B12" s="4613"/>
      <c r="C12" s="4613"/>
      <c r="D12" s="4614"/>
      <c r="E12" s="4614"/>
      <c r="F12" s="4614"/>
      <c r="G12" s="4614"/>
      <c r="H12" s="4614"/>
      <c r="I12" s="4614"/>
      <c r="J12" s="4614"/>
      <c r="K12" s="1721"/>
    </row>
    <row r="13" spans="1:11">
      <c r="A13" s="4615" t="s">
        <v>3980</v>
      </c>
      <c r="B13" s="4616"/>
      <c r="C13" s="4616"/>
      <c r="D13" s="4616"/>
      <c r="E13" s="4616"/>
      <c r="F13" s="4616"/>
      <c r="G13" s="4616"/>
      <c r="H13" s="4616"/>
      <c r="I13" s="4616"/>
      <c r="J13" s="4616"/>
      <c r="K13" s="4617"/>
    </row>
    <row r="14" spans="1:11" ht="14.25" customHeight="1">
      <c r="A14" s="1697"/>
      <c r="B14" s="1697"/>
      <c r="C14" s="1732">
        <v>3</v>
      </c>
      <c r="D14" s="1722" t="s">
        <v>3981</v>
      </c>
      <c r="E14" s="1722"/>
      <c r="F14" s="1722"/>
      <c r="G14" s="1722"/>
      <c r="H14" s="1722"/>
      <c r="I14" s="1722"/>
      <c r="J14" s="4696"/>
      <c r="K14" s="4697"/>
    </row>
    <row r="15" spans="1:11" ht="14.25" customHeight="1">
      <c r="A15" s="1697"/>
      <c r="B15" s="1697"/>
      <c r="C15" s="1733">
        <v>4</v>
      </c>
      <c r="D15" s="1697" t="s">
        <v>3982</v>
      </c>
      <c r="E15" s="1697"/>
      <c r="F15" s="1697"/>
      <c r="G15" s="1697"/>
      <c r="H15" s="1697"/>
      <c r="I15" s="1697"/>
      <c r="J15" s="4694"/>
      <c r="K15" s="4695"/>
    </row>
    <row r="16" spans="1:11" ht="14.25" customHeight="1">
      <c r="A16" s="1697"/>
      <c r="B16" s="1697"/>
      <c r="C16" s="1733">
        <v>5</v>
      </c>
      <c r="D16" s="1697" t="s">
        <v>3983</v>
      </c>
      <c r="E16" s="1697"/>
      <c r="F16" s="1697"/>
      <c r="G16" s="1697"/>
      <c r="H16" s="1697"/>
      <c r="I16" s="1697"/>
      <c r="J16" s="4694"/>
      <c r="K16" s="4695"/>
    </row>
    <row r="17" spans="1:13" ht="14.25" customHeight="1">
      <c r="A17" s="1717"/>
      <c r="B17" s="1717"/>
      <c r="C17" s="1734">
        <v>6</v>
      </c>
      <c r="D17" s="1700" t="s">
        <v>3984</v>
      </c>
      <c r="E17" s="1700"/>
      <c r="F17" s="1700"/>
      <c r="G17" s="1700"/>
      <c r="H17" s="1700"/>
      <c r="I17" s="1700"/>
      <c r="J17" s="4702"/>
      <c r="K17" s="4703"/>
    </row>
    <row r="18" spans="1:13" ht="7.15" customHeight="1">
      <c r="A18" s="4613"/>
      <c r="B18" s="4613"/>
      <c r="C18" s="4613"/>
      <c r="D18" s="4614"/>
      <c r="E18" s="4614"/>
      <c r="F18" s="4614"/>
      <c r="G18" s="4614"/>
      <c r="H18" s="4614"/>
      <c r="I18" s="4614"/>
      <c r="J18" s="4614"/>
      <c r="K18" s="1721"/>
    </row>
    <row r="19" spans="1:13" ht="14.25" customHeight="1">
      <c r="A19" s="1697"/>
      <c r="B19" s="1697"/>
      <c r="C19" s="1732">
        <v>7</v>
      </c>
      <c r="D19" s="1722" t="s">
        <v>3985</v>
      </c>
      <c r="E19" s="1722"/>
      <c r="F19" s="1722"/>
      <c r="G19" s="1722"/>
      <c r="H19" s="1722"/>
      <c r="I19" s="1722"/>
      <c r="J19" s="4681" t="str">
        <f>IF(J17="No",J14-J15,IF(J17="Yes",J14-J15-J16,"Error"))</f>
        <v>Error</v>
      </c>
      <c r="K19" s="4682"/>
    </row>
    <row r="20" spans="1:13" ht="14.25" customHeight="1">
      <c r="A20" s="1717"/>
      <c r="B20" s="1717"/>
      <c r="C20" s="1734">
        <v>8</v>
      </c>
      <c r="D20" s="1700" t="s">
        <v>3986</v>
      </c>
      <c r="E20" s="1700"/>
      <c r="F20" s="1700"/>
      <c r="G20" s="1700"/>
      <c r="H20" s="1700"/>
      <c r="I20" s="1700"/>
      <c r="J20" s="4679" t="e">
        <f>ROUNDDOWN(J19/J8,2)</f>
        <v>#VALUE!</v>
      </c>
      <c r="K20" s="4680"/>
    </row>
    <row r="21" spans="1:13" ht="7.15" customHeight="1">
      <c r="A21" s="4613"/>
      <c r="B21" s="4613"/>
      <c r="C21" s="4613"/>
      <c r="D21" s="4614"/>
      <c r="E21" s="4614"/>
      <c r="F21" s="4614"/>
      <c r="G21" s="4614"/>
      <c r="H21" s="4614"/>
      <c r="I21" s="4614"/>
      <c r="J21" s="4614"/>
      <c r="K21" s="1721"/>
    </row>
    <row r="22" spans="1:13" ht="14.25" customHeight="1" thickBot="1">
      <c r="A22" s="1697"/>
      <c r="B22" s="1697"/>
      <c r="C22" s="1731">
        <v>9</v>
      </c>
      <c r="D22" s="1723" t="s">
        <v>3987</v>
      </c>
      <c r="E22" s="1723"/>
      <c r="F22" s="1723"/>
      <c r="G22" s="1723"/>
      <c r="H22" s="1723"/>
      <c r="I22" s="1723"/>
      <c r="J22" s="4677" t="e">
        <f>J11/J19</f>
        <v>#VALUE!</v>
      </c>
      <c r="K22" s="4678"/>
    </row>
    <row r="23" spans="1:13" ht="9" customHeight="1">
      <c r="A23" s="1706"/>
      <c r="C23" s="1707"/>
      <c r="D23" s="1707"/>
      <c r="E23" s="1707"/>
      <c r="F23" s="1707"/>
      <c r="G23" s="1707"/>
      <c r="H23" s="1707"/>
      <c r="I23" s="1707"/>
      <c r="J23" s="1707"/>
      <c r="K23" s="1708"/>
    </row>
    <row r="24" spans="1:13" ht="18">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35" t="s">
        <v>4018</v>
      </c>
      <c r="B30" s="4636"/>
      <c r="C30" s="4636"/>
      <c r="D30" s="4636"/>
      <c r="E30" s="4636"/>
      <c r="F30" s="4636"/>
      <c r="G30" s="4636"/>
      <c r="H30" s="4636"/>
      <c r="I30" s="4636"/>
      <c r="J30" s="4636"/>
      <c r="K30" s="4637"/>
    </row>
    <row r="31" spans="1:13">
      <c r="A31" s="1715"/>
      <c r="B31" s="4691" t="s">
        <v>3975</v>
      </c>
      <c r="C31" s="4691"/>
      <c r="D31" s="4691"/>
      <c r="E31" s="4691"/>
      <c r="F31" s="4691"/>
      <c r="G31" s="4639" t="s">
        <v>3989</v>
      </c>
      <c r="H31" s="4640"/>
      <c r="I31" s="4640"/>
      <c r="J31" s="4640"/>
      <c r="K31" s="4641"/>
    </row>
    <row r="32" spans="1:13" ht="56.25" customHeight="1">
      <c r="A32" s="1716"/>
      <c r="B32" s="1735" t="s">
        <v>4017</v>
      </c>
      <c r="C32" s="1736" t="s">
        <v>4013</v>
      </c>
      <c r="D32" s="1736" t="s">
        <v>4012</v>
      </c>
      <c r="E32" s="4642" t="s">
        <v>6103</v>
      </c>
      <c r="F32" s="4643"/>
      <c r="G32" s="1737" t="s">
        <v>3990</v>
      </c>
      <c r="H32" s="1737" t="s">
        <v>3991</v>
      </c>
      <c r="J32" s="1737" t="s">
        <v>3992</v>
      </c>
      <c r="K32" s="1737" t="s">
        <v>3993</v>
      </c>
      <c r="L32" s="4630" t="s">
        <v>3994</v>
      </c>
      <c r="M32" s="4630"/>
    </row>
    <row r="33" spans="2:14" ht="12.75" customHeight="1">
      <c r="B33" s="1904"/>
      <c r="C33" s="1905"/>
      <c r="D33" s="1906"/>
      <c r="E33" s="4687"/>
      <c r="F33" s="4688"/>
      <c r="G33" s="1757" t="e">
        <f t="shared" ref="G33:G51" si="0">$J$22*B33</f>
        <v>#VALUE!</v>
      </c>
      <c r="H33" s="1758" t="e">
        <f>ROUNDUP(G33,0)</f>
        <v>#VALUE!</v>
      </c>
      <c r="I33" s="1759"/>
      <c r="J33" s="1760" t="e">
        <f t="shared" ref="J33:J51" si="1">$J$20*E33</f>
        <v>#VALUE!</v>
      </c>
      <c r="K33" s="1760" t="e">
        <f t="shared" ref="K33:K51" si="2">ROUNDDOWN(J33*H33,0)</f>
        <v>#VALUE!</v>
      </c>
      <c r="L33" s="4630"/>
      <c r="M33" s="4630"/>
    </row>
    <row r="34" spans="2:14" ht="12.75" customHeight="1">
      <c r="B34" s="1907"/>
      <c r="C34" s="1908"/>
      <c r="D34" s="1909"/>
      <c r="E34" s="4689"/>
      <c r="F34" s="4690"/>
      <c r="G34" s="1761" t="e">
        <f t="shared" si="0"/>
        <v>#VALUE!</v>
      </c>
      <c r="H34" s="1762" t="e">
        <f t="shared" ref="H34:H51" si="3">ROUNDUP(G34,0)</f>
        <v>#VALUE!</v>
      </c>
      <c r="I34" s="1759"/>
      <c r="J34" s="1763" t="e">
        <f t="shared" si="1"/>
        <v>#VALUE!</v>
      </c>
      <c r="K34" s="1763" t="e">
        <f t="shared" si="2"/>
        <v>#VALUE!</v>
      </c>
      <c r="L34" s="4630"/>
      <c r="M34" s="4630"/>
    </row>
    <row r="35" spans="2:14" ht="12.75" customHeight="1">
      <c r="B35" s="1907"/>
      <c r="C35" s="1908"/>
      <c r="D35" s="1909"/>
      <c r="E35" s="4689"/>
      <c r="F35" s="4690"/>
      <c r="G35" s="1761" t="e">
        <f t="shared" si="0"/>
        <v>#VALUE!</v>
      </c>
      <c r="H35" s="1762" t="e">
        <f t="shared" si="3"/>
        <v>#VALUE!</v>
      </c>
      <c r="I35" s="1759"/>
      <c r="J35" s="1763" t="e">
        <f t="shared" si="1"/>
        <v>#VALUE!</v>
      </c>
      <c r="K35" s="1763" t="e">
        <f t="shared" si="2"/>
        <v>#VALUE!</v>
      </c>
      <c r="L35" s="4630"/>
      <c r="M35" s="4630"/>
    </row>
    <row r="36" spans="2:14" ht="12.75" customHeight="1">
      <c r="B36" s="1907"/>
      <c r="C36" s="1908"/>
      <c r="D36" s="1909"/>
      <c r="E36" s="4689"/>
      <c r="F36" s="4690"/>
      <c r="G36" s="1761" t="e">
        <f t="shared" si="0"/>
        <v>#VALUE!</v>
      </c>
      <c r="H36" s="1762" t="e">
        <f t="shared" si="3"/>
        <v>#VALUE!</v>
      </c>
      <c r="I36" s="1759"/>
      <c r="J36" s="1763" t="e">
        <f t="shared" si="1"/>
        <v>#VALUE!</v>
      </c>
      <c r="K36" s="1763" t="e">
        <f t="shared" si="2"/>
        <v>#VALUE!</v>
      </c>
      <c r="L36" s="4630"/>
      <c r="M36" s="4630"/>
      <c r="N36" s="1710"/>
    </row>
    <row r="37" spans="2:14" ht="12.75" customHeight="1">
      <c r="B37" s="1907"/>
      <c r="C37" s="1908"/>
      <c r="D37" s="1909"/>
      <c r="E37" s="4689"/>
      <c r="F37" s="4690"/>
      <c r="G37" s="1761" t="e">
        <f t="shared" si="0"/>
        <v>#VALUE!</v>
      </c>
      <c r="H37" s="1762" t="e">
        <f t="shared" si="3"/>
        <v>#VALUE!</v>
      </c>
      <c r="I37" s="1759"/>
      <c r="J37" s="1763" t="e">
        <f t="shared" si="1"/>
        <v>#VALUE!</v>
      </c>
      <c r="K37" s="1763" t="e">
        <f t="shared" si="2"/>
        <v>#VALUE!</v>
      </c>
      <c r="L37" s="4630"/>
      <c r="M37" s="4630"/>
    </row>
    <row r="38" spans="2:14" ht="12.75" customHeight="1">
      <c r="B38" s="1907"/>
      <c r="C38" s="1908"/>
      <c r="D38" s="1909"/>
      <c r="E38" s="4689"/>
      <c r="F38" s="4690"/>
      <c r="G38" s="1761" t="e">
        <f t="shared" si="0"/>
        <v>#VALUE!</v>
      </c>
      <c r="H38" s="1762" t="e">
        <f t="shared" si="3"/>
        <v>#VALUE!</v>
      </c>
      <c r="I38" s="1759"/>
      <c r="J38" s="1763" t="e">
        <f t="shared" si="1"/>
        <v>#VALUE!</v>
      </c>
      <c r="K38" s="1763" t="e">
        <f t="shared" si="2"/>
        <v>#VALUE!</v>
      </c>
      <c r="L38" s="4630"/>
      <c r="M38" s="4630"/>
    </row>
    <row r="39" spans="2:14" ht="12.75" customHeight="1">
      <c r="B39" s="1907"/>
      <c r="C39" s="1908"/>
      <c r="D39" s="1909"/>
      <c r="E39" s="4689"/>
      <c r="F39" s="4690"/>
      <c r="G39" s="1761" t="e">
        <f t="shared" si="0"/>
        <v>#VALUE!</v>
      </c>
      <c r="H39" s="1762" t="e">
        <f t="shared" si="3"/>
        <v>#VALUE!</v>
      </c>
      <c r="I39" s="1759"/>
      <c r="J39" s="1763" t="e">
        <f t="shared" si="1"/>
        <v>#VALUE!</v>
      </c>
      <c r="K39" s="1763" t="e">
        <f t="shared" si="2"/>
        <v>#VALUE!</v>
      </c>
      <c r="L39" s="4630"/>
      <c r="M39" s="4630"/>
    </row>
    <row r="40" spans="2:14" ht="12.75" customHeight="1">
      <c r="B40" s="1907"/>
      <c r="C40" s="1908"/>
      <c r="D40" s="1909"/>
      <c r="E40" s="4689"/>
      <c r="F40" s="4690"/>
      <c r="G40" s="1761" t="e">
        <f t="shared" si="0"/>
        <v>#VALUE!</v>
      </c>
      <c r="H40" s="1762" t="e">
        <f t="shared" si="3"/>
        <v>#VALUE!</v>
      </c>
      <c r="I40" s="1759"/>
      <c r="J40" s="1763" t="e">
        <f t="shared" si="1"/>
        <v>#VALUE!</v>
      </c>
      <c r="K40" s="1763" t="e">
        <f t="shared" si="2"/>
        <v>#VALUE!</v>
      </c>
      <c r="L40" s="4630"/>
      <c r="M40" s="4630"/>
    </row>
    <row r="41" spans="2:14" ht="12.75" customHeight="1">
      <c r="B41" s="1907"/>
      <c r="C41" s="1908"/>
      <c r="D41" s="1909"/>
      <c r="E41" s="4689"/>
      <c r="F41" s="4690"/>
      <c r="G41" s="1761" t="e">
        <f t="shared" si="0"/>
        <v>#VALUE!</v>
      </c>
      <c r="H41" s="1762" t="e">
        <f t="shared" si="3"/>
        <v>#VALUE!</v>
      </c>
      <c r="I41" s="1759"/>
      <c r="J41" s="1763" t="e">
        <f t="shared" si="1"/>
        <v>#VALUE!</v>
      </c>
      <c r="K41" s="1763" t="e">
        <f t="shared" si="2"/>
        <v>#VALUE!</v>
      </c>
      <c r="L41" s="4630"/>
      <c r="M41" s="4630"/>
    </row>
    <row r="42" spans="2:14" ht="12.75" customHeight="1">
      <c r="B42" s="1907"/>
      <c r="C42" s="1908"/>
      <c r="D42" s="1909"/>
      <c r="E42" s="4689"/>
      <c r="F42" s="4690"/>
      <c r="G42" s="1761" t="e">
        <f t="shared" si="0"/>
        <v>#VALUE!</v>
      </c>
      <c r="H42" s="1762" t="e">
        <f>ROUNDUP(G42,0)</f>
        <v>#VALUE!</v>
      </c>
      <c r="I42" s="1759"/>
      <c r="J42" s="1763" t="e">
        <f t="shared" si="1"/>
        <v>#VALUE!</v>
      </c>
      <c r="K42" s="1763" t="e">
        <f t="shared" si="2"/>
        <v>#VALUE!</v>
      </c>
      <c r="L42" s="4630"/>
      <c r="M42" s="4630"/>
    </row>
    <row r="43" spans="2:14" ht="12.75" customHeight="1">
      <c r="B43" s="1907"/>
      <c r="C43" s="1908"/>
      <c r="D43" s="1909"/>
      <c r="E43" s="4689"/>
      <c r="F43" s="4690"/>
      <c r="G43" s="1761" t="e">
        <f t="shared" si="0"/>
        <v>#VALUE!</v>
      </c>
      <c r="H43" s="1762" t="e">
        <f>ROUNDUP(G43,0)</f>
        <v>#VALUE!</v>
      </c>
      <c r="I43" s="1759"/>
      <c r="J43" s="1763" t="e">
        <f t="shared" si="1"/>
        <v>#VALUE!</v>
      </c>
      <c r="K43" s="1763" t="e">
        <f t="shared" si="2"/>
        <v>#VALUE!</v>
      </c>
      <c r="L43" s="4630"/>
      <c r="M43" s="4630"/>
    </row>
    <row r="44" spans="2:14" ht="12.75" customHeight="1">
      <c r="B44" s="1907"/>
      <c r="C44" s="1908"/>
      <c r="D44" s="1909"/>
      <c r="E44" s="4689"/>
      <c r="F44" s="4690"/>
      <c r="G44" s="1761" t="e">
        <f t="shared" si="0"/>
        <v>#VALUE!</v>
      </c>
      <c r="H44" s="1762" t="e">
        <f>ROUNDUP(G44,0)</f>
        <v>#VALUE!</v>
      </c>
      <c r="I44" s="1759"/>
      <c r="J44" s="1763" t="e">
        <f t="shared" si="1"/>
        <v>#VALUE!</v>
      </c>
      <c r="K44" s="1763" t="e">
        <f t="shared" si="2"/>
        <v>#VALUE!</v>
      </c>
      <c r="L44" s="4630"/>
      <c r="M44" s="4630"/>
    </row>
    <row r="45" spans="2:14" ht="12.75" customHeight="1">
      <c r="B45" s="1907"/>
      <c r="C45" s="1908"/>
      <c r="D45" s="1909"/>
      <c r="E45" s="4689"/>
      <c r="F45" s="4690"/>
      <c r="G45" s="1761" t="e">
        <f t="shared" si="0"/>
        <v>#VALUE!</v>
      </c>
      <c r="H45" s="1762" t="e">
        <f>ROUNDUP(G45,0)</f>
        <v>#VALUE!</v>
      </c>
      <c r="I45" s="1759"/>
      <c r="J45" s="1763" t="e">
        <f t="shared" si="1"/>
        <v>#VALUE!</v>
      </c>
      <c r="K45" s="1763" t="e">
        <f t="shared" si="2"/>
        <v>#VALUE!</v>
      </c>
      <c r="L45" s="4630"/>
      <c r="M45" s="4630"/>
    </row>
    <row r="46" spans="2:14" ht="12.75" customHeight="1">
      <c r="B46" s="1907"/>
      <c r="C46" s="1908"/>
      <c r="D46" s="1909"/>
      <c r="E46" s="4689"/>
      <c r="F46" s="4690"/>
      <c r="G46" s="1761" t="e">
        <f t="shared" si="0"/>
        <v>#VALUE!</v>
      </c>
      <c r="H46" s="1762" t="e">
        <f t="shared" si="3"/>
        <v>#VALUE!</v>
      </c>
      <c r="I46" s="1759"/>
      <c r="J46" s="1763" t="e">
        <f t="shared" si="1"/>
        <v>#VALUE!</v>
      </c>
      <c r="K46" s="1763" t="e">
        <f t="shared" si="2"/>
        <v>#VALUE!</v>
      </c>
      <c r="L46" s="4630"/>
      <c r="M46" s="4630"/>
    </row>
    <row r="47" spans="2:14" ht="12.75" customHeight="1">
      <c r="B47" s="1907"/>
      <c r="C47" s="1908"/>
      <c r="D47" s="1909"/>
      <c r="E47" s="4689"/>
      <c r="F47" s="4690"/>
      <c r="G47" s="1761" t="e">
        <f t="shared" si="0"/>
        <v>#VALUE!</v>
      </c>
      <c r="H47" s="1762" t="e">
        <f t="shared" si="3"/>
        <v>#VALUE!</v>
      </c>
      <c r="I47" s="1759"/>
      <c r="J47" s="1763" t="e">
        <f t="shared" si="1"/>
        <v>#VALUE!</v>
      </c>
      <c r="K47" s="1763" t="e">
        <f t="shared" si="2"/>
        <v>#VALUE!</v>
      </c>
      <c r="L47" s="4630"/>
      <c r="M47" s="4630"/>
    </row>
    <row r="48" spans="2:14" ht="12.75" customHeight="1">
      <c r="B48" s="1907"/>
      <c r="C48" s="1908"/>
      <c r="D48" s="1909"/>
      <c r="E48" s="4689"/>
      <c r="F48" s="4690"/>
      <c r="G48" s="1761" t="e">
        <f t="shared" si="0"/>
        <v>#VALUE!</v>
      </c>
      <c r="H48" s="1762" t="e">
        <f>ROUNDUP(G48,0)</f>
        <v>#VALUE!</v>
      </c>
      <c r="I48" s="1759"/>
      <c r="J48" s="1763" t="e">
        <f t="shared" si="1"/>
        <v>#VALUE!</v>
      </c>
      <c r="K48" s="1763" t="e">
        <f t="shared" si="2"/>
        <v>#VALUE!</v>
      </c>
      <c r="L48" s="4630"/>
      <c r="M48" s="4630"/>
    </row>
    <row r="49" spans="1:13" ht="12.75" customHeight="1">
      <c r="B49" s="1907"/>
      <c r="C49" s="1908"/>
      <c r="D49" s="1909"/>
      <c r="E49" s="4689"/>
      <c r="F49" s="4690"/>
      <c r="G49" s="1761" t="e">
        <f t="shared" si="0"/>
        <v>#VALUE!</v>
      </c>
      <c r="H49" s="1762" t="e">
        <f t="shared" si="3"/>
        <v>#VALUE!</v>
      </c>
      <c r="I49" s="1759"/>
      <c r="J49" s="1763" t="e">
        <f t="shared" si="1"/>
        <v>#VALUE!</v>
      </c>
      <c r="K49" s="1763" t="e">
        <f t="shared" si="2"/>
        <v>#VALUE!</v>
      </c>
      <c r="L49" s="4630"/>
      <c r="M49" s="4630"/>
    </row>
    <row r="50" spans="1:13" ht="12.75" customHeight="1">
      <c r="B50" s="1907"/>
      <c r="C50" s="1908"/>
      <c r="D50" s="1909"/>
      <c r="E50" s="4689"/>
      <c r="F50" s="4690"/>
      <c r="G50" s="1761" t="e">
        <f t="shared" si="0"/>
        <v>#VALUE!</v>
      </c>
      <c r="H50" s="1762" t="e">
        <f t="shared" si="3"/>
        <v>#VALUE!</v>
      </c>
      <c r="I50" s="1759"/>
      <c r="J50" s="1763" t="e">
        <f t="shared" si="1"/>
        <v>#VALUE!</v>
      </c>
      <c r="K50" s="1763" t="e">
        <f t="shared" si="2"/>
        <v>#VALUE!</v>
      </c>
      <c r="L50" s="4630"/>
      <c r="M50" s="4630"/>
    </row>
    <row r="51" spans="1:13" ht="12.75" customHeight="1" thickBot="1">
      <c r="B51" s="1910"/>
      <c r="C51" s="1911"/>
      <c r="D51" s="1912"/>
      <c r="E51" s="4692"/>
      <c r="F51" s="4693"/>
      <c r="G51" s="1764" t="e">
        <f t="shared" si="0"/>
        <v>#VALUE!</v>
      </c>
      <c r="H51" s="1765" t="e">
        <f t="shared" si="3"/>
        <v>#VALUE!</v>
      </c>
      <c r="I51" s="1759"/>
      <c r="J51" s="1766" t="e">
        <f t="shared" si="1"/>
        <v>#VALUE!</v>
      </c>
      <c r="K51" s="1766" t="e">
        <f t="shared" si="2"/>
        <v>#VALUE!</v>
      </c>
      <c r="L51" s="4630"/>
      <c r="M51" s="4630"/>
    </row>
    <row r="52" spans="1:13" ht="15" customHeight="1" thickBot="1">
      <c r="A52" s="1715"/>
      <c r="B52" s="1728"/>
      <c r="D52" s="1722"/>
      <c r="E52" s="1722"/>
      <c r="F52" s="1722"/>
      <c r="G52" s="1740" t="s">
        <v>3995</v>
      </c>
      <c r="H52" s="1739" t="e">
        <f>SUM(H33:H51)</f>
        <v>#VALUE!</v>
      </c>
      <c r="I52" s="1722"/>
      <c r="J52" s="1728" t="s">
        <v>3996</v>
      </c>
      <c r="K52" s="1724" t="e">
        <f>SUM(K33:K51)</f>
        <v>#VALUE!</v>
      </c>
      <c r="L52" s="4630"/>
      <c r="M52" s="4630"/>
    </row>
    <row r="53" spans="1:13" ht="15" customHeight="1">
      <c r="A53" s="1715"/>
      <c r="B53" s="1729"/>
      <c r="C53" s="4649" t="s">
        <v>3997</v>
      </c>
      <c r="D53" s="4649"/>
      <c r="E53" s="4649"/>
      <c r="F53" s="4649"/>
      <c r="G53" s="4649"/>
      <c r="H53" s="4649"/>
      <c r="I53" s="4649"/>
      <c r="J53" s="4650"/>
      <c r="K53" s="1730" t="str">
        <f>IF(J17="no",0,IF(J17="yes",J16,"Error"))</f>
        <v>Error</v>
      </c>
      <c r="L53" s="4630"/>
      <c r="M53" s="4630"/>
    </row>
    <row r="54" spans="1:13" ht="15" customHeight="1" thickBot="1">
      <c r="A54" s="1715"/>
      <c r="B54" s="1729"/>
      <c r="C54" s="4651" t="s">
        <v>3998</v>
      </c>
      <c r="D54" s="4651"/>
      <c r="E54" s="4651"/>
      <c r="F54" s="4651"/>
      <c r="G54" s="4651"/>
      <c r="H54" s="4651"/>
      <c r="I54" s="4651"/>
      <c r="J54" s="4652"/>
      <c r="K54" s="1742" t="e">
        <f>K52+K53</f>
        <v>#VALUE!</v>
      </c>
    </row>
    <row r="55" spans="1:13" ht="7.9" customHeight="1">
      <c r="A55" s="4653"/>
      <c r="B55" s="4654"/>
      <c r="C55" s="4654"/>
      <c r="D55" s="4654"/>
      <c r="E55" s="4654"/>
      <c r="F55" s="4654"/>
      <c r="G55" s="4654"/>
      <c r="H55" s="4654"/>
      <c r="I55" s="4654"/>
      <c r="J55" s="4654"/>
      <c r="K55" s="1756"/>
    </row>
    <row r="56" spans="1:13" ht="15" customHeight="1">
      <c r="A56" s="4644" t="s">
        <v>3999</v>
      </c>
      <c r="B56" s="4645"/>
      <c r="C56" s="4645"/>
      <c r="D56" s="4645"/>
      <c r="E56" s="4645"/>
      <c r="F56" s="4645"/>
      <c r="G56" s="4645"/>
      <c r="H56" s="4645"/>
      <c r="I56" s="4645"/>
      <c r="J56" s="4645"/>
      <c r="K56" s="4646"/>
    </row>
    <row r="57" spans="1:13" ht="48" customHeight="1">
      <c r="A57" s="1712"/>
      <c r="B57" s="1703"/>
      <c r="C57" s="1714" t="s">
        <v>4000</v>
      </c>
      <c r="D57" s="1890" t="s">
        <v>6068</v>
      </c>
      <c r="E57" s="4655" t="s">
        <v>4016</v>
      </c>
      <c r="F57" s="4656"/>
      <c r="G57" s="4657" t="s">
        <v>4001</v>
      </c>
      <c r="H57" s="4658"/>
      <c r="I57" s="4655" t="s">
        <v>4015</v>
      </c>
      <c r="J57" s="4656"/>
      <c r="K57" s="4659"/>
    </row>
    <row r="58" spans="1:13" ht="15" customHeight="1">
      <c r="A58" s="1867"/>
      <c r="B58" s="1887"/>
      <c r="C58" s="1725">
        <f>SUMIF(C33:C51, "0", H33:H51)</f>
        <v>0</v>
      </c>
      <c r="D58" s="1891">
        <f t="shared" ref="D58:D63" si="4">ROUNDUP(C58*1.1,0)</f>
        <v>0</v>
      </c>
      <c r="E58" s="4661" t="s">
        <v>4002</v>
      </c>
      <c r="F58" s="4662"/>
      <c r="G58" s="4663">
        <v>153314.4</v>
      </c>
      <c r="H58" s="4664"/>
      <c r="I58" s="4665">
        <f t="shared" ref="I58:I63" si="5">D58*G58</f>
        <v>0</v>
      </c>
      <c r="J58" s="4665"/>
      <c r="K58" s="4660"/>
    </row>
    <row r="59" spans="1:13">
      <c r="A59" s="1867"/>
      <c r="B59" s="1887"/>
      <c r="C59" s="1726">
        <f>SUMIF(C33:C51, "1", H33:H51)</f>
        <v>0</v>
      </c>
      <c r="D59" s="1892">
        <f t="shared" si="4"/>
        <v>0</v>
      </c>
      <c r="E59" s="4666" t="s">
        <v>2463</v>
      </c>
      <c r="F59" s="4667"/>
      <c r="G59" s="4668">
        <v>175752</v>
      </c>
      <c r="H59" s="4669"/>
      <c r="I59" s="4670">
        <f t="shared" si="5"/>
        <v>0</v>
      </c>
      <c r="J59" s="4670"/>
      <c r="K59" s="4660"/>
    </row>
    <row r="60" spans="1:13" ht="15" customHeight="1">
      <c r="A60" s="1867"/>
      <c r="B60" s="1887"/>
      <c r="C60" s="1726">
        <f>SUMIF(C33:C51, "2", H33:H51)</f>
        <v>0</v>
      </c>
      <c r="D60" s="1892">
        <f t="shared" si="4"/>
        <v>0</v>
      </c>
      <c r="E60" s="4666" t="s">
        <v>2464</v>
      </c>
      <c r="F60" s="4667"/>
      <c r="G60" s="4668">
        <v>213717.6</v>
      </c>
      <c r="H60" s="4669"/>
      <c r="I60" s="4670">
        <f t="shared" si="5"/>
        <v>0</v>
      </c>
      <c r="J60" s="4670"/>
      <c r="K60" s="4660"/>
    </row>
    <row r="61" spans="1:13">
      <c r="A61" s="1867"/>
      <c r="B61" s="1887"/>
      <c r="C61" s="1726">
        <f>SUMIF(C33:C51, "3", H33:H51)</f>
        <v>0</v>
      </c>
      <c r="D61" s="1892">
        <f t="shared" si="4"/>
        <v>0</v>
      </c>
      <c r="E61" s="4666" t="s">
        <v>2467</v>
      </c>
      <c r="F61" s="4667"/>
      <c r="G61" s="4668">
        <v>276482.40000000002</v>
      </c>
      <c r="H61" s="4669"/>
      <c r="I61" s="4670">
        <f t="shared" si="5"/>
        <v>0</v>
      </c>
      <c r="J61" s="4670"/>
      <c r="K61" s="4660"/>
    </row>
    <row r="62" spans="1:13">
      <c r="A62" s="1867"/>
      <c r="B62" s="1887"/>
      <c r="C62" s="1726">
        <f>SUMIF(C33:C51, "4", H33:H51)</f>
        <v>0</v>
      </c>
      <c r="D62" s="1892">
        <f t="shared" si="4"/>
        <v>0</v>
      </c>
      <c r="E62" s="4666" t="s">
        <v>4003</v>
      </c>
      <c r="F62" s="4667"/>
      <c r="G62" s="4668">
        <v>303489.59999999998</v>
      </c>
      <c r="H62" s="4669"/>
      <c r="I62" s="4670">
        <f t="shared" si="5"/>
        <v>0</v>
      </c>
      <c r="J62" s="4670"/>
      <c r="K62" s="4660"/>
    </row>
    <row r="63" spans="1:13">
      <c r="A63" s="1888"/>
      <c r="B63" s="1889"/>
      <c r="C63" s="1727">
        <f>SUMIF(C33:C51, "5", H33:H51)</f>
        <v>0</v>
      </c>
      <c r="D63" s="1893">
        <f t="shared" si="4"/>
        <v>0</v>
      </c>
      <c r="E63" s="4672" t="s">
        <v>4004</v>
      </c>
      <c r="F63" s="4673"/>
      <c r="G63" s="4674">
        <v>303489.59999999998</v>
      </c>
      <c r="H63" s="4675"/>
      <c r="I63" s="4676">
        <f t="shared" si="5"/>
        <v>0</v>
      </c>
      <c r="J63" s="4676"/>
      <c r="K63" s="1754"/>
    </row>
    <row r="64" spans="1:13" ht="14.5" thickBot="1">
      <c r="A64" s="1886" t="s">
        <v>4005</v>
      </c>
      <c r="B64" s="1744">
        <f>SUM(C58:C63)</f>
        <v>0</v>
      </c>
      <c r="C64" s="1894"/>
      <c r="D64" s="1894">
        <f>SUM(D58:D63)</f>
        <v>0</v>
      </c>
      <c r="E64" s="1885"/>
      <c r="F64" s="1885"/>
      <c r="G64" s="1885"/>
      <c r="H64" s="1885"/>
      <c r="I64" s="1885"/>
      <c r="J64" s="1868" t="s">
        <v>4006</v>
      </c>
      <c r="K64" s="1743">
        <f>SUM(I58:I62)</f>
        <v>0</v>
      </c>
    </row>
    <row r="65" spans="1:11">
      <c r="A65" s="4654"/>
      <c r="B65" s="4654"/>
      <c r="C65" s="4654"/>
      <c r="D65" s="4654"/>
      <c r="E65" s="4654"/>
      <c r="F65" s="4654"/>
      <c r="G65" s="4654"/>
      <c r="H65" s="4654"/>
      <c r="I65" s="4654"/>
      <c r="J65" s="4654"/>
    </row>
    <row r="66" spans="1:11">
      <c r="A66" s="4644" t="s">
        <v>4007</v>
      </c>
      <c r="B66" s="4645"/>
      <c r="C66" s="4645"/>
      <c r="D66" s="4645"/>
      <c r="E66" s="4645"/>
      <c r="F66" s="4645"/>
      <c r="G66" s="4645"/>
      <c r="H66" s="4645"/>
      <c r="I66" s="4645"/>
      <c r="J66" s="4645"/>
      <c r="K66" s="4646"/>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4.5" thickBot="1">
      <c r="A69" s="1747"/>
      <c r="B69" s="1704"/>
      <c r="C69" s="1751"/>
      <c r="D69" s="1751"/>
      <c r="E69" s="1751" t="s">
        <v>4010</v>
      </c>
      <c r="F69" s="1751"/>
      <c r="G69" s="1751"/>
      <c r="H69" s="1751"/>
      <c r="I69" s="1751"/>
      <c r="J69" s="1752"/>
      <c r="K69" s="1755">
        <f>K64</f>
        <v>0</v>
      </c>
    </row>
    <row r="70" spans="1:11" ht="14.5" thickBot="1">
      <c r="A70" s="1713"/>
      <c r="B70" s="1705"/>
      <c r="C70" s="4671" t="s">
        <v>4011</v>
      </c>
      <c r="D70" s="4671"/>
      <c r="E70" s="4671"/>
      <c r="F70" s="4671"/>
      <c r="G70" s="4671"/>
      <c r="H70" s="4671"/>
      <c r="I70" s="4671"/>
      <c r="J70" s="4671"/>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796875" defaultRowHeight="12.5"/>
  <cols>
    <col min="1" max="1" width="3.453125" style="774" customWidth="1"/>
    <col min="2" max="2" width="4.1796875" style="774" customWidth="1"/>
    <col min="3" max="3" width="18.54296875" style="774" customWidth="1"/>
    <col min="4" max="4" width="2.81640625" style="774" customWidth="1"/>
    <col min="5" max="5" width="6.54296875" style="774" customWidth="1"/>
    <col min="6" max="6" width="39.1796875" style="774" customWidth="1"/>
    <col min="7" max="8" width="8.453125" style="774" customWidth="1"/>
    <col min="9" max="9" width="9.1796875" style="774"/>
    <col min="10" max="10" width="14.1796875" style="774" customWidth="1"/>
    <col min="11" max="16384" width="9.1796875" style="774"/>
  </cols>
  <sheetData>
    <row r="1" spans="1:11" ht="13">
      <c r="A1" s="711" t="s">
        <v>2883</v>
      </c>
      <c r="H1" s="783" t="str">
        <f>'Sensitivity Analysis'!C8</f>
        <v>Villa Rica Senior</v>
      </c>
    </row>
    <row r="2" spans="1:11" ht="13">
      <c r="A2" s="711" t="s">
        <v>2884</v>
      </c>
      <c r="H2" s="774" t="str">
        <f>'Sensitivity Analysis'!E8</f>
        <v>2022-0</v>
      </c>
    </row>
    <row r="3" spans="1:11" ht="3" customHeight="1"/>
    <row r="4" spans="1:11" ht="51.75" customHeight="1">
      <c r="A4" s="4704" t="s">
        <v>2980</v>
      </c>
      <c r="B4" s="4704"/>
      <c r="C4" s="4704"/>
      <c r="D4" s="4704"/>
      <c r="E4" s="4704"/>
      <c r="F4" s="4704"/>
      <c r="G4" s="4704"/>
      <c r="H4" s="4704"/>
      <c r="J4" s="1282">
        <f>SUM('Part VI-Pro Forma'!B15:B17)/12</f>
        <v>53501.04</v>
      </c>
      <c r="K4" s="1281" t="s">
        <v>3666</v>
      </c>
    </row>
    <row r="5" spans="1:11" ht="1.5" customHeight="1">
      <c r="C5" s="816"/>
      <c r="D5" s="816"/>
      <c r="E5" s="816"/>
      <c r="F5" s="816"/>
      <c r="G5" s="816"/>
      <c r="H5" s="816"/>
    </row>
    <row r="6" spans="1:11" ht="12.75" customHeight="1">
      <c r="B6" s="817" t="s">
        <v>2241</v>
      </c>
      <c r="C6" s="4704" t="s">
        <v>2885</v>
      </c>
      <c r="D6" s="4704"/>
      <c r="E6" s="4704"/>
      <c r="F6" s="4704"/>
      <c r="G6" s="4704"/>
      <c r="H6" s="4704"/>
    </row>
    <row r="7" spans="1:11" ht="12.75" customHeight="1">
      <c r="B7" s="817" t="s">
        <v>2242</v>
      </c>
      <c r="C7" s="4704" t="s">
        <v>2886</v>
      </c>
      <c r="D7" s="4704"/>
      <c r="E7" s="4704"/>
      <c r="F7" s="4704"/>
      <c r="G7" s="4704"/>
      <c r="H7" s="4704"/>
    </row>
    <row r="8" spans="1:11" ht="3" customHeight="1"/>
    <row r="9" spans="1:11">
      <c r="A9" s="774" t="s">
        <v>2887</v>
      </c>
    </row>
    <row r="10" spans="1:11" ht="1.5" customHeight="1"/>
    <row r="11" spans="1:11" ht="26.25" customHeight="1">
      <c r="A11" s="818" t="s">
        <v>1842</v>
      </c>
      <c r="B11" s="4707" t="s">
        <v>2977</v>
      </c>
      <c r="C11" s="4707"/>
      <c r="D11" s="4707"/>
      <c r="E11" s="4707"/>
      <c r="F11" s="4707"/>
      <c r="G11" s="4708">
        <f>'Part II-Sources of Funds'!I51+'Part II-Sources of Funds'!I52</f>
        <v>14499100</v>
      </c>
      <c r="H11" s="4708"/>
    </row>
    <row r="12" spans="1:11" ht="1.5" customHeight="1">
      <c r="G12" s="787"/>
      <c r="H12" s="787"/>
    </row>
    <row r="13" spans="1:11" ht="26.25" customHeight="1">
      <c r="A13" s="818" t="s">
        <v>1844</v>
      </c>
      <c r="B13" s="4707" t="s">
        <v>2978</v>
      </c>
      <c r="C13" s="4707"/>
      <c r="D13" s="4707"/>
      <c r="E13" s="4707"/>
      <c r="F13" s="4707"/>
      <c r="G13" s="4709" t="s">
        <v>2815</v>
      </c>
      <c r="H13" s="4709"/>
    </row>
    <row r="14" spans="1:11" ht="12" hidden="1" customHeight="1">
      <c r="A14" s="818"/>
      <c r="B14" s="4600"/>
      <c r="C14" s="4600"/>
      <c r="D14" s="4600"/>
      <c r="E14" s="4600"/>
      <c r="F14" s="4600"/>
      <c r="G14" s="4600"/>
      <c r="H14" s="4600"/>
    </row>
    <row r="15" spans="1:11" ht="1.5" customHeight="1"/>
    <row r="16" spans="1:11" ht="12" customHeight="1">
      <c r="A16" s="818" t="s">
        <v>698</v>
      </c>
      <c r="B16" s="774" t="s">
        <v>2981</v>
      </c>
      <c r="F16" s="810"/>
      <c r="G16" s="4585" t="s">
        <v>2654</v>
      </c>
      <c r="H16" s="4585"/>
    </row>
    <row r="17" spans="1:8" ht="1.5" customHeight="1">
      <c r="G17" s="792"/>
    </row>
    <row r="18" spans="1:8" ht="12" customHeight="1">
      <c r="A18" s="818" t="s">
        <v>1963</v>
      </c>
      <c r="B18" s="787" t="s">
        <v>2979</v>
      </c>
      <c r="C18" s="818"/>
      <c r="D18" s="818"/>
      <c r="E18" s="818"/>
      <c r="G18" s="4600" t="s">
        <v>2516</v>
      </c>
      <c r="H18" s="4600"/>
    </row>
    <row r="19" spans="1:8" ht="12" hidden="1" customHeight="1">
      <c r="B19" s="4600"/>
      <c r="C19" s="4600"/>
      <c r="D19" s="4600"/>
      <c r="E19" s="4600"/>
      <c r="F19" s="4600"/>
      <c r="G19" s="4600"/>
      <c r="H19" s="4600"/>
    </row>
    <row r="20" spans="1:8" ht="13.5" customHeight="1"/>
    <row r="21" spans="1:8" ht="12" customHeight="1">
      <c r="A21" s="711" t="s">
        <v>2888</v>
      </c>
    </row>
    <row r="22" spans="1:8" ht="3" customHeight="1"/>
    <row r="23" spans="1:8" ht="24.75" customHeight="1">
      <c r="A23" s="4711" t="s">
        <v>4085</v>
      </c>
      <c r="B23" s="4711"/>
      <c r="C23" s="4711"/>
      <c r="D23" s="4711"/>
      <c r="E23" s="4711"/>
      <c r="F23" s="4711"/>
      <c r="G23" s="4711"/>
      <c r="H23" s="4711"/>
    </row>
    <row r="24" spans="1:8" ht="9" customHeight="1" thickBot="1">
      <c r="A24" s="777"/>
    </row>
    <row r="25" spans="1:8" ht="16.149999999999999" customHeight="1" thickBot="1">
      <c r="A25" s="4712">
        <v>20</v>
      </c>
      <c r="B25" s="4713"/>
      <c r="C25" s="1851" t="s">
        <v>976</v>
      </c>
    </row>
    <row r="26" spans="1:8" ht="9" customHeight="1">
      <c r="A26" s="777"/>
    </row>
    <row r="27" spans="1:8" ht="28.15" customHeight="1">
      <c r="A27" s="4710" t="s">
        <v>4090</v>
      </c>
      <c r="B27" s="4710"/>
      <c r="C27" s="4710"/>
      <c r="D27" s="4710"/>
      <c r="E27" s="4710"/>
      <c r="F27" s="4710"/>
      <c r="G27" s="4710"/>
      <c r="H27" s="4710"/>
    </row>
    <row r="28" spans="1:8" ht="9" customHeight="1">
      <c r="A28" s="777"/>
    </row>
    <row r="29" spans="1:8" ht="13">
      <c r="A29" s="792" t="s">
        <v>2982</v>
      </c>
      <c r="B29" s="819" t="str">
        <f>IF('Part V-Revenues &amp; Expenses'!$K$62=0,"",'Part V-Revenues &amp; Expenses'!$K$62)</f>
        <v/>
      </c>
      <c r="C29" s="792" t="s">
        <v>4083</v>
      </c>
      <c r="D29" s="820" t="s">
        <v>4084</v>
      </c>
    </row>
    <row r="30" spans="1:8" ht="1.9" customHeight="1"/>
    <row r="31" spans="1:8" ht="12.75" customHeight="1">
      <c r="C31" s="787" t="s">
        <v>2889</v>
      </c>
      <c r="D31" s="821" t="s">
        <v>1845</v>
      </c>
      <c r="E31" s="822"/>
      <c r="F31" s="4704" t="s">
        <v>2890</v>
      </c>
      <c r="G31" s="4704"/>
      <c r="H31" s="4704"/>
    </row>
    <row r="32" spans="1:8" ht="12.75" customHeight="1">
      <c r="C32" s="823" t="s">
        <v>1276</v>
      </c>
      <c r="D32" s="821" t="s">
        <v>1847</v>
      </c>
      <c r="E32" s="4704" t="s">
        <v>2987</v>
      </c>
      <c r="F32" s="4704"/>
      <c r="G32" s="4704"/>
      <c r="H32" s="4704"/>
    </row>
    <row r="33" spans="1:11" ht="12.75" customHeight="1">
      <c r="C33" s="1849" t="s">
        <v>4088</v>
      </c>
      <c r="E33" s="4704" t="s">
        <v>3124</v>
      </c>
      <c r="F33" s="4704"/>
      <c r="G33" s="4704"/>
      <c r="H33" s="4704"/>
    </row>
    <row r="34" spans="1:11" ht="12.75" customHeight="1">
      <c r="C34" s="1850"/>
      <c r="D34" s="1848" t="s">
        <v>2986</v>
      </c>
      <c r="E34" s="4706" t="s">
        <v>3125</v>
      </c>
      <c r="F34" s="4706"/>
      <c r="G34" s="4706"/>
      <c r="H34" s="4706"/>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4" t="s">
        <v>2987</v>
      </c>
      <c r="F37" s="4704"/>
      <c r="G37" s="4704"/>
      <c r="H37" s="4704"/>
    </row>
    <row r="38" spans="1:11" ht="12.75" customHeight="1">
      <c r="C38" s="1849" t="s">
        <v>4088</v>
      </c>
      <c r="E38" s="4704" t="s">
        <v>3124</v>
      </c>
      <c r="F38" s="4704"/>
      <c r="G38" s="4704"/>
      <c r="H38" s="4704"/>
    </row>
    <row r="39" spans="1:11" ht="12.75" customHeight="1">
      <c r="C39" s="1850"/>
      <c r="D39" s="1848" t="s">
        <v>2986</v>
      </c>
      <c r="E39" s="4706" t="s">
        <v>3125</v>
      </c>
      <c r="F39" s="4706"/>
      <c r="G39" s="4706"/>
      <c r="H39" s="4706"/>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4" t="s">
        <v>2987</v>
      </c>
      <c r="F42" s="4704"/>
      <c r="G42" s="4704"/>
      <c r="H42" s="4704"/>
    </row>
    <row r="43" spans="1:11" ht="12.75" customHeight="1">
      <c r="C43" s="1849" t="s">
        <v>4088</v>
      </c>
      <c r="E43" s="4704" t="s">
        <v>3124</v>
      </c>
      <c r="F43" s="4704"/>
      <c r="G43" s="4704"/>
      <c r="H43" s="4704"/>
    </row>
    <row r="44" spans="1:11" ht="12.75" customHeight="1">
      <c r="C44" s="1850"/>
      <c r="D44" s="1848" t="s">
        <v>2986</v>
      </c>
      <c r="E44" s="4706" t="s">
        <v>3125</v>
      </c>
      <c r="F44" s="4706"/>
      <c r="G44" s="4706"/>
      <c r="H44" s="4706"/>
    </row>
    <row r="45" spans="1:11" ht="6" customHeight="1">
      <c r="D45" s="821"/>
      <c r="E45" s="1846"/>
      <c r="F45" s="1846"/>
      <c r="G45" s="1846"/>
      <c r="H45" s="1846"/>
    </row>
    <row r="46" spans="1:11" ht="13">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4" t="s">
        <v>2987</v>
      </c>
      <c r="F49" s="4704"/>
      <c r="G49" s="4704"/>
      <c r="H49" s="4704"/>
      <c r="K49" s="1865"/>
    </row>
    <row r="50" spans="1:11" ht="12.75" customHeight="1">
      <c r="C50" s="1849" t="s">
        <v>4088</v>
      </c>
      <c r="E50" s="4704" t="s">
        <v>3124</v>
      </c>
      <c r="F50" s="4704"/>
      <c r="G50" s="4704"/>
      <c r="H50" s="4704"/>
    </row>
    <row r="51" spans="1:11" ht="12.75" customHeight="1">
      <c r="C51" s="1850"/>
      <c r="D51" s="1847" t="s">
        <v>2986</v>
      </c>
      <c r="E51" s="4705" t="s">
        <v>3125</v>
      </c>
      <c r="F51" s="4705"/>
      <c r="G51" s="4705"/>
      <c r="H51" s="4705"/>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4" t="s">
        <v>2987</v>
      </c>
      <c r="F54" s="4704"/>
      <c r="G54" s="4704"/>
      <c r="H54" s="4704"/>
    </row>
    <row r="55" spans="1:11" ht="12.75" customHeight="1">
      <c r="C55" s="1849" t="s">
        <v>4088</v>
      </c>
      <c r="E55" s="4704" t="s">
        <v>3124</v>
      </c>
      <c r="F55" s="4704"/>
      <c r="G55" s="4704"/>
      <c r="H55" s="4704"/>
    </row>
    <row r="56" spans="1:11" ht="12.75" customHeight="1">
      <c r="C56" s="1850"/>
      <c r="D56" s="1848" t="s">
        <v>2986</v>
      </c>
      <c r="E56" s="4706" t="s">
        <v>3125</v>
      </c>
      <c r="F56" s="4706"/>
      <c r="G56" s="4706"/>
      <c r="H56" s="4706"/>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4" t="s">
        <v>2987</v>
      </c>
      <c r="F59" s="4704"/>
      <c r="G59" s="4704"/>
      <c r="H59" s="4704"/>
    </row>
    <row r="60" spans="1:11" ht="12.75" customHeight="1">
      <c r="C60" s="1849" t="s">
        <v>4088</v>
      </c>
      <c r="E60" s="4704" t="s">
        <v>3124</v>
      </c>
      <c r="F60" s="4704"/>
      <c r="G60" s="4704"/>
      <c r="H60" s="4704"/>
    </row>
    <row r="61" spans="1:11" ht="12.75" customHeight="1">
      <c r="C61" s="1850"/>
      <c r="D61" s="1848" t="s">
        <v>2986</v>
      </c>
      <c r="E61" s="4706" t="s">
        <v>3125</v>
      </c>
      <c r="F61" s="4706"/>
      <c r="G61" s="4706"/>
      <c r="H61" s="4706"/>
    </row>
    <row r="62" spans="1:11" ht="6" customHeight="1">
      <c r="D62" s="821"/>
      <c r="E62" s="1300"/>
      <c r="F62" s="1300"/>
      <c r="G62" s="1300"/>
      <c r="H62" s="1300"/>
    </row>
    <row r="63" spans="1:11" ht="13">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4" t="s">
        <v>2987</v>
      </c>
      <c r="F66" s="4704"/>
      <c r="G66" s="4704"/>
      <c r="H66" s="4704"/>
    </row>
    <row r="67" spans="1:8" ht="12.75" customHeight="1">
      <c r="C67" s="1849" t="s">
        <v>4088</v>
      </c>
      <c r="E67" s="4704" t="s">
        <v>3124</v>
      </c>
      <c r="F67" s="4704"/>
      <c r="G67" s="4704"/>
      <c r="H67" s="4704"/>
    </row>
    <row r="68" spans="1:8" ht="12.75" customHeight="1">
      <c r="C68" s="1850"/>
      <c r="D68" s="1847" t="s">
        <v>2986</v>
      </c>
      <c r="E68" s="4705" t="s">
        <v>3125</v>
      </c>
      <c r="F68" s="4705"/>
      <c r="G68" s="4705"/>
      <c r="H68" s="4705"/>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4" t="s">
        <v>2987</v>
      </c>
      <c r="F71" s="4704"/>
      <c r="G71" s="4704"/>
      <c r="H71" s="4704"/>
    </row>
    <row r="72" spans="1:8" ht="12.75" customHeight="1">
      <c r="C72" s="1849" t="s">
        <v>4088</v>
      </c>
      <c r="E72" s="4704" t="s">
        <v>3124</v>
      </c>
      <c r="F72" s="4704"/>
      <c r="G72" s="4704"/>
      <c r="H72" s="4704"/>
    </row>
    <row r="73" spans="1:8" ht="12.75" customHeight="1">
      <c r="C73" s="1850"/>
      <c r="D73" s="1848" t="s">
        <v>2986</v>
      </c>
      <c r="E73" s="4706" t="s">
        <v>3125</v>
      </c>
      <c r="F73" s="4706"/>
      <c r="G73" s="4706"/>
      <c r="H73" s="4706"/>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4" t="s">
        <v>2987</v>
      </c>
      <c r="F76" s="4704"/>
      <c r="G76" s="4704"/>
      <c r="H76" s="4704"/>
    </row>
    <row r="77" spans="1:8" ht="12.75" customHeight="1">
      <c r="C77" s="1849" t="s">
        <v>4088</v>
      </c>
      <c r="E77" s="4704" t="s">
        <v>3124</v>
      </c>
      <c r="F77" s="4704"/>
      <c r="G77" s="4704"/>
      <c r="H77" s="4704"/>
    </row>
    <row r="78" spans="1:8" ht="12.75" customHeight="1">
      <c r="C78" s="1850"/>
      <c r="D78" s="1848" t="s">
        <v>2986</v>
      </c>
      <c r="E78" s="4706" t="s">
        <v>3125</v>
      </c>
      <c r="F78" s="4706"/>
      <c r="G78" s="4706"/>
      <c r="H78" s="4706"/>
    </row>
    <row r="79" spans="1:8" ht="6" customHeight="1">
      <c r="D79" s="821"/>
      <c r="E79" s="1846"/>
      <c r="F79" s="1846"/>
      <c r="G79" s="1846"/>
      <c r="H79" s="1846"/>
    </row>
    <row r="80" spans="1:8" ht="13">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4" t="s">
        <v>2987</v>
      </c>
      <c r="F83" s="4704"/>
      <c r="G83" s="4704"/>
      <c r="H83" s="4704"/>
    </row>
    <row r="84" spans="3:8" ht="12.75" customHeight="1">
      <c r="C84" s="1849" t="s">
        <v>4088</v>
      </c>
      <c r="E84" s="4704" t="s">
        <v>3124</v>
      </c>
      <c r="F84" s="4704"/>
      <c r="G84" s="4704"/>
      <c r="H84" s="4704"/>
    </row>
    <row r="85" spans="3:8" ht="12.75" customHeight="1">
      <c r="C85" s="1850"/>
      <c r="D85" s="1847" t="s">
        <v>2986</v>
      </c>
      <c r="E85" s="4705" t="s">
        <v>3125</v>
      </c>
      <c r="F85" s="4705"/>
      <c r="G85" s="4705"/>
      <c r="H85" s="4705"/>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4" t="s">
        <v>2987</v>
      </c>
      <c r="F88" s="4704"/>
      <c r="G88" s="4704"/>
      <c r="H88" s="4704"/>
    </row>
    <row r="89" spans="3:8" ht="12.75" customHeight="1">
      <c r="C89" s="1849" t="s">
        <v>4088</v>
      </c>
      <c r="E89" s="4704" t="s">
        <v>3124</v>
      </c>
      <c r="F89" s="4704"/>
      <c r="G89" s="4704"/>
      <c r="H89" s="4704"/>
    </row>
    <row r="90" spans="3:8" ht="12.75" customHeight="1">
      <c r="C90" s="1850"/>
      <c r="D90" s="1848" t="s">
        <v>2986</v>
      </c>
      <c r="E90" s="4706" t="s">
        <v>3125</v>
      </c>
      <c r="F90" s="4706"/>
      <c r="G90" s="4706"/>
      <c r="H90" s="4706"/>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4" t="s">
        <v>2987</v>
      </c>
      <c r="F93" s="4704"/>
      <c r="G93" s="4704"/>
      <c r="H93" s="4704"/>
    </row>
    <row r="94" spans="3:8" ht="12.75" customHeight="1">
      <c r="C94" s="1849" t="s">
        <v>4088</v>
      </c>
      <c r="E94" s="4704" t="s">
        <v>3124</v>
      </c>
      <c r="F94" s="4704"/>
      <c r="G94" s="4704"/>
      <c r="H94" s="4704"/>
    </row>
    <row r="95" spans="3:8" ht="12.75" customHeight="1">
      <c r="C95" s="1850"/>
      <c r="D95" s="1848" t="s">
        <v>2986</v>
      </c>
      <c r="E95" s="4706" t="s">
        <v>3125</v>
      </c>
      <c r="F95" s="4706"/>
      <c r="G95" s="4706"/>
      <c r="H95" s="4706"/>
    </row>
    <row r="96" spans="3:8" ht="6" customHeight="1">
      <c r="D96" s="821"/>
      <c r="E96" s="1846"/>
      <c r="F96" s="1846"/>
      <c r="G96" s="1846"/>
      <c r="H96" s="1846"/>
    </row>
    <row r="97" spans="1:11" ht="13">
      <c r="A97" s="792" t="s">
        <v>2982</v>
      </c>
      <c r="B97" s="819" t="str">
        <f>IF('Part V-Revenues &amp; Expenses'!$O$62=0,"",'Part V-Revenues &amp; Expenses'!$O$62)</f>
        <v/>
      </c>
      <c r="C97" s="792" t="s">
        <v>4086</v>
      </c>
      <c r="D97" s="820" t="s">
        <v>4087</v>
      </c>
    </row>
    <row r="98" spans="1:11" ht="1.9" customHeight="1"/>
    <row r="99" spans="1:11" ht="12.75" customHeight="1">
      <c r="C99" s="787" t="s">
        <v>2889</v>
      </c>
      <c r="D99" s="821" t="s">
        <v>1845</v>
      </c>
      <c r="E99" s="822"/>
      <c r="F99" s="4704" t="s">
        <v>2890</v>
      </c>
      <c r="G99" s="4704"/>
      <c r="H99" s="4704"/>
      <c r="K99" s="774" t="s">
        <v>233</v>
      </c>
    </row>
    <row r="100" spans="1:11" ht="12.75" customHeight="1">
      <c r="C100" s="823" t="s">
        <v>1276</v>
      </c>
      <c r="D100" s="821" t="s">
        <v>1847</v>
      </c>
      <c r="E100" s="4704" t="s">
        <v>2988</v>
      </c>
      <c r="F100" s="4704"/>
      <c r="G100" s="4704"/>
      <c r="H100" s="4704"/>
    </row>
    <row r="101" spans="1:11" ht="12.75" customHeight="1">
      <c r="E101" s="4704" t="s">
        <v>3124</v>
      </c>
      <c r="F101" s="4704"/>
      <c r="G101" s="4704"/>
      <c r="H101" s="4704"/>
    </row>
    <row r="102" spans="1:11" ht="12.75" customHeight="1">
      <c r="D102" s="824" t="s">
        <v>2986</v>
      </c>
      <c r="E102" s="4704" t="s">
        <v>3125</v>
      </c>
      <c r="F102" s="4704"/>
      <c r="G102" s="4704"/>
      <c r="H102" s="4704"/>
    </row>
    <row r="103" spans="1:11" ht="9" customHeight="1" thickBot="1"/>
    <row r="104" spans="1:11" ht="16.149999999999999" customHeight="1" thickBot="1">
      <c r="A104" s="4712">
        <v>30</v>
      </c>
      <c r="B104" s="4713"/>
      <c r="C104" s="1851" t="s">
        <v>976</v>
      </c>
    </row>
    <row r="105" spans="1:11" ht="9" customHeight="1">
      <c r="A105" s="777"/>
    </row>
    <row r="106" spans="1:11" ht="28.15" customHeight="1">
      <c r="A106" s="4710" t="s">
        <v>4091</v>
      </c>
      <c r="B106" s="4710"/>
      <c r="C106" s="4710"/>
      <c r="D106" s="4710"/>
      <c r="E106" s="4710"/>
      <c r="F106" s="4710"/>
      <c r="G106" s="4710"/>
      <c r="H106" s="4710"/>
    </row>
    <row r="107" spans="1:11" ht="9" customHeight="1">
      <c r="A107" s="777"/>
    </row>
    <row r="108" spans="1:11" ht="13">
      <c r="A108" s="792" t="s">
        <v>2982</v>
      </c>
      <c r="B108" s="819" t="str">
        <f>IF('Part V-Revenues &amp; Expenses'!$K$61=0,"",'Part V-Revenues &amp; Expenses'!$K$61)</f>
        <v/>
      </c>
      <c r="C108" s="792" t="s">
        <v>4083</v>
      </c>
      <c r="D108" s="820" t="s">
        <v>4084</v>
      </c>
    </row>
    <row r="109" spans="1:11" ht="1.9" customHeight="1"/>
    <row r="110" spans="1:11" ht="12.75" customHeight="1">
      <c r="C110" s="787" t="s">
        <v>2889</v>
      </c>
      <c r="D110" s="821" t="s">
        <v>1845</v>
      </c>
      <c r="E110" s="822"/>
      <c r="F110" s="4704" t="s">
        <v>2890</v>
      </c>
      <c r="G110" s="4704"/>
      <c r="H110" s="4704"/>
    </row>
    <row r="111" spans="1:11" ht="12.75" customHeight="1">
      <c r="C111" s="823" t="s">
        <v>1276</v>
      </c>
      <c r="D111" s="821" t="s">
        <v>1847</v>
      </c>
      <c r="E111" s="4704" t="s">
        <v>2987</v>
      </c>
      <c r="F111" s="4704"/>
      <c r="G111" s="4704"/>
      <c r="H111" s="4704"/>
    </row>
    <row r="112" spans="1:11" ht="12.75" customHeight="1">
      <c r="C112" s="1849" t="s">
        <v>4088</v>
      </c>
      <c r="E112" s="4704" t="s">
        <v>3124</v>
      </c>
      <c r="F112" s="4704"/>
      <c r="G112" s="4704"/>
      <c r="H112" s="4704"/>
    </row>
    <row r="113" spans="1:8" ht="12.75" customHeight="1">
      <c r="C113" s="1850"/>
      <c r="D113" s="1848" t="s">
        <v>2986</v>
      </c>
      <c r="E113" s="4706" t="s">
        <v>3125</v>
      </c>
      <c r="F113" s="4706"/>
      <c r="G113" s="4706"/>
      <c r="H113" s="4706"/>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4" t="s">
        <v>2987</v>
      </c>
      <c r="F116" s="4704"/>
      <c r="G116" s="4704"/>
      <c r="H116" s="4704"/>
    </row>
    <row r="117" spans="1:8" ht="12.75" customHeight="1">
      <c r="C117" s="1849" t="s">
        <v>4088</v>
      </c>
      <c r="E117" s="4704" t="s">
        <v>3124</v>
      </c>
      <c r="F117" s="4704"/>
      <c r="G117" s="4704"/>
      <c r="H117" s="4704"/>
    </row>
    <row r="118" spans="1:8" ht="12.75" customHeight="1">
      <c r="C118" s="1850"/>
      <c r="D118" s="1848" t="s">
        <v>2986</v>
      </c>
      <c r="E118" s="4706" t="s">
        <v>3125</v>
      </c>
      <c r="F118" s="4706"/>
      <c r="G118" s="4706"/>
      <c r="H118" s="4706"/>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4" t="s">
        <v>2987</v>
      </c>
      <c r="F121" s="4704"/>
      <c r="G121" s="4704"/>
      <c r="H121" s="4704"/>
    </row>
    <row r="122" spans="1:8" ht="12.75" customHeight="1">
      <c r="C122" s="1849" t="s">
        <v>4088</v>
      </c>
      <c r="E122" s="4704" t="s">
        <v>3124</v>
      </c>
      <c r="F122" s="4704"/>
      <c r="G122" s="4704"/>
      <c r="H122" s="4704"/>
    </row>
    <row r="123" spans="1:8" ht="12.75" customHeight="1">
      <c r="C123" s="1850"/>
      <c r="D123" s="1848" t="s">
        <v>2986</v>
      </c>
      <c r="E123" s="4706" t="s">
        <v>3125</v>
      </c>
      <c r="F123" s="4706"/>
      <c r="G123" s="4706"/>
      <c r="H123" s="4706"/>
    </row>
    <row r="124" spans="1:8" ht="6" customHeight="1">
      <c r="D124" s="821"/>
      <c r="E124" s="1846"/>
      <c r="F124" s="1846"/>
      <c r="G124" s="1846"/>
      <c r="H124" s="1846"/>
    </row>
    <row r="125" spans="1:8" ht="13">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4" t="s">
        <v>2987</v>
      </c>
      <c r="F128" s="4704"/>
      <c r="G128" s="4704"/>
      <c r="H128" s="4704"/>
    </row>
    <row r="129" spans="1:8" ht="12.75" customHeight="1">
      <c r="C129" s="1849" t="s">
        <v>4088</v>
      </c>
      <c r="E129" s="4704" t="s">
        <v>3124</v>
      </c>
      <c r="F129" s="4704"/>
      <c r="G129" s="4704"/>
      <c r="H129" s="4704"/>
    </row>
    <row r="130" spans="1:8" ht="12.75" customHeight="1">
      <c r="C130" s="1850"/>
      <c r="D130" s="1847" t="s">
        <v>2986</v>
      </c>
      <c r="E130" s="4705" t="s">
        <v>3125</v>
      </c>
      <c r="F130" s="4705"/>
      <c r="G130" s="4705"/>
      <c r="H130" s="4705"/>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4" t="s">
        <v>2987</v>
      </c>
      <c r="F133" s="4704"/>
      <c r="G133" s="4704"/>
      <c r="H133" s="4704"/>
    </row>
    <row r="134" spans="1:8" ht="12.75" customHeight="1">
      <c r="C134" s="1849" t="s">
        <v>4088</v>
      </c>
      <c r="E134" s="4704" t="s">
        <v>3124</v>
      </c>
      <c r="F134" s="4704"/>
      <c r="G134" s="4704"/>
      <c r="H134" s="4704"/>
    </row>
    <row r="135" spans="1:8" ht="12.75" customHeight="1">
      <c r="C135" s="1850"/>
      <c r="D135" s="1848" t="s">
        <v>2986</v>
      </c>
      <c r="E135" s="4706" t="s">
        <v>3125</v>
      </c>
      <c r="F135" s="4706"/>
      <c r="G135" s="4706"/>
      <c r="H135" s="4706"/>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4" t="s">
        <v>2987</v>
      </c>
      <c r="F138" s="4704"/>
      <c r="G138" s="4704"/>
      <c r="H138" s="4704"/>
    </row>
    <row r="139" spans="1:8" ht="12.75" customHeight="1">
      <c r="C139" s="1849" t="s">
        <v>4088</v>
      </c>
      <c r="E139" s="4704" t="s">
        <v>3124</v>
      </c>
      <c r="F139" s="4704"/>
      <c r="G139" s="4704"/>
      <c r="H139" s="4704"/>
    </row>
    <row r="140" spans="1:8" ht="12.75" customHeight="1">
      <c r="C140" s="1850"/>
      <c r="D140" s="1848" t="s">
        <v>2986</v>
      </c>
      <c r="E140" s="4706" t="s">
        <v>3125</v>
      </c>
      <c r="F140" s="4706"/>
      <c r="G140" s="4706"/>
      <c r="H140" s="4706"/>
    </row>
    <row r="141" spans="1:8" ht="6" customHeight="1">
      <c r="D141" s="821"/>
      <c r="E141" s="1846"/>
      <c r="F141" s="1846"/>
      <c r="G141" s="1846"/>
      <c r="H141" s="1846"/>
    </row>
    <row r="142" spans="1:8" ht="13">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4" t="s">
        <v>2987</v>
      </c>
      <c r="F145" s="4704"/>
      <c r="G145" s="4704"/>
      <c r="H145" s="4704"/>
    </row>
    <row r="146" spans="1:8" ht="12.75" customHeight="1">
      <c r="C146" s="1849" t="s">
        <v>4088</v>
      </c>
      <c r="E146" s="4704" t="s">
        <v>3124</v>
      </c>
      <c r="F146" s="4704"/>
      <c r="G146" s="4704"/>
      <c r="H146" s="4704"/>
    </row>
    <row r="147" spans="1:8" ht="12.75" customHeight="1">
      <c r="C147" s="1850"/>
      <c r="D147" s="1847" t="s">
        <v>2986</v>
      </c>
      <c r="E147" s="4705" t="s">
        <v>3125</v>
      </c>
      <c r="F147" s="4705"/>
      <c r="G147" s="4705"/>
      <c r="H147" s="4705"/>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4" t="s">
        <v>2987</v>
      </c>
      <c r="F150" s="4704"/>
      <c r="G150" s="4704"/>
      <c r="H150" s="4704"/>
    </row>
    <row r="151" spans="1:8" ht="12.75" customHeight="1">
      <c r="C151" s="1849" t="s">
        <v>4088</v>
      </c>
      <c r="E151" s="4704" t="s">
        <v>3124</v>
      </c>
      <c r="F151" s="4704"/>
      <c r="G151" s="4704"/>
      <c r="H151" s="4704"/>
    </row>
    <row r="152" spans="1:8" ht="12.75" customHeight="1">
      <c r="C152" s="1850"/>
      <c r="D152" s="1848" t="s">
        <v>2986</v>
      </c>
      <c r="E152" s="4706" t="s">
        <v>3125</v>
      </c>
      <c r="F152" s="4706"/>
      <c r="G152" s="4706"/>
      <c r="H152" s="4706"/>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4" t="s">
        <v>2987</v>
      </c>
      <c r="F155" s="4704"/>
      <c r="G155" s="4704"/>
      <c r="H155" s="4704"/>
    </row>
    <row r="156" spans="1:8" ht="12.75" customHeight="1">
      <c r="C156" s="1849" t="s">
        <v>4088</v>
      </c>
      <c r="E156" s="4704" t="s">
        <v>3124</v>
      </c>
      <c r="F156" s="4704"/>
      <c r="G156" s="4704"/>
      <c r="H156" s="4704"/>
    </row>
    <row r="157" spans="1:8" ht="12.75" customHeight="1">
      <c r="C157" s="1850"/>
      <c r="D157" s="1848" t="s">
        <v>2986</v>
      </c>
      <c r="E157" s="4706" t="s">
        <v>3125</v>
      </c>
      <c r="F157" s="4706"/>
      <c r="G157" s="4706"/>
      <c r="H157" s="4706"/>
    </row>
    <row r="158" spans="1:8" ht="6" customHeight="1">
      <c r="D158" s="821"/>
      <c r="E158" s="1846"/>
      <c r="F158" s="1846"/>
      <c r="G158" s="1846"/>
      <c r="H158" s="1846"/>
    </row>
    <row r="159" spans="1:8" ht="13">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4" t="s">
        <v>2987</v>
      </c>
      <c r="F162" s="4704"/>
      <c r="G162" s="4704"/>
      <c r="H162" s="4704"/>
    </row>
    <row r="163" spans="1:8" ht="12.75" customHeight="1">
      <c r="C163" s="1849" t="s">
        <v>4088</v>
      </c>
      <c r="E163" s="4704" t="s">
        <v>3124</v>
      </c>
      <c r="F163" s="4704"/>
      <c r="G163" s="4704"/>
      <c r="H163" s="4704"/>
    </row>
    <row r="164" spans="1:8" ht="12.75" customHeight="1">
      <c r="C164" s="1850"/>
      <c r="D164" s="1847" t="s">
        <v>2986</v>
      </c>
      <c r="E164" s="4705" t="s">
        <v>3125</v>
      </c>
      <c r="F164" s="4705"/>
      <c r="G164" s="4705"/>
      <c r="H164" s="4705"/>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4" t="s">
        <v>2987</v>
      </c>
      <c r="F167" s="4704"/>
      <c r="G167" s="4704"/>
      <c r="H167" s="4704"/>
    </row>
    <row r="168" spans="1:8" ht="12.75" customHeight="1">
      <c r="C168" s="1849" t="s">
        <v>4088</v>
      </c>
      <c r="E168" s="4704" t="s">
        <v>3124</v>
      </c>
      <c r="F168" s="4704"/>
      <c r="G168" s="4704"/>
      <c r="H168" s="4704"/>
    </row>
    <row r="169" spans="1:8" ht="12.75" customHeight="1">
      <c r="C169" s="1850"/>
      <c r="D169" s="1848" t="s">
        <v>2986</v>
      </c>
      <c r="E169" s="4706" t="s">
        <v>3125</v>
      </c>
      <c r="F169" s="4706"/>
      <c r="G169" s="4706"/>
      <c r="H169" s="4706"/>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4" t="s">
        <v>2987</v>
      </c>
      <c r="F172" s="4704"/>
      <c r="G172" s="4704"/>
      <c r="H172" s="4704"/>
    </row>
    <row r="173" spans="1:8" ht="12.75" customHeight="1">
      <c r="C173" s="1849" t="s">
        <v>4088</v>
      </c>
      <c r="E173" s="4704" t="s">
        <v>3124</v>
      </c>
      <c r="F173" s="4704"/>
      <c r="G173" s="4704"/>
      <c r="H173" s="4704"/>
    </row>
    <row r="174" spans="1:8" ht="12.75" customHeight="1">
      <c r="C174" s="1850"/>
      <c r="D174" s="1848" t="s">
        <v>2986</v>
      </c>
      <c r="E174" s="4706" t="s">
        <v>3125</v>
      </c>
      <c r="F174" s="4706"/>
      <c r="G174" s="4706"/>
      <c r="H174" s="4706"/>
    </row>
    <row r="175" spans="1:8" ht="6" customHeight="1">
      <c r="D175" s="821"/>
      <c r="E175" s="1846"/>
      <c r="F175" s="1846"/>
      <c r="G175" s="1846"/>
      <c r="H175" s="1846"/>
    </row>
    <row r="176" spans="1:8" ht="13">
      <c r="A176" s="792" t="s">
        <v>2982</v>
      </c>
      <c r="B176" s="819" t="str">
        <f>IF('Part V-Revenues &amp; Expenses'!$O61=0,"",'Part V-Revenues &amp; Expenses'!$O$61)</f>
        <v/>
      </c>
      <c r="C176" s="792" t="s">
        <v>4086</v>
      </c>
      <c r="D176" s="820" t="s">
        <v>4087</v>
      </c>
    </row>
    <row r="177" spans="1:11" ht="1.9" customHeight="1"/>
    <row r="178" spans="1:11" ht="12.75" customHeight="1">
      <c r="C178" s="787" t="s">
        <v>2889</v>
      </c>
      <c r="D178" s="821" t="s">
        <v>1845</v>
      </c>
      <c r="E178" s="822"/>
      <c r="F178" s="4704" t="s">
        <v>2890</v>
      </c>
      <c r="G178" s="4704"/>
      <c r="H178" s="4704"/>
      <c r="K178" s="774" t="s">
        <v>233</v>
      </c>
    </row>
    <row r="179" spans="1:11" ht="12.75" customHeight="1">
      <c r="C179" s="823" t="s">
        <v>1276</v>
      </c>
      <c r="D179" s="821" t="s">
        <v>1847</v>
      </c>
      <c r="E179" s="4704" t="s">
        <v>2988</v>
      </c>
      <c r="F179" s="4704"/>
      <c r="G179" s="4704"/>
      <c r="H179" s="4704"/>
    </row>
    <row r="180" spans="1:11" ht="12.75" customHeight="1">
      <c r="E180" s="4704" t="s">
        <v>3124</v>
      </c>
      <c r="F180" s="4704"/>
      <c r="G180" s="4704"/>
      <c r="H180" s="4704"/>
    </row>
    <row r="181" spans="1:11" ht="12.75" customHeight="1">
      <c r="D181" s="824" t="s">
        <v>2986</v>
      </c>
      <c r="E181" s="4704" t="s">
        <v>3125</v>
      </c>
      <c r="F181" s="4704"/>
      <c r="G181" s="4704"/>
      <c r="H181" s="4704"/>
    </row>
    <row r="182" spans="1:11" ht="9" customHeight="1" thickBot="1"/>
    <row r="183" spans="1:11" ht="16.149999999999999" customHeight="1" thickBot="1">
      <c r="A183" s="4712">
        <v>40</v>
      </c>
      <c r="B183" s="4713"/>
      <c r="C183" s="1851" t="s">
        <v>976</v>
      </c>
    </row>
    <row r="184" spans="1:11" ht="9" customHeight="1">
      <c r="A184" s="777"/>
    </row>
    <row r="185" spans="1:11" ht="28.15" customHeight="1">
      <c r="A185" s="4710" t="s">
        <v>4092</v>
      </c>
      <c r="B185" s="4710"/>
      <c r="C185" s="4710"/>
      <c r="D185" s="4710"/>
      <c r="E185" s="4710"/>
      <c r="F185" s="4710"/>
      <c r="G185" s="4710"/>
      <c r="H185" s="4710"/>
    </row>
    <row r="186" spans="1:11" ht="9" customHeight="1">
      <c r="A186" s="777"/>
    </row>
    <row r="187" spans="1:11" ht="13">
      <c r="A187" s="792" t="s">
        <v>2982</v>
      </c>
      <c r="B187" s="819" t="str">
        <f>IF('Part V-Revenues &amp; Expenses'!$K$60=0,"",'Part V-Revenues &amp; Expenses'!$K$60)</f>
        <v/>
      </c>
      <c r="C187" s="792" t="s">
        <v>4083</v>
      </c>
      <c r="D187" s="820" t="s">
        <v>4084</v>
      </c>
    </row>
    <row r="188" spans="1:11" ht="1.9" customHeight="1"/>
    <row r="189" spans="1:11" ht="12.75" customHeight="1">
      <c r="C189" s="787" t="s">
        <v>2889</v>
      </c>
      <c r="D189" s="821" t="s">
        <v>1845</v>
      </c>
      <c r="E189" s="822"/>
      <c r="F189" s="4704" t="s">
        <v>2890</v>
      </c>
      <c r="G189" s="4704"/>
      <c r="H189" s="4704"/>
    </row>
    <row r="190" spans="1:11" ht="12.75" customHeight="1">
      <c r="C190" s="823" t="s">
        <v>1276</v>
      </c>
      <c r="D190" s="821" t="s">
        <v>1847</v>
      </c>
      <c r="E190" s="4704" t="s">
        <v>2987</v>
      </c>
      <c r="F190" s="4704"/>
      <c r="G190" s="4704"/>
      <c r="H190" s="4704"/>
    </row>
    <row r="191" spans="1:11" ht="12.75" customHeight="1">
      <c r="C191" s="1849" t="s">
        <v>4088</v>
      </c>
      <c r="E191" s="4704" t="s">
        <v>3124</v>
      </c>
      <c r="F191" s="4704"/>
      <c r="G191" s="4704"/>
      <c r="H191" s="4704"/>
    </row>
    <row r="192" spans="1:11" ht="12.75" customHeight="1">
      <c r="C192" s="1850"/>
      <c r="D192" s="1848" t="s">
        <v>2986</v>
      </c>
      <c r="E192" s="4706" t="s">
        <v>3125</v>
      </c>
      <c r="F192" s="4706"/>
      <c r="G192" s="4706"/>
      <c r="H192" s="4706"/>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4" t="s">
        <v>2987</v>
      </c>
      <c r="F195" s="4704"/>
      <c r="G195" s="4704"/>
      <c r="H195" s="4704"/>
    </row>
    <row r="196" spans="1:8" ht="12.75" customHeight="1">
      <c r="C196" s="1849" t="s">
        <v>4088</v>
      </c>
      <c r="E196" s="4704" t="s">
        <v>3124</v>
      </c>
      <c r="F196" s="4704"/>
      <c r="G196" s="4704"/>
      <c r="H196" s="4704"/>
    </row>
    <row r="197" spans="1:8" ht="12.75" customHeight="1">
      <c r="C197" s="1850"/>
      <c r="D197" s="1848" t="s">
        <v>2986</v>
      </c>
      <c r="E197" s="4706" t="s">
        <v>3125</v>
      </c>
      <c r="F197" s="4706"/>
      <c r="G197" s="4706"/>
      <c r="H197" s="4706"/>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4" t="s">
        <v>2987</v>
      </c>
      <c r="F200" s="4704"/>
      <c r="G200" s="4704"/>
      <c r="H200" s="4704"/>
    </row>
    <row r="201" spans="1:8" ht="12.75" customHeight="1">
      <c r="C201" s="1849" t="s">
        <v>4088</v>
      </c>
      <c r="E201" s="4704" t="s">
        <v>3124</v>
      </c>
      <c r="F201" s="4704"/>
      <c r="G201" s="4704"/>
      <c r="H201" s="4704"/>
    </row>
    <row r="202" spans="1:8" ht="12.75" customHeight="1">
      <c r="C202" s="1850"/>
      <c r="D202" s="1848" t="s">
        <v>2986</v>
      </c>
      <c r="E202" s="4706" t="s">
        <v>3125</v>
      </c>
      <c r="F202" s="4706"/>
      <c r="G202" s="4706"/>
      <c r="H202" s="4706"/>
    </row>
    <row r="203" spans="1:8" ht="6" customHeight="1">
      <c r="D203" s="821"/>
      <c r="E203" s="1846"/>
      <c r="F203" s="1846"/>
      <c r="G203" s="1846"/>
      <c r="H203" s="1846"/>
    </row>
    <row r="204" spans="1:8" ht="13">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4" t="s">
        <v>2987</v>
      </c>
      <c r="F207" s="4704"/>
      <c r="G207" s="4704"/>
      <c r="H207" s="4704"/>
    </row>
    <row r="208" spans="1:8" ht="12.75" customHeight="1">
      <c r="C208" s="1849" t="s">
        <v>4088</v>
      </c>
      <c r="E208" s="4704" t="s">
        <v>3124</v>
      </c>
      <c r="F208" s="4704"/>
      <c r="G208" s="4704"/>
      <c r="H208" s="4704"/>
    </row>
    <row r="209" spans="1:8" ht="12.75" customHeight="1">
      <c r="C209" s="1850"/>
      <c r="D209" s="1847" t="s">
        <v>2986</v>
      </c>
      <c r="E209" s="4705" t="s">
        <v>3125</v>
      </c>
      <c r="F209" s="4705"/>
      <c r="G209" s="4705"/>
      <c r="H209" s="4705"/>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4" t="s">
        <v>2987</v>
      </c>
      <c r="F212" s="4704"/>
      <c r="G212" s="4704"/>
      <c r="H212" s="4704"/>
    </row>
    <row r="213" spans="1:8" ht="12.75" customHeight="1">
      <c r="C213" s="1849" t="s">
        <v>4088</v>
      </c>
      <c r="E213" s="4704" t="s">
        <v>3124</v>
      </c>
      <c r="F213" s="4704"/>
      <c r="G213" s="4704"/>
      <c r="H213" s="4704"/>
    </row>
    <row r="214" spans="1:8" ht="12.75" customHeight="1">
      <c r="C214" s="1850"/>
      <c r="D214" s="1848" t="s">
        <v>2986</v>
      </c>
      <c r="E214" s="4706" t="s">
        <v>3125</v>
      </c>
      <c r="F214" s="4706"/>
      <c r="G214" s="4706"/>
      <c r="H214" s="4706"/>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4" t="s">
        <v>2987</v>
      </c>
      <c r="F217" s="4704"/>
      <c r="G217" s="4704"/>
      <c r="H217" s="4704"/>
    </row>
    <row r="218" spans="1:8" ht="12.75" customHeight="1">
      <c r="C218" s="1849" t="s">
        <v>4088</v>
      </c>
      <c r="E218" s="4704" t="s">
        <v>3124</v>
      </c>
      <c r="F218" s="4704"/>
      <c r="G218" s="4704"/>
      <c r="H218" s="4704"/>
    </row>
    <row r="219" spans="1:8" ht="12.75" customHeight="1">
      <c r="C219" s="1850"/>
      <c r="D219" s="1848" t="s">
        <v>2986</v>
      </c>
      <c r="E219" s="4706" t="s">
        <v>3125</v>
      </c>
      <c r="F219" s="4706"/>
      <c r="G219" s="4706"/>
      <c r="H219" s="4706"/>
    </row>
    <row r="220" spans="1:8" ht="6" customHeight="1">
      <c r="D220" s="821"/>
      <c r="E220" s="1846"/>
      <c r="F220" s="1846"/>
      <c r="G220" s="1846"/>
      <c r="H220" s="1846"/>
    </row>
    <row r="221" spans="1:8" ht="13">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4" t="s">
        <v>2987</v>
      </c>
      <c r="F224" s="4704"/>
      <c r="G224" s="4704"/>
      <c r="H224" s="4704"/>
    </row>
    <row r="225" spans="1:8" ht="12.75" customHeight="1">
      <c r="C225" s="1849" t="s">
        <v>4088</v>
      </c>
      <c r="E225" s="4704" t="s">
        <v>3124</v>
      </c>
      <c r="F225" s="4704"/>
      <c r="G225" s="4704"/>
      <c r="H225" s="4704"/>
    </row>
    <row r="226" spans="1:8" ht="12.75" customHeight="1">
      <c r="C226" s="1850"/>
      <c r="D226" s="1847" t="s">
        <v>2986</v>
      </c>
      <c r="E226" s="4705" t="s">
        <v>3125</v>
      </c>
      <c r="F226" s="4705"/>
      <c r="G226" s="4705"/>
      <c r="H226" s="4705"/>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4" t="s">
        <v>2987</v>
      </c>
      <c r="F229" s="4704"/>
      <c r="G229" s="4704"/>
      <c r="H229" s="4704"/>
    </row>
    <row r="230" spans="1:8" ht="12.75" customHeight="1">
      <c r="C230" s="1849" t="s">
        <v>4088</v>
      </c>
      <c r="E230" s="4704" t="s">
        <v>3124</v>
      </c>
      <c r="F230" s="4704"/>
      <c r="G230" s="4704"/>
      <c r="H230" s="4704"/>
    </row>
    <row r="231" spans="1:8" ht="12.75" customHeight="1">
      <c r="C231" s="1850"/>
      <c r="D231" s="1848" t="s">
        <v>2986</v>
      </c>
      <c r="E231" s="4706" t="s">
        <v>3125</v>
      </c>
      <c r="F231" s="4706"/>
      <c r="G231" s="4706"/>
      <c r="H231" s="4706"/>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4" t="s">
        <v>2987</v>
      </c>
      <c r="F234" s="4704"/>
      <c r="G234" s="4704"/>
      <c r="H234" s="4704"/>
    </row>
    <row r="235" spans="1:8" ht="12.75" customHeight="1">
      <c r="C235" s="1849" t="s">
        <v>4088</v>
      </c>
      <c r="E235" s="4704" t="s">
        <v>3124</v>
      </c>
      <c r="F235" s="4704"/>
      <c r="G235" s="4704"/>
      <c r="H235" s="4704"/>
    </row>
    <row r="236" spans="1:8" ht="12.75" customHeight="1">
      <c r="C236" s="1850"/>
      <c r="D236" s="1848" t="s">
        <v>2986</v>
      </c>
      <c r="E236" s="4706" t="s">
        <v>3125</v>
      </c>
      <c r="F236" s="4706"/>
      <c r="G236" s="4706"/>
      <c r="H236" s="4706"/>
    </row>
    <row r="237" spans="1:8" ht="6" customHeight="1">
      <c r="D237" s="821"/>
      <c r="E237" s="1846"/>
      <c r="F237" s="1846"/>
      <c r="G237" s="1846"/>
      <c r="H237" s="1846"/>
    </row>
    <row r="238" spans="1:8" ht="13">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4" t="s">
        <v>2987</v>
      </c>
      <c r="F241" s="4704"/>
      <c r="G241" s="4704"/>
      <c r="H241" s="4704"/>
    </row>
    <row r="242" spans="1:8" ht="12.75" customHeight="1">
      <c r="C242" s="1849" t="s">
        <v>4088</v>
      </c>
      <c r="E242" s="4704" t="s">
        <v>3124</v>
      </c>
      <c r="F242" s="4704"/>
      <c r="G242" s="4704"/>
      <c r="H242" s="4704"/>
    </row>
    <row r="243" spans="1:8" ht="12.75" customHeight="1">
      <c r="C243" s="1850"/>
      <c r="D243" s="1847" t="s">
        <v>2986</v>
      </c>
      <c r="E243" s="4705" t="s">
        <v>3125</v>
      </c>
      <c r="F243" s="4705"/>
      <c r="G243" s="4705"/>
      <c r="H243" s="4705"/>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4" t="s">
        <v>2987</v>
      </c>
      <c r="F246" s="4704"/>
      <c r="G246" s="4704"/>
      <c r="H246" s="4704"/>
    </row>
    <row r="247" spans="1:8" ht="12.75" customHeight="1">
      <c r="C247" s="1849" t="s">
        <v>4088</v>
      </c>
      <c r="E247" s="4704" t="s">
        <v>3124</v>
      </c>
      <c r="F247" s="4704"/>
      <c r="G247" s="4704"/>
      <c r="H247" s="4704"/>
    </row>
    <row r="248" spans="1:8" ht="12.75" customHeight="1">
      <c r="C248" s="1850"/>
      <c r="D248" s="1848" t="s">
        <v>2986</v>
      </c>
      <c r="E248" s="4706" t="s">
        <v>3125</v>
      </c>
      <c r="F248" s="4706"/>
      <c r="G248" s="4706"/>
      <c r="H248" s="4706"/>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4" t="s">
        <v>2987</v>
      </c>
      <c r="F251" s="4704"/>
      <c r="G251" s="4704"/>
      <c r="H251" s="4704"/>
    </row>
    <row r="252" spans="1:8" ht="12.75" customHeight="1">
      <c r="C252" s="1849" t="s">
        <v>4088</v>
      </c>
      <c r="E252" s="4704" t="s">
        <v>3124</v>
      </c>
      <c r="F252" s="4704"/>
      <c r="G252" s="4704"/>
      <c r="H252" s="4704"/>
    </row>
    <row r="253" spans="1:8" ht="12.75" customHeight="1">
      <c r="C253" s="1850"/>
      <c r="D253" s="1848" t="s">
        <v>2986</v>
      </c>
      <c r="E253" s="4706" t="s">
        <v>3125</v>
      </c>
      <c r="F253" s="4706"/>
      <c r="G253" s="4706"/>
      <c r="H253" s="4706"/>
    </row>
    <row r="254" spans="1:8" ht="6" customHeight="1">
      <c r="D254" s="821"/>
      <c r="E254" s="1846"/>
      <c r="F254" s="1846"/>
      <c r="G254" s="1846"/>
      <c r="H254" s="1846"/>
    </row>
    <row r="255" spans="1:8" ht="13">
      <c r="A255" s="792" t="s">
        <v>2982</v>
      </c>
      <c r="B255" s="819" t="str">
        <f>IF('Part V-Revenues &amp; Expenses'!$O$60=0,"",'Part V-Revenues &amp; Expenses'!$O$60)</f>
        <v/>
      </c>
      <c r="C255" s="792" t="s">
        <v>4086</v>
      </c>
      <c r="D255" s="820" t="s">
        <v>4087</v>
      </c>
    </row>
    <row r="256" spans="1:8" ht="1.9" customHeight="1"/>
    <row r="257" spans="1:11" ht="12.75" customHeight="1">
      <c r="C257" s="787" t="s">
        <v>2889</v>
      </c>
      <c r="D257" s="821" t="s">
        <v>1845</v>
      </c>
      <c r="E257" s="822"/>
      <c r="F257" s="4704" t="s">
        <v>2890</v>
      </c>
      <c r="G257" s="4704"/>
      <c r="H257" s="4704"/>
      <c r="K257" s="774" t="s">
        <v>233</v>
      </c>
    </row>
    <row r="258" spans="1:11" ht="12.75" customHeight="1">
      <c r="C258" s="823" t="s">
        <v>1276</v>
      </c>
      <c r="D258" s="821" t="s">
        <v>1847</v>
      </c>
      <c r="E258" s="4704" t="s">
        <v>2988</v>
      </c>
      <c r="F258" s="4704"/>
      <c r="G258" s="4704"/>
      <c r="H258" s="4704"/>
    </row>
    <row r="259" spans="1:11" ht="12.75" customHeight="1">
      <c r="E259" s="4704" t="s">
        <v>3124</v>
      </c>
      <c r="F259" s="4704"/>
      <c r="G259" s="4704"/>
      <c r="H259" s="4704"/>
    </row>
    <row r="260" spans="1:11" ht="12.75" customHeight="1">
      <c r="D260" s="824" t="s">
        <v>2986</v>
      </c>
      <c r="E260" s="4704" t="s">
        <v>3125</v>
      </c>
      <c r="F260" s="4704"/>
      <c r="G260" s="4704"/>
      <c r="H260" s="4704"/>
    </row>
    <row r="261" spans="1:11" ht="9" customHeight="1" thickBot="1"/>
    <row r="262" spans="1:11" ht="16.149999999999999" customHeight="1" thickBot="1">
      <c r="A262" s="4712">
        <v>50</v>
      </c>
      <c r="B262" s="4713"/>
      <c r="C262" s="1851" t="s">
        <v>976</v>
      </c>
    </row>
    <row r="263" spans="1:11" ht="9" customHeight="1">
      <c r="A263" s="777"/>
    </row>
    <row r="264" spans="1:11" ht="28.15" customHeight="1">
      <c r="A264" s="4710" t="s">
        <v>4089</v>
      </c>
      <c r="B264" s="4710"/>
      <c r="C264" s="4710"/>
      <c r="D264" s="4710"/>
      <c r="E264" s="4710"/>
      <c r="F264" s="4710"/>
      <c r="G264" s="4710"/>
      <c r="H264" s="4710"/>
    </row>
    <row r="265" spans="1:11" ht="9" customHeight="1">
      <c r="A265" s="777"/>
    </row>
    <row r="266" spans="1:11" ht="13">
      <c r="A266" s="792" t="s">
        <v>2982</v>
      </c>
      <c r="B266" s="819" t="str">
        <f>IF('Part V-Revenues &amp; Expenses'!$K$59=0,"",'Part V-Revenues &amp; Expenses'!$K$59)</f>
        <v/>
      </c>
      <c r="C266" s="792" t="s">
        <v>4083</v>
      </c>
      <c r="D266" s="820" t="s">
        <v>4084</v>
      </c>
    </row>
    <row r="267" spans="1:11" ht="1.9" customHeight="1"/>
    <row r="268" spans="1:11" ht="12.75" customHeight="1">
      <c r="C268" s="787" t="s">
        <v>2889</v>
      </c>
      <c r="D268" s="821" t="s">
        <v>1845</v>
      </c>
      <c r="E268" s="822"/>
      <c r="F268" s="4704" t="s">
        <v>2890</v>
      </c>
      <c r="G268" s="4704"/>
      <c r="H268" s="4704"/>
    </row>
    <row r="269" spans="1:11" ht="12.75" customHeight="1">
      <c r="C269" s="823" t="s">
        <v>1276</v>
      </c>
      <c r="D269" s="821" t="s">
        <v>1847</v>
      </c>
      <c r="E269" s="4704" t="s">
        <v>2987</v>
      </c>
      <c r="F269" s="4704"/>
      <c r="G269" s="4704"/>
      <c r="H269" s="4704"/>
    </row>
    <row r="270" spans="1:11" ht="12.75" customHeight="1">
      <c r="C270" s="1849" t="s">
        <v>4088</v>
      </c>
      <c r="E270" s="4704" t="s">
        <v>3124</v>
      </c>
      <c r="F270" s="4704"/>
      <c r="G270" s="4704"/>
      <c r="H270" s="4704"/>
    </row>
    <row r="271" spans="1:11" ht="12.75" customHeight="1">
      <c r="C271" s="1850"/>
      <c r="D271" s="1848" t="s">
        <v>2986</v>
      </c>
      <c r="E271" s="4706" t="s">
        <v>3125</v>
      </c>
      <c r="F271" s="4706"/>
      <c r="G271" s="4706"/>
      <c r="H271" s="4706"/>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4" t="s">
        <v>2987</v>
      </c>
      <c r="F274" s="4704"/>
      <c r="G274" s="4704"/>
      <c r="H274" s="4704"/>
    </row>
    <row r="275" spans="1:8" ht="12.75" customHeight="1">
      <c r="C275" s="1849" t="s">
        <v>4088</v>
      </c>
      <c r="E275" s="4704" t="s">
        <v>3124</v>
      </c>
      <c r="F275" s="4704"/>
      <c r="G275" s="4704"/>
      <c r="H275" s="4704"/>
    </row>
    <row r="276" spans="1:8" ht="12.75" customHeight="1">
      <c r="C276" s="1850"/>
      <c r="D276" s="1848" t="s">
        <v>2986</v>
      </c>
      <c r="E276" s="4706" t="s">
        <v>3125</v>
      </c>
      <c r="F276" s="4706"/>
      <c r="G276" s="4706"/>
      <c r="H276" s="4706"/>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4" t="s">
        <v>2987</v>
      </c>
      <c r="F279" s="4704"/>
      <c r="G279" s="4704"/>
      <c r="H279" s="4704"/>
    </row>
    <row r="280" spans="1:8" ht="12.75" customHeight="1">
      <c r="C280" s="1849" t="s">
        <v>4088</v>
      </c>
      <c r="E280" s="4704" t="s">
        <v>3124</v>
      </c>
      <c r="F280" s="4704"/>
      <c r="G280" s="4704"/>
      <c r="H280" s="4704"/>
    </row>
    <row r="281" spans="1:8" ht="12.75" customHeight="1">
      <c r="C281" s="1850"/>
      <c r="D281" s="1848" t="s">
        <v>2986</v>
      </c>
      <c r="E281" s="4706" t="s">
        <v>3125</v>
      </c>
      <c r="F281" s="4706"/>
      <c r="G281" s="4706"/>
      <c r="H281" s="4706"/>
    </row>
    <row r="282" spans="1:8" ht="6" customHeight="1">
      <c r="D282" s="821"/>
      <c r="E282" s="1846"/>
      <c r="F282" s="1846"/>
      <c r="G282" s="1846"/>
      <c r="H282" s="1846"/>
    </row>
    <row r="283" spans="1:8" ht="13">
      <c r="A283" s="792" t="s">
        <v>2982</v>
      </c>
      <c r="B283" s="819">
        <f>IF('Part V-Revenues &amp; Expenses'!$L$59=0,"",'Part V-Revenues &amp; Expenses'!$L$59)</f>
        <v>20</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4" t="s">
        <v>2987</v>
      </c>
      <c r="F286" s="4704"/>
      <c r="G286" s="4704"/>
      <c r="H286" s="4704"/>
    </row>
    <row r="287" spans="1:8" ht="12.75" customHeight="1">
      <c r="C287" s="1849" t="s">
        <v>4088</v>
      </c>
      <c r="E287" s="4704" t="s">
        <v>3124</v>
      </c>
      <c r="F287" s="4704"/>
      <c r="G287" s="4704"/>
      <c r="H287" s="4704"/>
    </row>
    <row r="288" spans="1:8" ht="12.75" customHeight="1">
      <c r="C288" s="1850"/>
      <c r="D288" s="1847" t="s">
        <v>2986</v>
      </c>
      <c r="E288" s="4705" t="s">
        <v>3125</v>
      </c>
      <c r="F288" s="4705"/>
      <c r="G288" s="4705"/>
      <c r="H288" s="4705"/>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4" t="s">
        <v>2987</v>
      </c>
      <c r="F291" s="4704"/>
      <c r="G291" s="4704"/>
      <c r="H291" s="4704"/>
    </row>
    <row r="292" spans="1:8" ht="12.75" customHeight="1">
      <c r="C292" s="1849" t="s">
        <v>4088</v>
      </c>
      <c r="E292" s="4704" t="s">
        <v>3124</v>
      </c>
      <c r="F292" s="4704"/>
      <c r="G292" s="4704"/>
      <c r="H292" s="4704"/>
    </row>
    <row r="293" spans="1:8" ht="12.75" customHeight="1">
      <c r="C293" s="1850"/>
      <c r="D293" s="1848" t="s">
        <v>2986</v>
      </c>
      <c r="E293" s="4706" t="s">
        <v>3125</v>
      </c>
      <c r="F293" s="4706"/>
      <c r="G293" s="4706"/>
      <c r="H293" s="4706"/>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4" t="s">
        <v>2987</v>
      </c>
      <c r="F296" s="4704"/>
      <c r="G296" s="4704"/>
      <c r="H296" s="4704"/>
    </row>
    <row r="297" spans="1:8" ht="12.75" customHeight="1">
      <c r="C297" s="1849" t="s">
        <v>4088</v>
      </c>
      <c r="E297" s="4704" t="s">
        <v>3124</v>
      </c>
      <c r="F297" s="4704"/>
      <c r="G297" s="4704"/>
      <c r="H297" s="4704"/>
    </row>
    <row r="298" spans="1:8" ht="12.75" customHeight="1">
      <c r="C298" s="1850"/>
      <c r="D298" s="1848" t="s">
        <v>2986</v>
      </c>
      <c r="E298" s="4706" t="s">
        <v>3125</v>
      </c>
      <c r="F298" s="4706"/>
      <c r="G298" s="4706"/>
      <c r="H298" s="4706"/>
    </row>
    <row r="299" spans="1:8" ht="6" customHeight="1">
      <c r="D299" s="821"/>
      <c r="E299" s="1846"/>
      <c r="F299" s="1846"/>
      <c r="G299" s="1846"/>
      <c r="H299" s="1846"/>
    </row>
    <row r="300" spans="1:8" ht="13">
      <c r="A300" s="792" t="s">
        <v>2982</v>
      </c>
      <c r="B300" s="819" t="str">
        <f>IF('Part V-Revenues &amp; Expenses'!$M$59=0,"",'Part V-Revenues &amp; Expenses'!$M$59)</f>
        <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4" t="s">
        <v>2987</v>
      </c>
      <c r="F303" s="4704"/>
      <c r="G303" s="4704"/>
      <c r="H303" s="4704"/>
    </row>
    <row r="304" spans="1:8" ht="12.75" customHeight="1">
      <c r="C304" s="1849" t="s">
        <v>4088</v>
      </c>
      <c r="E304" s="4704" t="s">
        <v>3124</v>
      </c>
      <c r="F304" s="4704"/>
      <c r="G304" s="4704"/>
      <c r="H304" s="4704"/>
    </row>
    <row r="305" spans="1:8" ht="12.75" customHeight="1">
      <c r="C305" s="1850"/>
      <c r="D305" s="1847" t="s">
        <v>2986</v>
      </c>
      <c r="E305" s="4705" t="s">
        <v>3125</v>
      </c>
      <c r="F305" s="4705"/>
      <c r="G305" s="4705"/>
      <c r="H305" s="4705"/>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4" t="s">
        <v>2987</v>
      </c>
      <c r="F308" s="4704"/>
      <c r="G308" s="4704"/>
      <c r="H308" s="4704"/>
    </row>
    <row r="309" spans="1:8" ht="12.75" customHeight="1">
      <c r="C309" s="1849" t="s">
        <v>4088</v>
      </c>
      <c r="E309" s="4704" t="s">
        <v>3124</v>
      </c>
      <c r="F309" s="4704"/>
      <c r="G309" s="4704"/>
      <c r="H309" s="4704"/>
    </row>
    <row r="310" spans="1:8" ht="12.75" customHeight="1">
      <c r="C310" s="1850"/>
      <c r="D310" s="1848" t="s">
        <v>2986</v>
      </c>
      <c r="E310" s="4706" t="s">
        <v>3125</v>
      </c>
      <c r="F310" s="4706"/>
      <c r="G310" s="4706"/>
      <c r="H310" s="4706"/>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4" t="s">
        <v>2987</v>
      </c>
      <c r="F313" s="4704"/>
      <c r="G313" s="4704"/>
      <c r="H313" s="4704"/>
    </row>
    <row r="314" spans="1:8" ht="12.75" customHeight="1">
      <c r="C314" s="1849" t="s">
        <v>4088</v>
      </c>
      <c r="E314" s="4704" t="s">
        <v>3124</v>
      </c>
      <c r="F314" s="4704"/>
      <c r="G314" s="4704"/>
      <c r="H314" s="4704"/>
    </row>
    <row r="315" spans="1:8" ht="12.75" customHeight="1">
      <c r="C315" s="1850"/>
      <c r="D315" s="1848" t="s">
        <v>2986</v>
      </c>
      <c r="E315" s="4706" t="s">
        <v>3125</v>
      </c>
      <c r="F315" s="4706"/>
      <c r="G315" s="4706"/>
      <c r="H315" s="4706"/>
    </row>
    <row r="316" spans="1:8" ht="6" customHeight="1">
      <c r="D316" s="821"/>
      <c r="E316" s="1846"/>
      <c r="F316" s="1846"/>
      <c r="G316" s="1846"/>
      <c r="H316" s="1846"/>
    </row>
    <row r="317" spans="1:8" ht="13">
      <c r="A317" s="792" t="s">
        <v>2982</v>
      </c>
      <c r="B317" s="819" t="str">
        <f>IF('Part V-Revenues &amp; Expenses'!$N$59=0,"",'Part V-Revenues &amp; Expenses'!$N$59)</f>
        <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4" t="s">
        <v>2987</v>
      </c>
      <c r="F320" s="4704"/>
      <c r="G320" s="4704"/>
      <c r="H320" s="4704"/>
    </row>
    <row r="321" spans="1:11" ht="12.75" customHeight="1">
      <c r="C321" s="1849" t="s">
        <v>4088</v>
      </c>
      <c r="E321" s="4704" t="s">
        <v>3124</v>
      </c>
      <c r="F321" s="4704"/>
      <c r="G321" s="4704"/>
      <c r="H321" s="4704"/>
    </row>
    <row r="322" spans="1:11" ht="12.75" customHeight="1">
      <c r="C322" s="1850"/>
      <c r="D322" s="1847" t="s">
        <v>2986</v>
      </c>
      <c r="E322" s="4705" t="s">
        <v>3125</v>
      </c>
      <c r="F322" s="4705"/>
      <c r="G322" s="4705"/>
      <c r="H322" s="4705"/>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4" t="s">
        <v>2987</v>
      </c>
      <c r="F325" s="4704"/>
      <c r="G325" s="4704"/>
      <c r="H325" s="4704"/>
    </row>
    <row r="326" spans="1:11" ht="12.75" customHeight="1">
      <c r="C326" s="1849" t="s">
        <v>4088</v>
      </c>
      <c r="E326" s="4704" t="s">
        <v>3124</v>
      </c>
      <c r="F326" s="4704"/>
      <c r="G326" s="4704"/>
      <c r="H326" s="4704"/>
    </row>
    <row r="327" spans="1:11" ht="12.75" customHeight="1">
      <c r="C327" s="1850"/>
      <c r="D327" s="1848" t="s">
        <v>2986</v>
      </c>
      <c r="E327" s="4706" t="s">
        <v>3125</v>
      </c>
      <c r="F327" s="4706"/>
      <c r="G327" s="4706"/>
      <c r="H327" s="4706"/>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4" t="s">
        <v>2987</v>
      </c>
      <c r="F330" s="4704"/>
      <c r="G330" s="4704"/>
      <c r="H330" s="4704"/>
    </row>
    <row r="331" spans="1:11" ht="12.75" customHeight="1">
      <c r="C331" s="1849" t="s">
        <v>4088</v>
      </c>
      <c r="E331" s="4704" t="s">
        <v>3124</v>
      </c>
      <c r="F331" s="4704"/>
      <c r="G331" s="4704"/>
      <c r="H331" s="4704"/>
    </row>
    <row r="332" spans="1:11" ht="12.75" customHeight="1">
      <c r="C332" s="1850"/>
      <c r="D332" s="1848" t="s">
        <v>2986</v>
      </c>
      <c r="E332" s="4706" t="s">
        <v>3125</v>
      </c>
      <c r="F332" s="4706"/>
      <c r="G332" s="4706"/>
      <c r="H332" s="4706"/>
    </row>
    <row r="333" spans="1:11" ht="6" customHeight="1">
      <c r="D333" s="821"/>
      <c r="E333" s="1846"/>
      <c r="F333" s="1846"/>
      <c r="G333" s="1846"/>
      <c r="H333" s="1846"/>
    </row>
    <row r="334" spans="1:11" ht="13">
      <c r="A334" s="792" t="s">
        <v>2982</v>
      </c>
      <c r="B334" s="819" t="str">
        <f>IF('Part V-Revenues &amp; Expenses'!$O$59=0,"",'Part V-Revenues &amp; Expenses'!$O$59)</f>
        <v/>
      </c>
      <c r="C334" s="792" t="s">
        <v>4086</v>
      </c>
      <c r="D334" s="820" t="s">
        <v>4087</v>
      </c>
    </row>
    <row r="335" spans="1:11" ht="1.9" customHeight="1"/>
    <row r="336" spans="1:11" ht="12.75" customHeight="1">
      <c r="C336" s="787" t="s">
        <v>2889</v>
      </c>
      <c r="D336" s="821" t="s">
        <v>1845</v>
      </c>
      <c r="E336" s="822"/>
      <c r="F336" s="4704" t="s">
        <v>2890</v>
      </c>
      <c r="G336" s="4704"/>
      <c r="H336" s="4704"/>
      <c r="K336" s="774" t="s">
        <v>233</v>
      </c>
    </row>
    <row r="337" spans="1:8" ht="12.75" customHeight="1">
      <c r="C337" s="823" t="s">
        <v>1276</v>
      </c>
      <c r="D337" s="821" t="s">
        <v>1847</v>
      </c>
      <c r="E337" s="4704" t="s">
        <v>2988</v>
      </c>
      <c r="F337" s="4704"/>
      <c r="G337" s="4704"/>
      <c r="H337" s="4704"/>
    </row>
    <row r="338" spans="1:8" ht="12.75" customHeight="1">
      <c r="E338" s="4704" t="s">
        <v>3124</v>
      </c>
      <c r="F338" s="4704"/>
      <c r="G338" s="4704"/>
      <c r="H338" s="4704"/>
    </row>
    <row r="339" spans="1:8" ht="12.75" customHeight="1">
      <c r="D339" s="824" t="s">
        <v>2986</v>
      </c>
      <c r="E339" s="4704" t="s">
        <v>3125</v>
      </c>
      <c r="F339" s="4704"/>
      <c r="G339" s="4704"/>
      <c r="H339" s="4704"/>
    </row>
    <row r="340" spans="1:8" ht="9" customHeight="1"/>
    <row r="341" spans="1:8" ht="7.5" customHeight="1" thickBot="1">
      <c r="E341" s="4704"/>
      <c r="F341" s="4704"/>
      <c r="G341" s="4704"/>
      <c r="H341" s="4704"/>
    </row>
    <row r="342" spans="1:8" ht="16.149999999999999" customHeight="1" thickBot="1">
      <c r="A342" s="4712">
        <v>60</v>
      </c>
      <c r="B342" s="4713"/>
      <c r="C342" s="1851" t="s">
        <v>976</v>
      </c>
    </row>
    <row r="343" spans="1:8" ht="9" customHeight="1">
      <c r="A343" s="777"/>
    </row>
    <row r="344" spans="1:8" ht="28.15" customHeight="1">
      <c r="A344" s="4710" t="s">
        <v>4093</v>
      </c>
      <c r="B344" s="4710"/>
      <c r="C344" s="4710"/>
      <c r="D344" s="4710"/>
      <c r="E344" s="4710"/>
      <c r="F344" s="4710"/>
      <c r="G344" s="4710"/>
      <c r="H344" s="4710"/>
    </row>
    <row r="345" spans="1:8" ht="9" customHeight="1">
      <c r="A345" s="777"/>
    </row>
    <row r="346" spans="1:8" ht="13">
      <c r="A346" s="792" t="s">
        <v>2982</v>
      </c>
      <c r="B346" s="819" t="str">
        <f>IF('Part V-Revenues &amp; Expenses'!$K$58=0,"",'Part V-Revenues &amp; Expenses'!$K$58)</f>
        <v/>
      </c>
      <c r="C346" s="792" t="s">
        <v>4083</v>
      </c>
      <c r="D346" s="820" t="s">
        <v>4084</v>
      </c>
    </row>
    <row r="347" spans="1:8" ht="1.9" customHeight="1"/>
    <row r="348" spans="1:8" ht="12.75" customHeight="1">
      <c r="C348" s="787" t="s">
        <v>2889</v>
      </c>
      <c r="D348" s="821" t="s">
        <v>1845</v>
      </c>
      <c r="E348" s="822"/>
      <c r="F348" s="4704" t="s">
        <v>2890</v>
      </c>
      <c r="G348" s="4704"/>
      <c r="H348" s="4704"/>
    </row>
    <row r="349" spans="1:8" ht="12.75" customHeight="1">
      <c r="C349" s="823" t="s">
        <v>1276</v>
      </c>
      <c r="D349" s="821" t="s">
        <v>1847</v>
      </c>
      <c r="E349" s="4704" t="s">
        <v>2987</v>
      </c>
      <c r="F349" s="4704"/>
      <c r="G349" s="4704"/>
      <c r="H349" s="4704"/>
    </row>
    <row r="350" spans="1:8" ht="12.75" customHeight="1">
      <c r="C350" s="1849" t="s">
        <v>4088</v>
      </c>
      <c r="E350" s="4704" t="s">
        <v>3124</v>
      </c>
      <c r="F350" s="4704"/>
      <c r="G350" s="4704"/>
      <c r="H350" s="4704"/>
    </row>
    <row r="351" spans="1:8" ht="12.75" customHeight="1">
      <c r="C351" s="1850"/>
      <c r="D351" s="1848" t="s">
        <v>2986</v>
      </c>
      <c r="E351" s="4706" t="s">
        <v>3125</v>
      </c>
      <c r="F351" s="4706"/>
      <c r="G351" s="4706"/>
      <c r="H351" s="4706"/>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4" t="s">
        <v>2987</v>
      </c>
      <c r="F354" s="4704"/>
      <c r="G354" s="4704"/>
      <c r="H354" s="4704"/>
    </row>
    <row r="355" spans="1:8" ht="12.75" customHeight="1">
      <c r="C355" s="1849" t="s">
        <v>4088</v>
      </c>
      <c r="E355" s="4704" t="s">
        <v>3124</v>
      </c>
      <c r="F355" s="4704"/>
      <c r="G355" s="4704"/>
      <c r="H355" s="4704"/>
    </row>
    <row r="356" spans="1:8" ht="12.75" customHeight="1">
      <c r="C356" s="1850"/>
      <c r="D356" s="1848" t="s">
        <v>2986</v>
      </c>
      <c r="E356" s="4706" t="s">
        <v>3125</v>
      </c>
      <c r="F356" s="4706"/>
      <c r="G356" s="4706"/>
      <c r="H356" s="4706"/>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4" t="s">
        <v>2987</v>
      </c>
      <c r="F359" s="4704"/>
      <c r="G359" s="4704"/>
      <c r="H359" s="4704"/>
    </row>
    <row r="360" spans="1:8" ht="12.75" customHeight="1">
      <c r="C360" s="1849" t="s">
        <v>4088</v>
      </c>
      <c r="E360" s="4704" t="s">
        <v>3124</v>
      </c>
      <c r="F360" s="4704"/>
      <c r="G360" s="4704"/>
      <c r="H360" s="4704"/>
    </row>
    <row r="361" spans="1:8" ht="12.75" customHeight="1">
      <c r="C361" s="1850"/>
      <c r="D361" s="1848" t="s">
        <v>2986</v>
      </c>
      <c r="E361" s="4706" t="s">
        <v>3125</v>
      </c>
      <c r="F361" s="4706"/>
      <c r="G361" s="4706"/>
      <c r="H361" s="4706"/>
    </row>
    <row r="362" spans="1:8" ht="6" customHeight="1">
      <c r="D362" s="821"/>
      <c r="E362" s="1846"/>
      <c r="F362" s="1846"/>
      <c r="G362" s="1846"/>
      <c r="H362" s="1846"/>
    </row>
    <row r="363" spans="1:8" ht="13">
      <c r="A363" s="792" t="s">
        <v>2982</v>
      </c>
      <c r="B363" s="819">
        <f>IF('Part V-Revenues &amp; Expenses'!$L$58=0,"",'Part V-Revenues &amp; Expenses'!$L$58)</f>
        <v>32</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4" t="s">
        <v>2987</v>
      </c>
      <c r="F366" s="4704"/>
      <c r="G366" s="4704"/>
      <c r="H366" s="4704"/>
    </row>
    <row r="367" spans="1:8" ht="12.75" customHeight="1">
      <c r="C367" s="1849" t="s">
        <v>4088</v>
      </c>
      <c r="E367" s="4704" t="s">
        <v>3124</v>
      </c>
      <c r="F367" s="4704"/>
      <c r="G367" s="4704"/>
      <c r="H367" s="4704"/>
    </row>
    <row r="368" spans="1:8" ht="12.75" customHeight="1">
      <c r="C368" s="1850"/>
      <c r="D368" s="1847" t="s">
        <v>2986</v>
      </c>
      <c r="E368" s="4705" t="s">
        <v>3125</v>
      </c>
      <c r="F368" s="4705"/>
      <c r="G368" s="4705"/>
      <c r="H368" s="4705"/>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4" t="s">
        <v>2987</v>
      </c>
      <c r="F371" s="4704"/>
      <c r="G371" s="4704"/>
      <c r="H371" s="4704"/>
    </row>
    <row r="372" spans="1:8" ht="12.75" customHeight="1">
      <c r="C372" s="1849" t="s">
        <v>4088</v>
      </c>
      <c r="E372" s="4704" t="s">
        <v>3124</v>
      </c>
      <c r="F372" s="4704"/>
      <c r="G372" s="4704"/>
      <c r="H372" s="4704"/>
    </row>
    <row r="373" spans="1:8" ht="12.75" customHeight="1">
      <c r="C373" s="1850"/>
      <c r="D373" s="1848" t="s">
        <v>2986</v>
      </c>
      <c r="E373" s="4706" t="s">
        <v>3125</v>
      </c>
      <c r="F373" s="4706"/>
      <c r="G373" s="4706"/>
      <c r="H373" s="4706"/>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4" t="s">
        <v>2987</v>
      </c>
      <c r="F376" s="4704"/>
      <c r="G376" s="4704"/>
      <c r="H376" s="4704"/>
    </row>
    <row r="377" spans="1:8" ht="12.75" customHeight="1">
      <c r="C377" s="1849" t="s">
        <v>4088</v>
      </c>
      <c r="E377" s="4704" t="s">
        <v>3124</v>
      </c>
      <c r="F377" s="4704"/>
      <c r="G377" s="4704"/>
      <c r="H377" s="4704"/>
    </row>
    <row r="378" spans="1:8" ht="12.75" customHeight="1">
      <c r="C378" s="1850"/>
      <c r="D378" s="1848" t="s">
        <v>2986</v>
      </c>
      <c r="E378" s="4706" t="s">
        <v>3125</v>
      </c>
      <c r="F378" s="4706"/>
      <c r="G378" s="4706"/>
      <c r="H378" s="4706"/>
    </row>
    <row r="379" spans="1:8" ht="6" customHeight="1">
      <c r="D379" s="821"/>
      <c r="E379" s="1846"/>
      <c r="F379" s="1846"/>
      <c r="G379" s="1846"/>
      <c r="H379" s="1846"/>
    </row>
    <row r="380" spans="1:8" ht="13">
      <c r="A380" s="792" t="s">
        <v>2982</v>
      </c>
      <c r="B380" s="819" t="str">
        <f>IF('Part V-Revenues &amp; Expenses'!$M$58=0,"",'Part V-Revenues &amp; Expenses'!$M$58)</f>
        <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4" t="s">
        <v>2987</v>
      </c>
      <c r="F383" s="4704"/>
      <c r="G383" s="4704"/>
      <c r="H383" s="4704"/>
    </row>
    <row r="384" spans="1:8" ht="12.75" customHeight="1">
      <c r="C384" s="1849" t="s">
        <v>4088</v>
      </c>
      <c r="E384" s="4704" t="s">
        <v>3124</v>
      </c>
      <c r="F384" s="4704"/>
      <c r="G384" s="4704"/>
      <c r="H384" s="4704"/>
    </row>
    <row r="385" spans="1:8" ht="12.75" customHeight="1">
      <c r="C385" s="1850"/>
      <c r="D385" s="1847" t="s">
        <v>2986</v>
      </c>
      <c r="E385" s="4705" t="s">
        <v>3125</v>
      </c>
      <c r="F385" s="4705"/>
      <c r="G385" s="4705"/>
      <c r="H385" s="4705"/>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4" t="s">
        <v>2987</v>
      </c>
      <c r="F388" s="4704"/>
      <c r="G388" s="4704"/>
      <c r="H388" s="4704"/>
    </row>
    <row r="389" spans="1:8" ht="12.75" customHeight="1">
      <c r="C389" s="1849" t="s">
        <v>4088</v>
      </c>
      <c r="E389" s="4704" t="s">
        <v>3124</v>
      </c>
      <c r="F389" s="4704"/>
      <c r="G389" s="4704"/>
      <c r="H389" s="4704"/>
    </row>
    <row r="390" spans="1:8" ht="12.75" customHeight="1">
      <c r="C390" s="1850"/>
      <c r="D390" s="1848" t="s">
        <v>2986</v>
      </c>
      <c r="E390" s="4706" t="s">
        <v>3125</v>
      </c>
      <c r="F390" s="4706"/>
      <c r="G390" s="4706"/>
      <c r="H390" s="4706"/>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4" t="s">
        <v>2987</v>
      </c>
      <c r="F393" s="4704"/>
      <c r="G393" s="4704"/>
      <c r="H393" s="4704"/>
    </row>
    <row r="394" spans="1:8" ht="12.75" customHeight="1">
      <c r="C394" s="1849" t="s">
        <v>4088</v>
      </c>
      <c r="E394" s="4704" t="s">
        <v>3124</v>
      </c>
      <c r="F394" s="4704"/>
      <c r="G394" s="4704"/>
      <c r="H394" s="4704"/>
    </row>
    <row r="395" spans="1:8" ht="12.75" customHeight="1">
      <c r="C395" s="1850"/>
      <c r="D395" s="1848" t="s">
        <v>2986</v>
      </c>
      <c r="E395" s="4706" t="s">
        <v>3125</v>
      </c>
      <c r="F395" s="4706"/>
      <c r="G395" s="4706"/>
      <c r="H395" s="4706"/>
    </row>
    <row r="396" spans="1:8" ht="6" customHeight="1">
      <c r="D396" s="821"/>
      <c r="E396" s="1846"/>
      <c r="F396" s="1846"/>
      <c r="G396" s="1846"/>
      <c r="H396" s="1846"/>
    </row>
    <row r="397" spans="1:8" ht="13">
      <c r="A397" s="792" t="s">
        <v>2982</v>
      </c>
      <c r="B397" s="819" t="str">
        <f>IF('Part V-Revenues &amp; Expenses'!$N$58=0,"",'Part V-Revenues &amp; Expenses'!$N$58)</f>
        <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4" t="s">
        <v>2987</v>
      </c>
      <c r="F400" s="4704"/>
      <c r="G400" s="4704"/>
      <c r="H400" s="4704"/>
    </row>
    <row r="401" spans="1:11" ht="12.75" customHeight="1">
      <c r="C401" s="1849" t="s">
        <v>4088</v>
      </c>
      <c r="E401" s="4704" t="s">
        <v>3124</v>
      </c>
      <c r="F401" s="4704"/>
      <c r="G401" s="4704"/>
      <c r="H401" s="4704"/>
    </row>
    <row r="402" spans="1:11" ht="12.75" customHeight="1">
      <c r="C402" s="1850"/>
      <c r="D402" s="1847" t="s">
        <v>2986</v>
      </c>
      <c r="E402" s="4705" t="s">
        <v>3125</v>
      </c>
      <c r="F402" s="4705"/>
      <c r="G402" s="4705"/>
      <c r="H402" s="4705"/>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4" t="s">
        <v>2987</v>
      </c>
      <c r="F405" s="4704"/>
      <c r="G405" s="4704"/>
      <c r="H405" s="4704"/>
    </row>
    <row r="406" spans="1:11" ht="12.75" customHeight="1">
      <c r="C406" s="1849" t="s">
        <v>4088</v>
      </c>
      <c r="E406" s="4704" t="s">
        <v>3124</v>
      </c>
      <c r="F406" s="4704"/>
      <c r="G406" s="4704"/>
      <c r="H406" s="4704"/>
    </row>
    <row r="407" spans="1:11" ht="12.75" customHeight="1">
      <c r="C407" s="1850"/>
      <c r="D407" s="1848" t="s">
        <v>2986</v>
      </c>
      <c r="E407" s="4706" t="s">
        <v>3125</v>
      </c>
      <c r="F407" s="4706"/>
      <c r="G407" s="4706"/>
      <c r="H407" s="4706"/>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4" t="s">
        <v>2987</v>
      </c>
      <c r="F410" s="4704"/>
      <c r="G410" s="4704"/>
      <c r="H410" s="4704"/>
    </row>
    <row r="411" spans="1:11" ht="12.75" customHeight="1">
      <c r="C411" s="1849" t="s">
        <v>4088</v>
      </c>
      <c r="E411" s="4704" t="s">
        <v>3124</v>
      </c>
      <c r="F411" s="4704"/>
      <c r="G411" s="4704"/>
      <c r="H411" s="4704"/>
    </row>
    <row r="412" spans="1:11" ht="12.75" customHeight="1">
      <c r="C412" s="1850"/>
      <c r="D412" s="1848" t="s">
        <v>2986</v>
      </c>
      <c r="E412" s="4706" t="s">
        <v>3125</v>
      </c>
      <c r="F412" s="4706"/>
      <c r="G412" s="4706"/>
      <c r="H412" s="4706"/>
    </row>
    <row r="413" spans="1:11" ht="6" customHeight="1">
      <c r="D413" s="821"/>
      <c r="E413" s="1846"/>
      <c r="F413" s="1846"/>
      <c r="G413" s="1846"/>
      <c r="H413" s="1846"/>
    </row>
    <row r="414" spans="1:11" ht="13">
      <c r="A414" s="792" t="s">
        <v>2982</v>
      </c>
      <c r="B414" s="819" t="str">
        <f>IF('Part V-Revenues &amp; Expenses'!$O$58=0,"",'Part V-Revenues &amp; Expenses'!$O$58)</f>
        <v/>
      </c>
      <c r="C414" s="792" t="s">
        <v>4086</v>
      </c>
      <c r="D414" s="820" t="s">
        <v>4087</v>
      </c>
    </row>
    <row r="415" spans="1:11" ht="1.9" customHeight="1"/>
    <row r="416" spans="1:11" ht="12.75" customHeight="1">
      <c r="C416" s="787" t="s">
        <v>2889</v>
      </c>
      <c r="D416" s="821" t="s">
        <v>1845</v>
      </c>
      <c r="E416" s="822"/>
      <c r="F416" s="4704" t="s">
        <v>2890</v>
      </c>
      <c r="G416" s="4704"/>
      <c r="H416" s="4704"/>
      <c r="K416" s="774" t="s">
        <v>233</v>
      </c>
    </row>
    <row r="417" spans="1:8" ht="12.75" customHeight="1">
      <c r="C417" s="823" t="s">
        <v>1276</v>
      </c>
      <c r="D417" s="821" t="s">
        <v>1847</v>
      </c>
      <c r="E417" s="4704" t="s">
        <v>2988</v>
      </c>
      <c r="F417" s="4704"/>
      <c r="G417" s="4704"/>
      <c r="H417" s="4704"/>
    </row>
    <row r="418" spans="1:8" ht="12.75" customHeight="1">
      <c r="E418" s="4704" t="s">
        <v>3124</v>
      </c>
      <c r="F418" s="4704"/>
      <c r="G418" s="4704"/>
      <c r="H418" s="4704"/>
    </row>
    <row r="419" spans="1:8" ht="12.75" customHeight="1">
      <c r="D419" s="824" t="s">
        <v>2986</v>
      </c>
      <c r="E419" s="4704" t="s">
        <v>3125</v>
      </c>
      <c r="F419" s="4704"/>
      <c r="G419" s="4704"/>
      <c r="H419" s="4704"/>
    </row>
    <row r="420" spans="1:8" ht="9" customHeight="1" thickBot="1"/>
    <row r="421" spans="1:8" ht="16.149999999999999" customHeight="1" thickBot="1">
      <c r="A421" s="4712">
        <v>70</v>
      </c>
      <c r="B421" s="4713"/>
      <c r="C421" s="1851" t="s">
        <v>976</v>
      </c>
    </row>
    <row r="422" spans="1:8" ht="9" customHeight="1">
      <c r="A422" s="777"/>
    </row>
    <row r="423" spans="1:8" ht="28.15" customHeight="1">
      <c r="A423" s="4710" t="s">
        <v>4094</v>
      </c>
      <c r="B423" s="4710"/>
      <c r="C423" s="4710"/>
      <c r="D423" s="4710"/>
      <c r="E423" s="4710"/>
      <c r="F423" s="4710"/>
      <c r="G423" s="4710"/>
      <c r="H423" s="4710"/>
    </row>
    <row r="424" spans="1:8" ht="9" customHeight="1">
      <c r="A424" s="777"/>
    </row>
    <row r="425" spans="1:8" ht="13">
      <c r="A425" s="792" t="s">
        <v>2982</v>
      </c>
      <c r="B425" s="819" t="str">
        <f>IF('Part V-Revenues &amp; Expenses'!$K$57=0,"",'Part V-Revenues &amp; Expenses'!$K$57)</f>
        <v/>
      </c>
      <c r="C425" s="792" t="s">
        <v>4083</v>
      </c>
      <c r="D425" s="820" t="s">
        <v>4084</v>
      </c>
    </row>
    <row r="426" spans="1:8" ht="1.9" customHeight="1"/>
    <row r="427" spans="1:8" ht="12.75" customHeight="1">
      <c r="C427" s="787" t="s">
        <v>2889</v>
      </c>
      <c r="D427" s="821" t="s">
        <v>1845</v>
      </c>
      <c r="E427" s="822"/>
      <c r="F427" s="4704" t="s">
        <v>2890</v>
      </c>
      <c r="G427" s="4704"/>
      <c r="H427" s="4704"/>
    </row>
    <row r="428" spans="1:8" ht="12.75" customHeight="1">
      <c r="C428" s="823" t="s">
        <v>1276</v>
      </c>
      <c r="D428" s="821" t="s">
        <v>1847</v>
      </c>
      <c r="E428" s="4704" t="s">
        <v>2987</v>
      </c>
      <c r="F428" s="4704"/>
      <c r="G428" s="4704"/>
      <c r="H428" s="4704"/>
    </row>
    <row r="429" spans="1:8" ht="12.75" customHeight="1">
      <c r="C429" s="1849" t="s">
        <v>4088</v>
      </c>
      <c r="E429" s="4704" t="s">
        <v>3124</v>
      </c>
      <c r="F429" s="4704"/>
      <c r="G429" s="4704"/>
      <c r="H429" s="4704"/>
    </row>
    <row r="430" spans="1:8" ht="12.75" customHeight="1">
      <c r="C430" s="1850"/>
      <c r="D430" s="1848" t="s">
        <v>2986</v>
      </c>
      <c r="E430" s="4706" t="s">
        <v>3125</v>
      </c>
      <c r="F430" s="4706"/>
      <c r="G430" s="4706"/>
      <c r="H430" s="4706"/>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4" t="s">
        <v>2987</v>
      </c>
      <c r="F433" s="4704"/>
      <c r="G433" s="4704"/>
      <c r="H433" s="4704"/>
    </row>
    <row r="434" spans="1:8" ht="12.75" customHeight="1">
      <c r="C434" s="1849" t="s">
        <v>4088</v>
      </c>
      <c r="E434" s="4704" t="s">
        <v>3124</v>
      </c>
      <c r="F434" s="4704"/>
      <c r="G434" s="4704"/>
      <c r="H434" s="4704"/>
    </row>
    <row r="435" spans="1:8" ht="12.75" customHeight="1">
      <c r="C435" s="1850"/>
      <c r="D435" s="1848" t="s">
        <v>2986</v>
      </c>
      <c r="E435" s="4706" t="s">
        <v>3125</v>
      </c>
      <c r="F435" s="4706"/>
      <c r="G435" s="4706"/>
      <c r="H435" s="4706"/>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4" t="s">
        <v>2987</v>
      </c>
      <c r="F438" s="4704"/>
      <c r="G438" s="4704"/>
      <c r="H438" s="4704"/>
    </row>
    <row r="439" spans="1:8" ht="12.75" customHeight="1">
      <c r="C439" s="1849" t="s">
        <v>4088</v>
      </c>
      <c r="E439" s="4704" t="s">
        <v>3124</v>
      </c>
      <c r="F439" s="4704"/>
      <c r="G439" s="4704"/>
      <c r="H439" s="4704"/>
    </row>
    <row r="440" spans="1:8" ht="12.75" customHeight="1">
      <c r="C440" s="1850"/>
      <c r="D440" s="1848" t="s">
        <v>2986</v>
      </c>
      <c r="E440" s="4706" t="s">
        <v>3125</v>
      </c>
      <c r="F440" s="4706"/>
      <c r="G440" s="4706"/>
      <c r="H440" s="4706"/>
    </row>
    <row r="441" spans="1:8" ht="6" customHeight="1">
      <c r="D441" s="821"/>
      <c r="E441" s="1846"/>
      <c r="F441" s="1846"/>
      <c r="G441" s="1846"/>
      <c r="H441" s="1846"/>
    </row>
    <row r="442" spans="1:8" ht="13">
      <c r="A442" s="792" t="s">
        <v>2982</v>
      </c>
      <c r="B442" s="819" t="str">
        <f>IF('Part V-Revenues &amp; Expenses'!$L$57=0,"",'Part V-Revenues &amp; Expenses'!$L$57)</f>
        <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4" t="s">
        <v>2987</v>
      </c>
      <c r="F445" s="4704"/>
      <c r="G445" s="4704"/>
      <c r="H445" s="4704"/>
    </row>
    <row r="446" spans="1:8" ht="12.75" customHeight="1">
      <c r="C446" s="1849" t="s">
        <v>4088</v>
      </c>
      <c r="E446" s="4704" t="s">
        <v>3124</v>
      </c>
      <c r="F446" s="4704"/>
      <c r="G446" s="4704"/>
      <c r="H446" s="4704"/>
    </row>
    <row r="447" spans="1:8" ht="12.75" customHeight="1">
      <c r="C447" s="1850"/>
      <c r="D447" s="1847" t="s">
        <v>2986</v>
      </c>
      <c r="E447" s="4705" t="s">
        <v>3125</v>
      </c>
      <c r="F447" s="4705"/>
      <c r="G447" s="4705"/>
      <c r="H447" s="4705"/>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4" t="s">
        <v>2987</v>
      </c>
      <c r="F450" s="4704"/>
      <c r="G450" s="4704"/>
      <c r="H450" s="4704"/>
    </row>
    <row r="451" spans="1:8" ht="12.75" customHeight="1">
      <c r="C451" s="1849" t="s">
        <v>4088</v>
      </c>
      <c r="E451" s="4704" t="s">
        <v>3124</v>
      </c>
      <c r="F451" s="4704"/>
      <c r="G451" s="4704"/>
      <c r="H451" s="4704"/>
    </row>
    <row r="452" spans="1:8" ht="12.75" customHeight="1">
      <c r="C452" s="1850"/>
      <c r="D452" s="1848" t="s">
        <v>2986</v>
      </c>
      <c r="E452" s="4706" t="s">
        <v>3125</v>
      </c>
      <c r="F452" s="4706"/>
      <c r="G452" s="4706"/>
      <c r="H452" s="4706"/>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4" t="s">
        <v>2987</v>
      </c>
      <c r="F455" s="4704"/>
      <c r="G455" s="4704"/>
      <c r="H455" s="4704"/>
    </row>
    <row r="456" spans="1:8" ht="12.75" customHeight="1">
      <c r="C456" s="1849" t="s">
        <v>4088</v>
      </c>
      <c r="E456" s="4704" t="s">
        <v>3124</v>
      </c>
      <c r="F456" s="4704"/>
      <c r="G456" s="4704"/>
      <c r="H456" s="4704"/>
    </row>
    <row r="457" spans="1:8" ht="12.75" customHeight="1">
      <c r="C457" s="1850"/>
      <c r="D457" s="1848" t="s">
        <v>2986</v>
      </c>
      <c r="E457" s="4706" t="s">
        <v>3125</v>
      </c>
      <c r="F457" s="4706"/>
      <c r="G457" s="4706"/>
      <c r="H457" s="4706"/>
    </row>
    <row r="458" spans="1:8" ht="6" customHeight="1">
      <c r="D458" s="821"/>
      <c r="E458" s="1846"/>
      <c r="F458" s="1846"/>
      <c r="G458" s="1846"/>
      <c r="H458" s="1846"/>
    </row>
    <row r="459" spans="1:8" ht="13">
      <c r="A459" s="792" t="s">
        <v>2982</v>
      </c>
      <c r="B459" s="819" t="str">
        <f>IF('Part V-Revenues &amp; Expenses'!$M$57=0,"",'Part V-Revenues &amp; Expenses'!$M$57)</f>
        <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4" t="s">
        <v>2987</v>
      </c>
      <c r="F462" s="4704"/>
      <c r="G462" s="4704"/>
      <c r="H462" s="4704"/>
    </row>
    <row r="463" spans="1:8" ht="12.75" customHeight="1">
      <c r="C463" s="1849" t="s">
        <v>4088</v>
      </c>
      <c r="E463" s="4704" t="s">
        <v>3124</v>
      </c>
      <c r="F463" s="4704"/>
      <c r="G463" s="4704"/>
      <c r="H463" s="4704"/>
    </row>
    <row r="464" spans="1:8" ht="12.75" customHeight="1">
      <c r="C464" s="1850"/>
      <c r="D464" s="1847" t="s">
        <v>2986</v>
      </c>
      <c r="E464" s="4705" t="s">
        <v>3125</v>
      </c>
      <c r="F464" s="4705"/>
      <c r="G464" s="4705"/>
      <c r="H464" s="4705"/>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4" t="s">
        <v>2987</v>
      </c>
      <c r="F467" s="4704"/>
      <c r="G467" s="4704"/>
      <c r="H467" s="4704"/>
    </row>
    <row r="468" spans="1:8" ht="12.75" customHeight="1">
      <c r="C468" s="1849" t="s">
        <v>4088</v>
      </c>
      <c r="E468" s="4704" t="s">
        <v>3124</v>
      </c>
      <c r="F468" s="4704"/>
      <c r="G468" s="4704"/>
      <c r="H468" s="4704"/>
    </row>
    <row r="469" spans="1:8" ht="12.75" customHeight="1">
      <c r="C469" s="1850"/>
      <c r="D469" s="1848" t="s">
        <v>2986</v>
      </c>
      <c r="E469" s="4706" t="s">
        <v>3125</v>
      </c>
      <c r="F469" s="4706"/>
      <c r="G469" s="4706"/>
      <c r="H469" s="4706"/>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4" t="s">
        <v>2987</v>
      </c>
      <c r="F472" s="4704"/>
      <c r="G472" s="4704"/>
      <c r="H472" s="4704"/>
    </row>
    <row r="473" spans="1:8" ht="12.75" customHeight="1">
      <c r="C473" s="1849" t="s">
        <v>4088</v>
      </c>
      <c r="E473" s="4704" t="s">
        <v>3124</v>
      </c>
      <c r="F473" s="4704"/>
      <c r="G473" s="4704"/>
      <c r="H473" s="4704"/>
    </row>
    <row r="474" spans="1:8" ht="12.75" customHeight="1">
      <c r="C474" s="1850"/>
      <c r="D474" s="1848" t="s">
        <v>2986</v>
      </c>
      <c r="E474" s="4706" t="s">
        <v>3125</v>
      </c>
      <c r="F474" s="4706"/>
      <c r="G474" s="4706"/>
      <c r="H474" s="4706"/>
    </row>
    <row r="475" spans="1:8" ht="6" customHeight="1">
      <c r="D475" s="821"/>
      <c r="E475" s="1846"/>
      <c r="F475" s="1846"/>
      <c r="G475" s="1846"/>
      <c r="H475" s="1846"/>
    </row>
    <row r="476" spans="1:8" ht="13">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4" t="s">
        <v>2987</v>
      </c>
      <c r="F479" s="4704"/>
      <c r="G479" s="4704"/>
      <c r="H479" s="4704"/>
    </row>
    <row r="480" spans="1:8" ht="12.75" customHeight="1">
      <c r="C480" s="1849" t="s">
        <v>4088</v>
      </c>
      <c r="E480" s="4704" t="s">
        <v>3124</v>
      </c>
      <c r="F480" s="4704"/>
      <c r="G480" s="4704"/>
      <c r="H480" s="4704"/>
    </row>
    <row r="481" spans="1:11" ht="12.75" customHeight="1">
      <c r="C481" s="1850"/>
      <c r="D481" s="1847" t="s">
        <v>2986</v>
      </c>
      <c r="E481" s="4705" t="s">
        <v>3125</v>
      </c>
      <c r="F481" s="4705"/>
      <c r="G481" s="4705"/>
      <c r="H481" s="4705"/>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4" t="s">
        <v>2987</v>
      </c>
      <c r="F484" s="4704"/>
      <c r="G484" s="4704"/>
      <c r="H484" s="4704"/>
    </row>
    <row r="485" spans="1:11" ht="12.75" customHeight="1">
      <c r="C485" s="1849" t="s">
        <v>4088</v>
      </c>
      <c r="E485" s="4704" t="s">
        <v>3124</v>
      </c>
      <c r="F485" s="4704"/>
      <c r="G485" s="4704"/>
      <c r="H485" s="4704"/>
    </row>
    <row r="486" spans="1:11" ht="12.75" customHeight="1">
      <c r="C486" s="1850"/>
      <c r="D486" s="1848" t="s">
        <v>2986</v>
      </c>
      <c r="E486" s="4706" t="s">
        <v>3125</v>
      </c>
      <c r="F486" s="4706"/>
      <c r="G486" s="4706"/>
      <c r="H486" s="4706"/>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4" t="s">
        <v>2987</v>
      </c>
      <c r="F489" s="4704"/>
      <c r="G489" s="4704"/>
      <c r="H489" s="4704"/>
    </row>
    <row r="490" spans="1:11" ht="12.75" customHeight="1">
      <c r="C490" s="1849" t="s">
        <v>4088</v>
      </c>
      <c r="E490" s="4704" t="s">
        <v>3124</v>
      </c>
      <c r="F490" s="4704"/>
      <c r="G490" s="4704"/>
      <c r="H490" s="4704"/>
    </row>
    <row r="491" spans="1:11" ht="12.75" customHeight="1">
      <c r="C491" s="1850"/>
      <c r="D491" s="1848" t="s">
        <v>2986</v>
      </c>
      <c r="E491" s="4706" t="s">
        <v>3125</v>
      </c>
      <c r="F491" s="4706"/>
      <c r="G491" s="4706"/>
      <c r="H491" s="4706"/>
    </row>
    <row r="492" spans="1:11" ht="6" customHeight="1">
      <c r="D492" s="821"/>
      <c r="E492" s="1846"/>
      <c r="F492" s="1846"/>
      <c r="G492" s="1846"/>
      <c r="H492" s="1846"/>
    </row>
    <row r="493" spans="1:11" ht="13">
      <c r="A493" s="792" t="s">
        <v>2982</v>
      </c>
      <c r="B493" s="819" t="str">
        <f>IF('Part V-Revenues &amp; Expenses'!$O$57=0,"",'Part V-Revenues &amp; Expenses'!$O$57)</f>
        <v/>
      </c>
      <c r="C493" s="792" t="s">
        <v>4086</v>
      </c>
      <c r="D493" s="820" t="s">
        <v>4087</v>
      </c>
    </row>
    <row r="494" spans="1:11" ht="1.9" customHeight="1"/>
    <row r="495" spans="1:11" ht="12.75" customHeight="1">
      <c r="C495" s="787" t="s">
        <v>2889</v>
      </c>
      <c r="D495" s="821" t="s">
        <v>1845</v>
      </c>
      <c r="E495" s="822"/>
      <c r="F495" s="4704" t="s">
        <v>2890</v>
      </c>
      <c r="G495" s="4704"/>
      <c r="H495" s="4704"/>
      <c r="K495" s="774" t="s">
        <v>233</v>
      </c>
    </row>
    <row r="496" spans="1:11" ht="12.75" customHeight="1">
      <c r="C496" s="823" t="s">
        <v>1276</v>
      </c>
      <c r="D496" s="821" t="s">
        <v>1847</v>
      </c>
      <c r="E496" s="4704" t="s">
        <v>2988</v>
      </c>
      <c r="F496" s="4704"/>
      <c r="G496" s="4704"/>
      <c r="H496" s="4704"/>
    </row>
    <row r="497" spans="1:8" ht="12.75" customHeight="1">
      <c r="E497" s="4704" t="s">
        <v>3124</v>
      </c>
      <c r="F497" s="4704"/>
      <c r="G497" s="4704"/>
      <c r="H497" s="4704"/>
    </row>
    <row r="498" spans="1:8" ht="12.75" customHeight="1">
      <c r="D498" s="824" t="s">
        <v>2986</v>
      </c>
      <c r="E498" s="4704" t="s">
        <v>3125</v>
      </c>
      <c r="F498" s="4704"/>
      <c r="G498" s="4704"/>
      <c r="H498" s="4704"/>
    </row>
    <row r="499" spans="1:8" ht="9" customHeight="1" thickBot="1"/>
    <row r="500" spans="1:8" ht="16.149999999999999" customHeight="1" thickBot="1">
      <c r="A500" s="4712">
        <v>80</v>
      </c>
      <c r="B500" s="4713"/>
      <c r="C500" s="1851" t="s">
        <v>976</v>
      </c>
    </row>
    <row r="501" spans="1:8" ht="9" customHeight="1">
      <c r="A501" s="777"/>
    </row>
    <row r="502" spans="1:8" ht="28.15" customHeight="1">
      <c r="A502" s="4710" t="s">
        <v>4095</v>
      </c>
      <c r="B502" s="4710"/>
      <c r="C502" s="4710"/>
      <c r="D502" s="4710"/>
      <c r="E502" s="4710"/>
      <c r="F502" s="4710"/>
      <c r="G502" s="4710"/>
      <c r="H502" s="4710"/>
    </row>
    <row r="503" spans="1:8" ht="9" customHeight="1">
      <c r="A503" s="777"/>
    </row>
    <row r="504" spans="1:8" ht="13">
      <c r="A504" s="792" t="s">
        <v>2982</v>
      </c>
      <c r="B504" s="819" t="str">
        <f>IF('Part V-Revenues &amp; Expenses'!$K$56=0,"",'Part V-Revenues &amp; Expenses'!$K$56)</f>
        <v/>
      </c>
      <c r="C504" s="792" t="s">
        <v>4083</v>
      </c>
      <c r="D504" s="820" t="s">
        <v>4084</v>
      </c>
    </row>
    <row r="505" spans="1:8" ht="1.9" customHeight="1"/>
    <row r="506" spans="1:8" ht="12.75" customHeight="1">
      <c r="C506" s="787" t="s">
        <v>2889</v>
      </c>
      <c r="D506" s="821" t="s">
        <v>1845</v>
      </c>
      <c r="E506" s="822"/>
      <c r="F506" s="4704" t="s">
        <v>2890</v>
      </c>
      <c r="G506" s="4704"/>
      <c r="H506" s="4704"/>
    </row>
    <row r="507" spans="1:8" ht="12.75" customHeight="1">
      <c r="C507" s="823" t="s">
        <v>1276</v>
      </c>
      <c r="D507" s="821" t="s">
        <v>1847</v>
      </c>
      <c r="E507" s="4704" t="s">
        <v>2987</v>
      </c>
      <c r="F507" s="4704"/>
      <c r="G507" s="4704"/>
      <c r="H507" s="4704"/>
    </row>
    <row r="508" spans="1:8" ht="12.75" customHeight="1">
      <c r="C508" s="1849" t="s">
        <v>4088</v>
      </c>
      <c r="E508" s="4704" t="s">
        <v>3124</v>
      </c>
      <c r="F508" s="4704"/>
      <c r="G508" s="4704"/>
      <c r="H508" s="4704"/>
    </row>
    <row r="509" spans="1:8" ht="12.75" customHeight="1">
      <c r="C509" s="1850"/>
      <c r="D509" s="1848" t="s">
        <v>2986</v>
      </c>
      <c r="E509" s="4706" t="s">
        <v>3125</v>
      </c>
      <c r="F509" s="4706"/>
      <c r="G509" s="4706"/>
      <c r="H509" s="4706"/>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4" t="s">
        <v>2987</v>
      </c>
      <c r="F512" s="4704"/>
      <c r="G512" s="4704"/>
      <c r="H512" s="4704"/>
    </row>
    <row r="513" spans="1:8" ht="12.75" customHeight="1">
      <c r="C513" s="1849" t="s">
        <v>4088</v>
      </c>
      <c r="E513" s="4704" t="s">
        <v>3124</v>
      </c>
      <c r="F513" s="4704"/>
      <c r="G513" s="4704"/>
      <c r="H513" s="4704"/>
    </row>
    <row r="514" spans="1:8" ht="12.75" customHeight="1">
      <c r="C514" s="1850"/>
      <c r="D514" s="1848" t="s">
        <v>2986</v>
      </c>
      <c r="E514" s="4706" t="s">
        <v>3125</v>
      </c>
      <c r="F514" s="4706"/>
      <c r="G514" s="4706"/>
      <c r="H514" s="4706"/>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4" t="s">
        <v>2987</v>
      </c>
      <c r="F517" s="4704"/>
      <c r="G517" s="4704"/>
      <c r="H517" s="4704"/>
    </row>
    <row r="518" spans="1:8" ht="12.75" customHeight="1">
      <c r="C518" s="1849" t="s">
        <v>4088</v>
      </c>
      <c r="E518" s="4704" t="s">
        <v>3124</v>
      </c>
      <c r="F518" s="4704"/>
      <c r="G518" s="4704"/>
      <c r="H518" s="4704"/>
    </row>
    <row r="519" spans="1:8" ht="12.75" customHeight="1">
      <c r="C519" s="1850"/>
      <c r="D519" s="1848" t="s">
        <v>2986</v>
      </c>
      <c r="E519" s="4706" t="s">
        <v>3125</v>
      </c>
      <c r="F519" s="4706"/>
      <c r="G519" s="4706"/>
      <c r="H519" s="4706"/>
    </row>
    <row r="520" spans="1:8" ht="6" customHeight="1">
      <c r="D520" s="821"/>
      <c r="E520" s="1846"/>
      <c r="F520" s="1846"/>
      <c r="G520" s="1846"/>
      <c r="H520" s="1846"/>
    </row>
    <row r="521" spans="1:8" ht="13">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4" t="s">
        <v>2987</v>
      </c>
      <c r="F524" s="4704"/>
      <c r="G524" s="4704"/>
      <c r="H524" s="4704"/>
    </row>
    <row r="525" spans="1:8" ht="12.75" customHeight="1">
      <c r="C525" s="1849" t="s">
        <v>4088</v>
      </c>
      <c r="E525" s="4704" t="s">
        <v>3124</v>
      </c>
      <c r="F525" s="4704"/>
      <c r="G525" s="4704"/>
      <c r="H525" s="4704"/>
    </row>
    <row r="526" spans="1:8" ht="12.75" customHeight="1">
      <c r="C526" s="1850"/>
      <c r="D526" s="1847" t="s">
        <v>2986</v>
      </c>
      <c r="E526" s="4705" t="s">
        <v>3125</v>
      </c>
      <c r="F526" s="4705"/>
      <c r="G526" s="4705"/>
      <c r="H526" s="4705"/>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4" t="s">
        <v>2987</v>
      </c>
      <c r="F529" s="4704"/>
      <c r="G529" s="4704"/>
      <c r="H529" s="4704"/>
    </row>
    <row r="530" spans="1:8" ht="12.75" customHeight="1">
      <c r="C530" s="1849" t="s">
        <v>4088</v>
      </c>
      <c r="E530" s="4704" t="s">
        <v>3124</v>
      </c>
      <c r="F530" s="4704"/>
      <c r="G530" s="4704"/>
      <c r="H530" s="4704"/>
    </row>
    <row r="531" spans="1:8" ht="12.75" customHeight="1">
      <c r="C531" s="1850"/>
      <c r="D531" s="1848" t="s">
        <v>2986</v>
      </c>
      <c r="E531" s="4706" t="s">
        <v>3125</v>
      </c>
      <c r="F531" s="4706"/>
      <c r="G531" s="4706"/>
      <c r="H531" s="4706"/>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4" t="s">
        <v>2987</v>
      </c>
      <c r="F534" s="4704"/>
      <c r="G534" s="4704"/>
      <c r="H534" s="4704"/>
    </row>
    <row r="535" spans="1:8" ht="12.75" customHeight="1">
      <c r="C535" s="1849" t="s">
        <v>4088</v>
      </c>
      <c r="E535" s="4704" t="s">
        <v>3124</v>
      </c>
      <c r="F535" s="4704"/>
      <c r="G535" s="4704"/>
      <c r="H535" s="4704"/>
    </row>
    <row r="536" spans="1:8" ht="12.75" customHeight="1">
      <c r="C536" s="1850"/>
      <c r="D536" s="1848" t="s">
        <v>2986</v>
      </c>
      <c r="E536" s="4706" t="s">
        <v>3125</v>
      </c>
      <c r="F536" s="4706"/>
      <c r="G536" s="4706"/>
      <c r="H536" s="4706"/>
    </row>
    <row r="537" spans="1:8" ht="6" customHeight="1">
      <c r="D537" s="821"/>
      <c r="E537" s="1846"/>
      <c r="F537" s="1846"/>
      <c r="G537" s="1846"/>
      <c r="H537" s="1846"/>
    </row>
    <row r="538" spans="1:8" ht="13">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4" t="s">
        <v>2987</v>
      </c>
      <c r="F541" s="4704"/>
      <c r="G541" s="4704"/>
      <c r="H541" s="4704"/>
    </row>
    <row r="542" spans="1:8" ht="12.75" customHeight="1">
      <c r="C542" s="1849" t="s">
        <v>4088</v>
      </c>
      <c r="E542" s="4704" t="s">
        <v>3124</v>
      </c>
      <c r="F542" s="4704"/>
      <c r="G542" s="4704"/>
      <c r="H542" s="4704"/>
    </row>
    <row r="543" spans="1:8" ht="12.75" customHeight="1">
      <c r="C543" s="1850"/>
      <c r="D543" s="1847" t="s">
        <v>2986</v>
      </c>
      <c r="E543" s="4705" t="s">
        <v>3125</v>
      </c>
      <c r="F543" s="4705"/>
      <c r="G543" s="4705"/>
      <c r="H543" s="4705"/>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4" t="s">
        <v>2987</v>
      </c>
      <c r="F546" s="4704"/>
      <c r="G546" s="4704"/>
      <c r="H546" s="4704"/>
    </row>
    <row r="547" spans="1:8" ht="12.75" customHeight="1">
      <c r="C547" s="1849" t="s">
        <v>4088</v>
      </c>
      <c r="E547" s="4704" t="s">
        <v>3124</v>
      </c>
      <c r="F547" s="4704"/>
      <c r="G547" s="4704"/>
      <c r="H547" s="4704"/>
    </row>
    <row r="548" spans="1:8" ht="12.75" customHeight="1">
      <c r="C548" s="1850"/>
      <c r="D548" s="1848" t="s">
        <v>2986</v>
      </c>
      <c r="E548" s="4706" t="s">
        <v>3125</v>
      </c>
      <c r="F548" s="4706"/>
      <c r="G548" s="4706"/>
      <c r="H548" s="4706"/>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4" t="s">
        <v>2987</v>
      </c>
      <c r="F551" s="4704"/>
      <c r="G551" s="4704"/>
      <c r="H551" s="4704"/>
    </row>
    <row r="552" spans="1:8" ht="12.75" customHeight="1">
      <c r="C552" s="1849" t="s">
        <v>4088</v>
      </c>
      <c r="E552" s="4704" t="s">
        <v>3124</v>
      </c>
      <c r="F552" s="4704"/>
      <c r="G552" s="4704"/>
      <c r="H552" s="4704"/>
    </row>
    <row r="553" spans="1:8" ht="12.75" customHeight="1">
      <c r="C553" s="1850"/>
      <c r="D553" s="1848" t="s">
        <v>2986</v>
      </c>
      <c r="E553" s="4706" t="s">
        <v>3125</v>
      </c>
      <c r="F553" s="4706"/>
      <c r="G553" s="4706"/>
      <c r="H553" s="4706"/>
    </row>
    <row r="554" spans="1:8" ht="6" customHeight="1">
      <c r="D554" s="821"/>
      <c r="E554" s="1846"/>
      <c r="F554" s="1846"/>
      <c r="G554" s="1846"/>
      <c r="H554" s="1846"/>
    </row>
    <row r="555" spans="1:8" ht="13">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4" t="s">
        <v>2987</v>
      </c>
      <c r="F558" s="4704"/>
      <c r="G558" s="4704"/>
      <c r="H558" s="4704"/>
    </row>
    <row r="559" spans="1:8" ht="12.75" customHeight="1">
      <c r="C559" s="1849" t="s">
        <v>4088</v>
      </c>
      <c r="E559" s="4704" t="s">
        <v>3124</v>
      </c>
      <c r="F559" s="4704"/>
      <c r="G559" s="4704"/>
      <c r="H559" s="4704"/>
    </row>
    <row r="560" spans="1:8" ht="12.75" customHeight="1">
      <c r="C560" s="1850"/>
      <c r="D560" s="1847" t="s">
        <v>2986</v>
      </c>
      <c r="E560" s="4705" t="s">
        <v>3125</v>
      </c>
      <c r="F560" s="4705"/>
      <c r="G560" s="4705"/>
      <c r="H560" s="4705"/>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4" t="s">
        <v>2987</v>
      </c>
      <c r="F563" s="4704"/>
      <c r="G563" s="4704"/>
      <c r="H563" s="4704"/>
    </row>
    <row r="564" spans="1:11" ht="12.75" customHeight="1">
      <c r="C564" s="1849" t="s">
        <v>4088</v>
      </c>
      <c r="E564" s="4704" t="s">
        <v>3124</v>
      </c>
      <c r="F564" s="4704"/>
      <c r="G564" s="4704"/>
      <c r="H564" s="4704"/>
    </row>
    <row r="565" spans="1:11" ht="12.75" customHeight="1">
      <c r="C565" s="1850"/>
      <c r="D565" s="1848" t="s">
        <v>2986</v>
      </c>
      <c r="E565" s="4706" t="s">
        <v>3125</v>
      </c>
      <c r="F565" s="4706"/>
      <c r="G565" s="4706"/>
      <c r="H565" s="4706"/>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4" t="s">
        <v>2987</v>
      </c>
      <c r="F568" s="4704"/>
      <c r="G568" s="4704"/>
      <c r="H568" s="4704"/>
    </row>
    <row r="569" spans="1:11" ht="12.75" customHeight="1">
      <c r="C569" s="1849" t="s">
        <v>4088</v>
      </c>
      <c r="E569" s="4704" t="s">
        <v>3124</v>
      </c>
      <c r="F569" s="4704"/>
      <c r="G569" s="4704"/>
      <c r="H569" s="4704"/>
    </row>
    <row r="570" spans="1:11" ht="12.75" customHeight="1">
      <c r="C570" s="1850"/>
      <c r="D570" s="1848" t="s">
        <v>2986</v>
      </c>
      <c r="E570" s="4706" t="s">
        <v>3125</v>
      </c>
      <c r="F570" s="4706"/>
      <c r="G570" s="4706"/>
      <c r="H570" s="4706"/>
    </row>
    <row r="571" spans="1:11" ht="6" customHeight="1">
      <c r="D571" s="821"/>
      <c r="E571" s="1846"/>
      <c r="F571" s="1846"/>
      <c r="G571" s="1846"/>
      <c r="H571" s="1846"/>
    </row>
    <row r="572" spans="1:11" ht="13">
      <c r="A572" s="792" t="s">
        <v>2982</v>
      </c>
      <c r="B572" s="819" t="str">
        <f>IF('Part V-Revenues &amp; Expenses'!$O$56=0,"",'Part V-Revenues &amp; Expenses'!$O$56)</f>
        <v/>
      </c>
      <c r="C572" s="792" t="s">
        <v>4086</v>
      </c>
      <c r="D572" s="820" t="s">
        <v>4087</v>
      </c>
    </row>
    <row r="573" spans="1:11" ht="1.9" customHeight="1"/>
    <row r="574" spans="1:11" ht="12.75" customHeight="1">
      <c r="C574" s="787" t="s">
        <v>2889</v>
      </c>
      <c r="D574" s="821" t="s">
        <v>1845</v>
      </c>
      <c r="E574" s="822"/>
      <c r="F574" s="4704" t="s">
        <v>2890</v>
      </c>
      <c r="G574" s="4704"/>
      <c r="H574" s="4704"/>
      <c r="K574" s="774" t="s">
        <v>233</v>
      </c>
    </row>
    <row r="575" spans="1:11" ht="12.75" customHeight="1">
      <c r="C575" s="823" t="s">
        <v>1276</v>
      </c>
      <c r="D575" s="821" t="s">
        <v>1847</v>
      </c>
      <c r="E575" s="4704" t="s">
        <v>2988</v>
      </c>
      <c r="F575" s="4704"/>
      <c r="G575" s="4704"/>
      <c r="H575" s="4704"/>
    </row>
    <row r="576" spans="1:11" ht="12.75" customHeight="1">
      <c r="E576" s="4704" t="s">
        <v>3124</v>
      </c>
      <c r="F576" s="4704"/>
      <c r="G576" s="4704"/>
      <c r="H576" s="4704"/>
    </row>
    <row r="577" spans="4:8" ht="12.75" customHeight="1">
      <c r="D577" s="824" t="s">
        <v>2986</v>
      </c>
      <c r="E577" s="4704" t="s">
        <v>3125</v>
      </c>
      <c r="F577" s="4704"/>
      <c r="G577" s="4704"/>
      <c r="H577" s="4704"/>
    </row>
    <row r="578" spans="4:8" ht="9" customHeight="1"/>
    <row r="579" spans="4:8" ht="7.5" customHeight="1">
      <c r="E579" s="4704"/>
      <c r="F579" s="4704"/>
      <c r="G579" s="4704"/>
      <c r="H579" s="4704"/>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796875" defaultRowHeight="15.5"/>
  <cols>
    <col min="1" max="1" width="4.54296875" style="774" customWidth="1"/>
    <col min="2" max="2" width="6" style="774" customWidth="1"/>
    <col min="3" max="3" width="8.26953125" style="774" customWidth="1"/>
    <col min="4" max="4" width="7.453125" style="774" customWidth="1"/>
    <col min="5" max="5" width="7.81640625" style="774" customWidth="1"/>
    <col min="6" max="7" width="6.81640625" style="774" customWidth="1"/>
    <col min="8" max="8" width="5" style="774" customWidth="1"/>
    <col min="9" max="10" width="6.7265625" style="774" customWidth="1"/>
    <col min="11" max="11" width="3.26953125" style="1902" customWidth="1"/>
    <col min="12" max="13" width="6.81640625" style="774" customWidth="1"/>
    <col min="14" max="14" width="8.1796875" style="774" customWidth="1"/>
    <col min="15" max="15" width="9.1796875" style="774"/>
    <col min="16" max="17" width="5.54296875" style="774" customWidth="1"/>
    <col min="18" max="18" width="8.1796875" style="774" customWidth="1"/>
    <col min="19" max="19" width="5.7265625" style="775" customWidth="1"/>
    <col min="20" max="20" width="5.7265625" style="774" customWidth="1"/>
    <col min="21" max="21" width="3.7265625" style="774" customWidth="1"/>
    <col min="22" max="23" width="5.453125" style="774" customWidth="1"/>
    <col min="24" max="16384" width="9.1796875" style="774"/>
  </cols>
  <sheetData>
    <row r="1" spans="1:14">
      <c r="A1" s="657" t="s">
        <v>2883</v>
      </c>
      <c r="H1" s="783" t="str">
        <f>'Sensitivity Analysis'!C8</f>
        <v>Villa Rica Senior</v>
      </c>
    </row>
    <row r="2" spans="1:14">
      <c r="A2" s="711" t="s">
        <v>2884</v>
      </c>
      <c r="H2" s="774" t="str">
        <f>'Sensitivity Analysis'!E8</f>
        <v>2022-0</v>
      </c>
    </row>
    <row r="3" spans="1:14" ht="3" customHeight="1"/>
    <row r="4" spans="1:14" ht="69.650000000000006" customHeight="1">
      <c r="A4" s="4707" t="s">
        <v>2980</v>
      </c>
      <c r="B4" s="4707"/>
      <c r="C4" s="4707"/>
      <c r="D4" s="4707"/>
      <c r="E4" s="4707"/>
      <c r="F4" s="4707"/>
      <c r="G4" s="4707"/>
      <c r="H4" s="4707"/>
      <c r="I4" s="4707"/>
      <c r="J4" s="4707"/>
      <c r="K4" s="4707"/>
      <c r="L4" s="4714">
        <f>SUM('Part VI-Pro Forma'!B15:B17)/12</f>
        <v>53501.04</v>
      </c>
      <c r="M4" s="4714"/>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07" t="s">
        <v>2886</v>
      </c>
      <c r="D7" s="4707"/>
      <c r="E7" s="4707"/>
      <c r="F7" s="4707"/>
      <c r="G7" s="4707"/>
      <c r="H7" s="4707"/>
      <c r="I7" s="4707"/>
      <c r="J7" s="4707"/>
      <c r="K7" s="4707"/>
      <c r="L7" s="4707"/>
      <c r="M7" s="4707"/>
    </row>
    <row r="8" spans="1:14" ht="3" customHeight="1"/>
    <row r="9" spans="1:14">
      <c r="A9" s="774" t="s">
        <v>2887</v>
      </c>
    </row>
    <row r="10" spans="1:14" ht="1.5" customHeight="1"/>
    <row r="11" spans="1:14" ht="26.25" customHeight="1">
      <c r="A11" s="818" t="s">
        <v>1842</v>
      </c>
      <c r="B11" s="4707" t="s">
        <v>2977</v>
      </c>
      <c r="C11" s="4707"/>
      <c r="D11" s="4707"/>
      <c r="E11" s="4707"/>
      <c r="F11" s="4707"/>
      <c r="G11" s="4707"/>
      <c r="H11" s="4707"/>
      <c r="I11" s="4707"/>
      <c r="J11" s="4707"/>
      <c r="K11" s="4707"/>
      <c r="L11" s="4708">
        <f>'Part II-Sources of Funds'!I51+'Part II-Sources of Funds'!I52</f>
        <v>14499100</v>
      </c>
      <c r="M11" s="4708"/>
    </row>
    <row r="12" spans="1:14" ht="1.5" customHeight="1">
      <c r="G12" s="787"/>
      <c r="H12" s="787"/>
    </row>
    <row r="13" spans="1:14" ht="25.9" customHeight="1">
      <c r="A13" s="818" t="s">
        <v>1844</v>
      </c>
      <c r="B13" s="4707" t="s">
        <v>2978</v>
      </c>
      <c r="C13" s="4707"/>
      <c r="D13" s="4707"/>
      <c r="E13" s="4707"/>
      <c r="F13" s="4707"/>
      <c r="G13" s="4707"/>
      <c r="H13" s="4707"/>
      <c r="I13" s="4707"/>
      <c r="J13" s="4707"/>
      <c r="K13" s="4707"/>
      <c r="L13" s="4709" t="s">
        <v>2815</v>
      </c>
      <c r="M13" s="4709"/>
    </row>
    <row r="14" spans="1:14">
      <c r="A14" s="818"/>
      <c r="B14" s="4600"/>
      <c r="C14" s="4600"/>
      <c r="D14" s="4600"/>
      <c r="E14" s="4600"/>
      <c r="F14" s="4600"/>
      <c r="G14" s="4600"/>
      <c r="H14" s="4600"/>
    </row>
    <row r="15" spans="1:14" ht="3" customHeight="1"/>
    <row r="16" spans="1:14">
      <c r="A16" s="818" t="s">
        <v>698</v>
      </c>
      <c r="B16" s="774" t="s">
        <v>2981</v>
      </c>
      <c r="F16" s="810"/>
      <c r="L16" s="4585" t="s">
        <v>2654</v>
      </c>
      <c r="M16" s="4585"/>
    </row>
    <row r="17" spans="1:19" ht="1.5" customHeight="1">
      <c r="L17" s="792"/>
    </row>
    <row r="18" spans="1:19" ht="12" customHeight="1">
      <c r="A18" s="818" t="s">
        <v>1963</v>
      </c>
      <c r="B18" s="787" t="s">
        <v>2979</v>
      </c>
      <c r="C18" s="818"/>
      <c r="D18" s="818"/>
      <c r="E18" s="818"/>
      <c r="L18" s="4600" t="s">
        <v>2516</v>
      </c>
      <c r="M18" s="4600"/>
    </row>
    <row r="19" spans="1:19" ht="12" hidden="1" customHeight="1">
      <c r="B19" s="4600"/>
      <c r="C19" s="4600"/>
      <c r="D19" s="4600"/>
      <c r="E19" s="4600"/>
      <c r="F19" s="4600"/>
      <c r="G19" s="4600"/>
      <c r="H19" s="4600"/>
    </row>
    <row r="20" spans="1:19" ht="13.5" customHeight="1"/>
    <row r="21" spans="1:19" s="562" customFormat="1" ht="12" customHeight="1">
      <c r="A21" s="2015" t="s">
        <v>2888</v>
      </c>
      <c r="K21" s="2016"/>
      <c r="S21" s="2017"/>
    </row>
    <row r="22" spans="1:19" s="562" customFormat="1" ht="3" customHeight="1">
      <c r="K22" s="2016"/>
      <c r="S22" s="2017"/>
    </row>
    <row r="23" spans="1:19" s="562" customFormat="1" ht="42.65" customHeight="1">
      <c r="A23" s="4721" t="s">
        <v>4085</v>
      </c>
      <c r="B23" s="4721"/>
      <c r="C23" s="4721"/>
      <c r="D23" s="4721"/>
      <c r="E23" s="4721"/>
      <c r="F23" s="4721"/>
      <c r="G23" s="4721"/>
      <c r="H23" s="4721"/>
      <c r="I23" s="4721"/>
      <c r="J23" s="4721"/>
      <c r="K23" s="4721"/>
      <c r="L23" s="4721"/>
      <c r="M23" s="4721"/>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32</v>
      </c>
      <c r="G27" s="2036">
        <f>'Part V-Revenues &amp; Expenses'!M58</f>
        <v>0</v>
      </c>
      <c r="H27" s="2036">
        <f>'Part V-Revenues &amp; Expenses'!N58</f>
        <v>0</v>
      </c>
      <c r="I27" s="2036">
        <f>'Part V-Revenues &amp; Expenses'!O58</f>
        <v>0</v>
      </c>
      <c r="J27" s="2037">
        <f>'Part V-Revenues &amp; Expenses'!P58</f>
        <v>32</v>
      </c>
    </row>
    <row r="28" spans="1:19" s="562" customFormat="1" ht="15" customHeight="1">
      <c r="C28" s="2031" t="s">
        <v>112</v>
      </c>
      <c r="D28" s="2023"/>
      <c r="E28" s="2035">
        <f>'Part V-Revenues &amp; Expenses'!K59</f>
        <v>0</v>
      </c>
      <c r="F28" s="2036">
        <f>'Part V-Revenues &amp; Expenses'!L59</f>
        <v>20</v>
      </c>
      <c r="G28" s="2036">
        <f>'Part V-Revenues &amp; Expenses'!M59</f>
        <v>0</v>
      </c>
      <c r="H28" s="2036">
        <f>'Part V-Revenues &amp; Expenses'!N59</f>
        <v>0</v>
      </c>
      <c r="I28" s="2036">
        <f>'Part V-Revenues &amp; Expenses'!O59</f>
        <v>0</v>
      </c>
      <c r="J28" s="2037">
        <f>'Part V-Revenues &amp; Expenses'!P59</f>
        <v>20</v>
      </c>
    </row>
    <row r="29" spans="1:19" s="562" customFormat="1" ht="13.1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52</v>
      </c>
      <c r="G32" s="2029">
        <f>'Part V-Revenues &amp; Expenses'!M63</f>
        <v>0</v>
      </c>
      <c r="H32" s="2029">
        <f>'Part V-Revenues &amp; Expenses'!N63</f>
        <v>0</v>
      </c>
      <c r="I32" s="2029">
        <f>'Part V-Revenues &amp; Expenses'!O63</f>
        <v>0</v>
      </c>
      <c r="J32" s="2039">
        <f>'Part V-Revenues &amp; Expenses'!P63</f>
        <v>52</v>
      </c>
    </row>
    <row r="33" spans="1:12" s="562" customFormat="1" ht="13.15" customHeight="1" thickBot="1">
      <c r="K33" s="2016"/>
    </row>
    <row r="34" spans="1:12" s="562" customFormat="1" ht="14.25" customHeight="1" thickBot="1">
      <c r="A34" s="2016"/>
      <c r="B34" s="4722" t="s">
        <v>6179</v>
      </c>
      <c r="E34" s="4723" t="s">
        <v>6072</v>
      </c>
      <c r="F34" s="4724"/>
      <c r="G34" s="4724"/>
      <c r="H34" s="4724"/>
      <c r="I34" s="4724"/>
      <c r="J34" s="4724"/>
      <c r="K34" s="4724"/>
      <c r="L34" s="4725"/>
    </row>
    <row r="35" spans="1:12" s="562" customFormat="1" ht="14.25" customHeight="1">
      <c r="A35" s="2016"/>
      <c r="B35" s="4722"/>
      <c r="C35" s="4726" t="s">
        <v>6180</v>
      </c>
      <c r="D35" s="4722" t="s">
        <v>6181</v>
      </c>
      <c r="E35" s="4727" t="s">
        <v>6075</v>
      </c>
      <c r="F35" s="4728"/>
      <c r="G35" s="4731" t="s">
        <v>1276</v>
      </c>
      <c r="H35" s="4733" t="s">
        <v>6071</v>
      </c>
      <c r="I35" s="4734"/>
      <c r="J35" s="4734"/>
      <c r="K35" s="4734"/>
      <c r="L35" s="4735"/>
    </row>
    <row r="36" spans="1:12" s="562" customFormat="1" ht="23.25" customHeight="1">
      <c r="A36" s="4726" t="s">
        <v>976</v>
      </c>
      <c r="B36" s="4722"/>
      <c r="C36" s="4726"/>
      <c r="D36" s="4722"/>
      <c r="E36" s="4729"/>
      <c r="F36" s="4730"/>
      <c r="G36" s="4732"/>
      <c r="H36" s="4736" t="s">
        <v>6073</v>
      </c>
      <c r="I36" s="4737"/>
      <c r="J36" s="4740" t="s">
        <v>1276</v>
      </c>
      <c r="K36" s="4737" t="s">
        <v>6074</v>
      </c>
      <c r="L36" s="4742"/>
    </row>
    <row r="37" spans="1:12" s="562" customFormat="1" ht="23.25" customHeight="1">
      <c r="A37" s="4726"/>
      <c r="B37" s="4722"/>
      <c r="C37" s="4726"/>
      <c r="D37" s="4722"/>
      <c r="E37" s="4729"/>
      <c r="F37" s="4730"/>
      <c r="G37" s="4732"/>
      <c r="H37" s="4736"/>
      <c r="I37" s="4737"/>
      <c r="J37" s="4741"/>
      <c r="K37" s="4737"/>
      <c r="L37" s="4742"/>
    </row>
    <row r="38" spans="1:12" s="562" customFormat="1" ht="23.25" customHeight="1">
      <c r="A38" s="4722"/>
      <c r="B38" s="4722"/>
      <c r="C38" s="4722"/>
      <c r="D38" s="4722"/>
      <c r="E38" s="4729"/>
      <c r="F38" s="4730"/>
      <c r="G38" s="4732"/>
      <c r="H38" s="4738"/>
      <c r="I38" s="4739"/>
      <c r="J38" s="4741"/>
      <c r="K38" s="4739"/>
      <c r="L38" s="4743"/>
    </row>
    <row r="39" spans="1:12" s="562" customFormat="1" ht="13.15" customHeight="1">
      <c r="A39" s="2020">
        <f>'Part V-Revenues &amp; Expenses'!B18</f>
        <v>50</v>
      </c>
      <c r="B39" s="2021">
        <f>'Part V-Revenues &amp; Expenses'!E18</f>
        <v>20</v>
      </c>
      <c r="C39" s="2022" t="str">
        <f>_xlfn.CONCAT('Part V-Revenues &amp; Expenses'!C18," / ",'Part V-Revenues &amp; Expenses'!D18)</f>
        <v>1 / 1</v>
      </c>
      <c r="D39" s="2021">
        <f>'Part V-Revenues &amp; Expenses'!F18</f>
        <v>650</v>
      </c>
      <c r="E39" s="4719">
        <f>'Part V-Revenues &amp; Expenses'!H18</f>
        <v>808</v>
      </c>
      <c r="F39" s="4720"/>
      <c r="G39" s="2023"/>
      <c r="H39" s="4747"/>
      <c r="I39" s="4748"/>
      <c r="J39" s="4748"/>
      <c r="K39" s="4748"/>
      <c r="L39" s="4749"/>
    </row>
    <row r="40" spans="1:12" s="562" customFormat="1" ht="13.15" customHeight="1">
      <c r="A40" s="2024">
        <f>'Part V-Revenues &amp; Expenses'!B19</f>
        <v>60</v>
      </c>
      <c r="B40" s="2025">
        <f>'Part V-Revenues &amp; Expenses'!E19</f>
        <v>32</v>
      </c>
      <c r="C40" s="2026" t="str">
        <f>_xlfn.CONCAT('Part V-Revenues &amp; Expenses'!C19," / ",'Part V-Revenues &amp; Expenses'!D19)</f>
        <v>1 / 1</v>
      </c>
      <c r="D40" s="2025">
        <f>'Part V-Revenues &amp; Expenses'!F19</f>
        <v>650</v>
      </c>
      <c r="E40" s="4717">
        <f>'Part V-Revenues &amp; Expenses'!H19</f>
        <v>970</v>
      </c>
      <c r="F40" s="4718"/>
      <c r="G40" s="2023"/>
      <c r="H40" s="4744"/>
      <c r="I40" s="4745"/>
      <c r="J40" s="4745"/>
      <c r="K40" s="4745"/>
      <c r="L40" s="4746"/>
    </row>
    <row r="41" spans="1:12" s="562" customFormat="1" ht="13.15" customHeight="1">
      <c r="A41" s="2024">
        <f>'Part V-Revenues &amp; Expenses'!B20</f>
        <v>0</v>
      </c>
      <c r="B41" s="2025">
        <f>'Part V-Revenues &amp; Expenses'!E20</f>
        <v>0</v>
      </c>
      <c r="C41" s="2026" t="str">
        <f>_xlfn.CONCAT('Part V-Revenues &amp; Expenses'!C20," / ",'Part V-Revenues &amp; Expenses'!D20)</f>
        <v xml:space="preserve"> / </v>
      </c>
      <c r="D41" s="2025">
        <f>'Part V-Revenues &amp; Expenses'!F20</f>
        <v>0</v>
      </c>
      <c r="E41" s="4717">
        <f>'Part V-Revenues &amp; Expenses'!H20</f>
        <v>0</v>
      </c>
      <c r="F41" s="4718"/>
      <c r="G41" s="2023"/>
      <c r="H41" s="4744"/>
      <c r="I41" s="4745"/>
      <c r="J41" s="4745"/>
      <c r="K41" s="4745"/>
      <c r="L41" s="4746"/>
    </row>
    <row r="42" spans="1:12" s="562" customFormat="1" ht="13.15" customHeight="1">
      <c r="A42" s="2024">
        <f>'Part V-Revenues &amp; Expenses'!B21</f>
        <v>0</v>
      </c>
      <c r="B42" s="2025">
        <f>'Part V-Revenues &amp; Expenses'!E21</f>
        <v>0</v>
      </c>
      <c r="C42" s="2026" t="str">
        <f>_xlfn.CONCAT('Part V-Revenues &amp; Expenses'!C21," / ",'Part V-Revenues &amp; Expenses'!D21)</f>
        <v xml:space="preserve"> / </v>
      </c>
      <c r="D42" s="2025">
        <f>'Part V-Revenues &amp; Expenses'!F21</f>
        <v>0</v>
      </c>
      <c r="E42" s="4717">
        <f>'Part V-Revenues &amp; Expenses'!H21</f>
        <v>0</v>
      </c>
      <c r="F42" s="4718"/>
      <c r="G42" s="2023"/>
      <c r="H42" s="4744"/>
      <c r="I42" s="4745"/>
      <c r="J42" s="4745"/>
      <c r="K42" s="4745"/>
      <c r="L42" s="4746"/>
    </row>
    <row r="43" spans="1:12" s="562" customFormat="1" ht="13.15" customHeight="1">
      <c r="A43" s="2024">
        <f>'Part V-Revenues &amp; Expenses'!B22</f>
        <v>0</v>
      </c>
      <c r="B43" s="2025">
        <f>'Part V-Revenues &amp; Expenses'!E22</f>
        <v>0</v>
      </c>
      <c r="C43" s="2026" t="str">
        <f>_xlfn.CONCAT('Part V-Revenues &amp; Expenses'!C22," / ",'Part V-Revenues &amp; Expenses'!D22)</f>
        <v xml:space="preserve"> / </v>
      </c>
      <c r="D43" s="2025">
        <f>'Part V-Revenues &amp; Expenses'!F22</f>
        <v>0</v>
      </c>
      <c r="E43" s="4717">
        <f>'Part V-Revenues &amp; Expenses'!H22</f>
        <v>0</v>
      </c>
      <c r="F43" s="4718"/>
      <c r="G43" s="2023"/>
      <c r="H43" s="4744"/>
      <c r="I43" s="4745"/>
      <c r="J43" s="4745"/>
      <c r="K43" s="4745"/>
      <c r="L43" s="4746"/>
    </row>
    <row r="44" spans="1:12" s="562" customFormat="1" ht="13.15" customHeight="1">
      <c r="A44" s="2024">
        <f>'Part V-Revenues &amp; Expenses'!B23</f>
        <v>0</v>
      </c>
      <c r="B44" s="2025">
        <f>'Part V-Revenues &amp; Expenses'!E23</f>
        <v>0</v>
      </c>
      <c r="C44" s="2026" t="str">
        <f>_xlfn.CONCAT('Part V-Revenues &amp; Expenses'!C23," / ",'Part V-Revenues &amp; Expenses'!D23)</f>
        <v xml:space="preserve"> / </v>
      </c>
      <c r="D44" s="2025">
        <f>'Part V-Revenues &amp; Expenses'!F23</f>
        <v>0</v>
      </c>
      <c r="E44" s="4717">
        <f>'Part V-Revenues &amp; Expenses'!H23</f>
        <v>0</v>
      </c>
      <c r="F44" s="4718"/>
      <c r="G44" s="2023"/>
      <c r="H44" s="4744"/>
      <c r="I44" s="4745"/>
      <c r="J44" s="4745"/>
      <c r="K44" s="4745"/>
      <c r="L44" s="4746"/>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17">
        <f>'Part V-Revenues &amp; Expenses'!H24</f>
        <v>0</v>
      </c>
      <c r="F45" s="4718"/>
      <c r="G45" s="2023"/>
      <c r="H45" s="4744"/>
      <c r="I45" s="4745"/>
      <c r="J45" s="4745"/>
      <c r="K45" s="4745"/>
      <c r="L45" s="4746"/>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17">
        <f>'Part V-Revenues &amp; Expenses'!H25</f>
        <v>0</v>
      </c>
      <c r="F46" s="4718"/>
      <c r="G46" s="2023"/>
      <c r="H46" s="4744"/>
      <c r="I46" s="4745"/>
      <c r="J46" s="4745"/>
      <c r="K46" s="4745"/>
      <c r="L46" s="4746"/>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17">
        <f>'Part V-Revenues &amp; Expenses'!H26</f>
        <v>0</v>
      </c>
      <c r="F47" s="4718"/>
      <c r="G47" s="2023"/>
      <c r="H47" s="4744"/>
      <c r="I47" s="4745"/>
      <c r="J47" s="4745"/>
      <c r="K47" s="4745"/>
      <c r="L47" s="4746"/>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17">
        <f>'Part V-Revenues &amp; Expenses'!H27</f>
        <v>0</v>
      </c>
      <c r="F48" s="4718"/>
      <c r="G48" s="2023"/>
      <c r="H48" s="4744"/>
      <c r="I48" s="4745"/>
      <c r="J48" s="4745"/>
      <c r="K48" s="4745"/>
      <c r="L48" s="4746"/>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17">
        <f>'Part V-Revenues &amp; Expenses'!H28</f>
        <v>0</v>
      </c>
      <c r="F49" s="4718"/>
      <c r="G49" s="2023"/>
      <c r="H49" s="4744"/>
      <c r="I49" s="4745"/>
      <c r="J49" s="4745"/>
      <c r="K49" s="4745"/>
      <c r="L49" s="4746"/>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17">
        <f>'Part V-Revenues &amp; Expenses'!H29</f>
        <v>0</v>
      </c>
      <c r="F50" s="4718"/>
      <c r="G50" s="2023"/>
      <c r="H50" s="4744"/>
      <c r="I50" s="4745"/>
      <c r="J50" s="4745"/>
      <c r="K50" s="4745"/>
      <c r="L50" s="4746"/>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17">
        <f>'Part V-Revenues &amp; Expenses'!H30</f>
        <v>0</v>
      </c>
      <c r="F51" s="4718"/>
      <c r="G51" s="2023"/>
      <c r="H51" s="4744"/>
      <c r="I51" s="4745"/>
      <c r="J51" s="4745"/>
      <c r="K51" s="4745"/>
      <c r="L51" s="4746"/>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17">
        <f>'Part V-Revenues &amp; Expenses'!H31</f>
        <v>0</v>
      </c>
      <c r="F52" s="4718"/>
      <c r="G52" s="2023"/>
      <c r="H52" s="4744"/>
      <c r="I52" s="4745"/>
      <c r="J52" s="4745"/>
      <c r="K52" s="4745"/>
      <c r="L52" s="4746"/>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17">
        <f>'Part V-Revenues &amp; Expenses'!H32</f>
        <v>0</v>
      </c>
      <c r="F53" s="4718"/>
      <c r="G53" s="2023"/>
      <c r="H53" s="4744"/>
      <c r="I53" s="4745"/>
      <c r="J53" s="4745"/>
      <c r="K53" s="4745"/>
      <c r="L53" s="4746"/>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17">
        <f>'Part V-Revenues &amp; Expenses'!H33</f>
        <v>0</v>
      </c>
      <c r="F54" s="4718"/>
      <c r="G54" s="2023"/>
      <c r="H54" s="4744"/>
      <c r="I54" s="4745"/>
      <c r="J54" s="4745"/>
      <c r="K54" s="4745"/>
      <c r="L54" s="4746"/>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17">
        <f>'Part V-Revenues &amp; Expenses'!H34</f>
        <v>0</v>
      </c>
      <c r="F55" s="4718"/>
      <c r="G55" s="2023"/>
      <c r="H55" s="4744"/>
      <c r="I55" s="4745"/>
      <c r="J55" s="4745"/>
      <c r="K55" s="4745"/>
      <c r="L55" s="4746"/>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17">
        <f>'Part V-Revenues &amp; Expenses'!H35</f>
        <v>0</v>
      </c>
      <c r="F56" s="4718"/>
      <c r="G56" s="2023"/>
      <c r="H56" s="4744"/>
      <c r="I56" s="4745"/>
      <c r="J56" s="4745"/>
      <c r="K56" s="4745"/>
      <c r="L56" s="4746"/>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17">
        <f>'Part V-Revenues &amp; Expenses'!H36</f>
        <v>0</v>
      </c>
      <c r="F57" s="4718"/>
      <c r="G57" s="2023"/>
      <c r="H57" s="4744"/>
      <c r="I57" s="4745"/>
      <c r="J57" s="4745"/>
      <c r="K57" s="4745"/>
      <c r="L57" s="4746"/>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17">
        <f>'Part V-Revenues &amp; Expenses'!H37</f>
        <v>0</v>
      </c>
      <c r="F58" s="4718"/>
      <c r="G58" s="2023"/>
      <c r="H58" s="4744"/>
      <c r="I58" s="4745"/>
      <c r="J58" s="4745"/>
      <c r="K58" s="4745"/>
      <c r="L58" s="4746"/>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17">
        <f>'Part V-Revenues &amp; Expenses'!H38</f>
        <v>0</v>
      </c>
      <c r="F59" s="4718"/>
      <c r="G59" s="2023"/>
      <c r="H59" s="4744"/>
      <c r="I59" s="4745"/>
      <c r="J59" s="4745"/>
      <c r="K59" s="4745"/>
      <c r="L59" s="4746"/>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17">
        <f>'Part V-Revenues &amp; Expenses'!H39</f>
        <v>0</v>
      </c>
      <c r="F60" s="4718"/>
      <c r="G60" s="2023"/>
      <c r="H60" s="4744"/>
      <c r="I60" s="4745"/>
      <c r="J60" s="4745"/>
      <c r="K60" s="4745"/>
      <c r="L60" s="4746"/>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17">
        <f>'Part V-Revenues &amp; Expenses'!H40</f>
        <v>0</v>
      </c>
      <c r="F61" s="4718"/>
      <c r="G61" s="2023"/>
      <c r="H61" s="4744"/>
      <c r="I61" s="4745"/>
      <c r="J61" s="4745"/>
      <c r="K61" s="4745"/>
      <c r="L61" s="4746"/>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17">
        <f>'Part V-Revenues &amp; Expenses'!H41</f>
        <v>0</v>
      </c>
      <c r="F62" s="4718"/>
      <c r="G62" s="2023"/>
      <c r="H62" s="4744"/>
      <c r="I62" s="4745"/>
      <c r="J62" s="4745"/>
      <c r="K62" s="4745"/>
      <c r="L62" s="4746"/>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17">
        <f>'Part V-Revenues &amp; Expenses'!H42</f>
        <v>0</v>
      </c>
      <c r="F63" s="4718"/>
      <c r="G63" s="2023"/>
      <c r="H63" s="4744"/>
      <c r="I63" s="4745"/>
      <c r="J63" s="4745"/>
      <c r="K63" s="4745"/>
      <c r="L63" s="4746"/>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17">
        <f>'Part V-Revenues &amp; Expenses'!H43</f>
        <v>0</v>
      </c>
      <c r="F64" s="4718"/>
      <c r="G64" s="2023"/>
      <c r="H64" s="4744"/>
      <c r="I64" s="4745"/>
      <c r="J64" s="4745"/>
      <c r="K64" s="4745"/>
      <c r="L64" s="4746"/>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17">
        <f>'Part V-Revenues &amp; Expenses'!H44</f>
        <v>0</v>
      </c>
      <c r="F65" s="4718"/>
      <c r="G65" s="2023"/>
      <c r="H65" s="4744"/>
      <c r="I65" s="4745"/>
      <c r="J65" s="4745"/>
      <c r="K65" s="4745"/>
      <c r="L65" s="4746"/>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17">
        <f>'Part V-Revenues &amp; Expenses'!H45</f>
        <v>0</v>
      </c>
      <c r="F66" s="4718"/>
      <c r="G66" s="2023"/>
      <c r="H66" s="4744"/>
      <c r="I66" s="4745"/>
      <c r="J66" s="4745"/>
      <c r="K66" s="4745"/>
      <c r="L66" s="4746"/>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17">
        <f>'Part V-Revenues &amp; Expenses'!H46</f>
        <v>0</v>
      </c>
      <c r="F67" s="4718"/>
      <c r="G67" s="2023"/>
      <c r="H67" s="4744"/>
      <c r="I67" s="4745"/>
      <c r="J67" s="4745"/>
      <c r="K67" s="4745"/>
      <c r="L67" s="4746"/>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17">
        <f>'Part V-Revenues &amp; Expenses'!H47</f>
        <v>0</v>
      </c>
      <c r="F68" s="4718"/>
      <c r="G68" s="2023"/>
      <c r="H68" s="4744"/>
      <c r="I68" s="4745"/>
      <c r="J68" s="4745"/>
      <c r="K68" s="4745"/>
      <c r="L68" s="4746"/>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15">
        <f>'Part V-Revenues &amp; Expenses'!H48</f>
        <v>0</v>
      </c>
      <c r="F69" s="4716"/>
      <c r="G69" s="2030"/>
      <c r="H69" s="4750"/>
      <c r="I69" s="4751"/>
      <c r="J69" s="4751"/>
      <c r="K69" s="4751"/>
      <c r="L69" s="4752"/>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317" customWidth="1"/>
    <col min="2" max="2" width="12.453125" style="1317" customWidth="1"/>
    <col min="3" max="3" width="12.1796875" style="1317" customWidth="1"/>
    <col min="4" max="4" width="9.81640625" style="1317" customWidth="1"/>
    <col min="5" max="5" width="10.453125" style="1317" customWidth="1"/>
    <col min="6" max="6" width="9.1796875" style="1317"/>
    <col min="7" max="7" width="11" style="1317" customWidth="1"/>
    <col min="8" max="8" width="14.453125" style="1317" customWidth="1"/>
    <col min="9" max="9" width="10.1796875" style="1317" customWidth="1"/>
    <col min="10" max="16384" width="9.1796875" style="1317"/>
  </cols>
  <sheetData>
    <row r="1" spans="2:13" ht="15.5">
      <c r="B1" s="4768" t="s">
        <v>3482</v>
      </c>
      <c r="C1" s="4768"/>
      <c r="D1" s="4768"/>
      <c r="E1" s="4768"/>
      <c r="F1" s="4768"/>
      <c r="G1" s="4768"/>
      <c r="H1" s="4768"/>
      <c r="I1" s="4768"/>
    </row>
    <row r="2" spans="2:13" ht="14">
      <c r="B2" s="1318" t="s">
        <v>3470</v>
      </c>
      <c r="C2" s="786"/>
      <c r="D2" s="786"/>
      <c r="E2" s="786"/>
      <c r="F2" s="786"/>
      <c r="G2" s="786"/>
      <c r="H2" s="786"/>
      <c r="I2" s="786"/>
    </row>
    <row r="3" spans="2:13" ht="14">
      <c r="B3" s="1319" t="s">
        <v>3477</v>
      </c>
      <c r="C3" s="786"/>
      <c r="D3" s="786"/>
      <c r="E3" s="786"/>
      <c r="F3" s="786"/>
      <c r="G3" s="786"/>
      <c r="H3" s="786"/>
      <c r="I3" s="786"/>
    </row>
    <row r="4" spans="2:13">
      <c r="B4" s="4769" t="s">
        <v>2891</v>
      </c>
      <c r="C4" s="4769"/>
      <c r="D4" s="4769"/>
      <c r="E4" s="4775" t="s">
        <v>2892</v>
      </c>
      <c r="F4" s="4777"/>
      <c r="G4" s="4775" t="s">
        <v>574</v>
      </c>
      <c r="H4" s="4776"/>
      <c r="I4" s="4777"/>
      <c r="J4" s="1312" t="s">
        <v>2740</v>
      </c>
      <c r="K4" s="1312"/>
      <c r="L4" s="1320"/>
      <c r="M4" s="1320"/>
    </row>
    <row r="5" spans="2:13">
      <c r="B5" s="4770" t="str">
        <f>'Closing term sheet'!C8</f>
        <v>(Enter name as it will appear on all legal documents)</v>
      </c>
      <c r="C5" s="4771"/>
      <c r="D5" s="4771"/>
      <c r="E5" s="4781"/>
      <c r="F5" s="4782"/>
      <c r="G5" s="4778" t="str">
        <f>'Closing term sheet'!C28</f>
        <v>Villa Rica Senior</v>
      </c>
      <c r="H5" s="4779"/>
      <c r="I5" s="4780"/>
      <c r="K5" s="774"/>
    </row>
    <row r="6" spans="2:13" ht="4.5" customHeight="1">
      <c r="D6" s="1321"/>
      <c r="E6" s="1321"/>
      <c r="F6" s="1321"/>
      <c r="G6" s="1321"/>
      <c r="H6" s="1321"/>
      <c r="I6" s="1321"/>
      <c r="K6" s="774"/>
    </row>
    <row r="7" spans="2:13" ht="13">
      <c r="B7" s="4772" t="s">
        <v>2893</v>
      </c>
      <c r="C7" s="4772"/>
      <c r="D7" s="1322"/>
      <c r="E7" s="1322"/>
      <c r="F7" s="1322"/>
      <c r="G7" s="1322"/>
      <c r="H7" s="4773">
        <f>'Preview term'!E9</f>
        <v>0</v>
      </c>
      <c r="I7" s="4774"/>
    </row>
    <row r="8" spans="2:13" ht="4.5" customHeight="1">
      <c r="B8" s="1322"/>
      <c r="C8" s="1322"/>
      <c r="D8" s="1322"/>
      <c r="E8" s="1322"/>
      <c r="F8" s="1322"/>
      <c r="G8" s="1322"/>
      <c r="H8" s="1322"/>
      <c r="I8" s="1322"/>
      <c r="J8" s="1322"/>
    </row>
    <row r="9" spans="2:13" ht="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ht="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ht="13">
      <c r="B35" s="1333" t="s">
        <v>3481</v>
      </c>
      <c r="C35" s="1322"/>
      <c r="D35" s="1322"/>
      <c r="F35" s="1348"/>
      <c r="H35" s="4753" t="s">
        <v>3490</v>
      </c>
      <c r="I35" s="4754"/>
    </row>
    <row r="36" spans="2:9">
      <c r="B36" s="1349" t="s">
        <v>3489</v>
      </c>
      <c r="C36" s="1347"/>
      <c r="D36" s="1347"/>
      <c r="E36" s="1322"/>
      <c r="F36" s="1591"/>
      <c r="G36" s="1350"/>
      <c r="H36" s="4753"/>
      <c r="I36" s="4754"/>
    </row>
    <row r="37" spans="2:9">
      <c r="B37" s="1349" t="s">
        <v>3487</v>
      </c>
      <c r="D37" s="1347"/>
      <c r="E37" s="1322"/>
      <c r="F37" s="1592"/>
      <c r="G37" s="1350"/>
      <c r="H37" s="4753"/>
      <c r="I37" s="4754"/>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62" t="e">
        <f>'Closing term sheet'!$C$30</f>
        <v>#REF!</v>
      </c>
      <c r="G48" s="4763"/>
      <c r="H48" s="4763"/>
      <c r="I48" s="4764"/>
    </row>
    <row r="49" spans="2:9">
      <c r="B49" s="1338" t="s">
        <v>2908</v>
      </c>
      <c r="D49" s="1347" t="s">
        <v>2909</v>
      </c>
      <c r="E49" s="1322"/>
      <c r="F49" s="4765"/>
      <c r="G49" s="4766"/>
      <c r="H49" s="4766"/>
      <c r="I49" s="4767"/>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85" t="str">
        <f>'Part I-Project Identification'!F30</f>
        <v>Villa Rica</v>
      </c>
      <c r="D52" s="4786"/>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ht="13">
      <c r="B55" s="1356" t="s">
        <v>3658</v>
      </c>
      <c r="D55" s="1367" t="e">
        <f>'Closing term sheet'!$D$33</f>
        <v>#VALUE!</v>
      </c>
      <c r="E55" s="1368"/>
      <c r="F55" s="794" t="s">
        <v>2911</v>
      </c>
      <c r="G55" s="1322"/>
      <c r="H55" s="1322"/>
      <c r="I55" s="1332"/>
    </row>
    <row r="56" spans="2:9" ht="13">
      <c r="B56" s="1356" t="s">
        <v>3660</v>
      </c>
      <c r="D56" s="1369">
        <f>'Closing term sheet'!$D$63</f>
        <v>13148434</v>
      </c>
      <c r="E56" s="1370"/>
      <c r="F56" s="794" t="s">
        <v>2912</v>
      </c>
      <c r="G56" s="1322"/>
      <c r="H56" s="1322"/>
      <c r="I56" s="1332"/>
    </row>
    <row r="57" spans="2:9" ht="13">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ht="13">
      <c r="B61" s="4790" t="s">
        <v>2914</v>
      </c>
      <c r="C61" s="4791"/>
      <c r="D61" s="4791"/>
      <c r="E61" s="4791"/>
      <c r="F61" s="4791"/>
      <c r="G61" s="4791"/>
      <c r="H61" s="4791"/>
      <c r="I61" s="4792"/>
    </row>
    <row r="62" spans="2:9" ht="7.5" customHeight="1">
      <c r="B62" s="4787"/>
      <c r="C62" s="4788"/>
      <c r="D62" s="4788"/>
      <c r="E62" s="1322"/>
      <c r="F62" s="1322"/>
      <c r="G62" s="1372"/>
      <c r="H62" s="1322"/>
      <c r="I62" s="1332"/>
    </row>
    <row r="63" spans="2:9">
      <c r="B63" s="1373" t="s">
        <v>2916</v>
      </c>
      <c r="C63" s="1322"/>
      <c r="D63" s="1367">
        <v>4</v>
      </c>
      <c r="F63" s="1322"/>
      <c r="G63" s="4772" t="s">
        <v>2915</v>
      </c>
      <c r="H63" s="4772"/>
      <c r="I63" s="4789"/>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ht="13">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ht="13">
      <c r="B81" s="4790" t="s">
        <v>2927</v>
      </c>
      <c r="C81" s="4791"/>
      <c r="D81" s="4791"/>
      <c r="E81" s="4791"/>
      <c r="F81" s="4791"/>
      <c r="G81" s="4791"/>
      <c r="H81" s="4791"/>
      <c r="I81" s="4792"/>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58">
        <f>'Closing term sheet'!D63</f>
        <v>13148434</v>
      </c>
      <c r="G84" s="4758"/>
      <c r="H84" s="1322"/>
      <c r="I84" s="1332"/>
    </row>
    <row r="85" spans="2:9">
      <c r="B85" s="1330"/>
      <c r="C85" s="814" t="s">
        <v>2930</v>
      </c>
      <c r="D85" s="1322"/>
      <c r="E85" s="1322"/>
      <c r="F85" s="4784">
        <f>'Part II-Sources of Funds'!I47+'Part II-Sources of Funds'!L47</f>
        <v>399485.26965527894</v>
      </c>
      <c r="G85" s="4784"/>
      <c r="H85" s="1322"/>
      <c r="I85" s="1332"/>
    </row>
    <row r="86" spans="2:9">
      <c r="B86" s="1330"/>
      <c r="C86" s="814" t="s">
        <v>2931</v>
      </c>
      <c r="D86" s="1322"/>
      <c r="E86" s="1322"/>
      <c r="F86" s="4783"/>
      <c r="G86" s="4783"/>
      <c r="H86" s="1322"/>
      <c r="I86" s="1332"/>
    </row>
    <row r="87" spans="2:9">
      <c r="B87" s="1330"/>
      <c r="C87" s="1347" t="s">
        <v>2932</v>
      </c>
      <c r="D87" s="1322"/>
      <c r="E87" s="1322"/>
      <c r="F87" s="4784">
        <v>11000</v>
      </c>
      <c r="G87" s="4784"/>
      <c r="H87" s="1322"/>
      <c r="I87" s="1332"/>
    </row>
    <row r="88" spans="2:9">
      <c r="B88" s="1330"/>
      <c r="C88" s="814" t="s">
        <v>2933</v>
      </c>
      <c r="D88" s="1322"/>
      <c r="E88" s="1322"/>
      <c r="F88" s="4761"/>
      <c r="G88" s="4761"/>
      <c r="H88" s="1322"/>
      <c r="I88" s="1332"/>
    </row>
    <row r="89" spans="2:9" ht="13">
      <c r="B89" s="1330"/>
      <c r="C89" s="794" t="s">
        <v>2934</v>
      </c>
      <c r="D89" s="1322"/>
      <c r="E89" s="1322"/>
      <c r="F89" s="4756">
        <f>SUM(F84:G88)</f>
        <v>13558919.26965528</v>
      </c>
      <c r="G89" s="4756"/>
      <c r="H89" s="1322"/>
      <c r="I89" s="1332"/>
    </row>
    <row r="90" spans="2:9">
      <c r="B90" s="1330"/>
      <c r="C90" s="1322"/>
      <c r="D90" s="1322"/>
      <c r="E90" s="1322"/>
      <c r="F90" s="4757"/>
      <c r="G90" s="4757"/>
      <c r="H90" s="1322"/>
      <c r="I90" s="1332"/>
    </row>
    <row r="91" spans="2:9">
      <c r="B91" s="1333" t="s">
        <v>2935</v>
      </c>
      <c r="C91" s="1322"/>
      <c r="D91" s="1322"/>
      <c r="E91" s="1322"/>
      <c r="F91" s="1322"/>
      <c r="G91" s="1322"/>
      <c r="H91" s="1322"/>
      <c r="I91" s="1332"/>
    </row>
    <row r="92" spans="2:9">
      <c r="B92" s="1330"/>
      <c r="C92" s="814" t="s">
        <v>2936</v>
      </c>
      <c r="D92" s="1322"/>
      <c r="E92" s="1322"/>
      <c r="F92" s="4758"/>
      <c r="G92" s="4758"/>
      <c r="H92" s="1322"/>
      <c r="I92" s="1332"/>
    </row>
    <row r="93" spans="2:9">
      <c r="B93" s="1330"/>
      <c r="C93" s="814" t="s">
        <v>2937</v>
      </c>
      <c r="D93" s="1322"/>
      <c r="E93" s="1322"/>
      <c r="F93" s="4759"/>
      <c r="G93" s="4759"/>
      <c r="H93" s="1322"/>
      <c r="I93" s="1332"/>
    </row>
    <row r="94" spans="2:9">
      <c r="B94" s="1330"/>
      <c r="C94" s="814" t="s">
        <v>2938</v>
      </c>
      <c r="D94" s="1322"/>
      <c r="E94" s="1322"/>
      <c r="F94" s="4760" t="s">
        <v>2815</v>
      </c>
      <c r="G94" s="4755"/>
      <c r="H94" s="1322"/>
      <c r="I94" s="1332"/>
    </row>
    <row r="95" spans="2:9" ht="13">
      <c r="B95" s="1330"/>
      <c r="C95" s="794" t="s">
        <v>2939</v>
      </c>
      <c r="D95" s="1322"/>
      <c r="E95" s="1322"/>
      <c r="F95" s="4756">
        <f>+SUM(F92:G94)</f>
        <v>0</v>
      </c>
      <c r="G95" s="4756"/>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58"/>
      <c r="G98" s="4758"/>
      <c r="H98" s="1322"/>
      <c r="I98" s="1332"/>
    </row>
    <row r="99" spans="2:9">
      <c r="B99" s="1330"/>
      <c r="C99" s="814" t="s">
        <v>2942</v>
      </c>
      <c r="D99" s="1322"/>
      <c r="E99" s="1322"/>
      <c r="F99" s="4759"/>
      <c r="G99" s="4759"/>
      <c r="H99" s="1322"/>
      <c r="I99" s="1332"/>
    </row>
    <row r="100" spans="2:9">
      <c r="B100" s="1330"/>
      <c r="C100" s="814" t="s">
        <v>2943</v>
      </c>
      <c r="D100" s="1322"/>
      <c r="E100" s="1322"/>
      <c r="F100" s="4761"/>
      <c r="G100" s="4761"/>
      <c r="H100" s="1322"/>
      <c r="I100" s="1332"/>
    </row>
    <row r="101" spans="2:9" ht="13">
      <c r="B101" s="1330"/>
      <c r="C101" s="794" t="s">
        <v>2944</v>
      </c>
      <c r="D101" s="1322"/>
      <c r="E101" s="1322"/>
      <c r="F101" s="4756">
        <f>+SUM(F98:G100)</f>
        <v>0</v>
      </c>
      <c r="G101" s="4756"/>
      <c r="H101" s="1322"/>
      <c r="I101" s="1332"/>
    </row>
    <row r="102" spans="2:9">
      <c r="B102" s="1330"/>
      <c r="C102" s="1322"/>
      <c r="D102" s="1322"/>
      <c r="E102" s="1322"/>
      <c r="F102" s="1322"/>
      <c r="G102" s="1322"/>
      <c r="H102" s="1322"/>
      <c r="I102" s="1332"/>
    </row>
    <row r="103" spans="2:9">
      <c r="B103" s="1373" t="s">
        <v>2945</v>
      </c>
      <c r="C103" s="814"/>
      <c r="D103" s="1322"/>
      <c r="E103" s="1322"/>
      <c r="F103" s="4755">
        <f>'Part II-Sources of Funds'!I48+'Part II-Sources of Funds'!I49</f>
        <v>0</v>
      </c>
      <c r="G103" s="4755"/>
      <c r="H103" s="1322"/>
      <c r="I103" s="1332"/>
    </row>
    <row r="104" spans="2:9">
      <c r="B104" s="1330"/>
      <c r="C104" s="1322"/>
      <c r="D104" s="1322"/>
      <c r="E104" s="1322"/>
      <c r="F104" s="1322"/>
      <c r="G104" s="1322"/>
      <c r="H104" s="1322"/>
      <c r="I104" s="1378" t="s">
        <v>2946</v>
      </c>
    </row>
    <row r="105" spans="2:9">
      <c r="B105" s="1333" t="s">
        <v>2947</v>
      </c>
      <c r="C105" s="1322"/>
      <c r="D105" s="1322"/>
      <c r="E105" s="1322"/>
      <c r="F105" s="4755">
        <f>+F103+F101+F95+F89</f>
        <v>13558919.26965528</v>
      </c>
      <c r="G105" s="4755"/>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15" sqref="B15:M15"/>
    </sheetView>
  </sheetViews>
  <sheetFormatPr defaultColWidth="8.81640625" defaultRowHeight="15.5"/>
  <cols>
    <col min="1" max="1" width="2.1796875" style="1025" customWidth="1"/>
    <col min="2" max="13" width="7.81640625" style="1025" customWidth="1"/>
    <col min="14" max="15" width="5.81640625" style="1025" customWidth="1"/>
    <col min="16" max="16384" width="8.8164062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801" t="s">
        <v>2482</v>
      </c>
      <c r="B5" s="4801"/>
      <c r="C5" s="4801"/>
      <c r="D5" s="4801"/>
      <c r="E5" s="4801"/>
      <c r="F5" s="4801"/>
      <c r="G5" s="4801"/>
      <c r="H5" s="4801"/>
      <c r="I5" s="4801"/>
      <c r="J5" s="4801"/>
      <c r="K5" s="4801"/>
      <c r="L5" s="4801"/>
      <c r="M5" s="4801"/>
    </row>
    <row r="6" spans="1:26" ht="11.5"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5" customHeight="1">
      <c r="A8" s="1029"/>
      <c r="B8" s="1029"/>
      <c r="C8" s="1029"/>
      <c r="D8" s="1029"/>
      <c r="E8" s="1029"/>
      <c r="F8" s="1029"/>
      <c r="G8" s="1029"/>
      <c r="H8" s="1029"/>
      <c r="I8" s="1029"/>
      <c r="J8" s="1029"/>
      <c r="K8" s="1029"/>
      <c r="L8" s="1029"/>
      <c r="M8" s="1029"/>
    </row>
    <row r="9" spans="1:26">
      <c r="A9" s="4797" t="s">
        <v>1767</v>
      </c>
      <c r="B9" s="4797"/>
      <c r="C9" s="4797"/>
      <c r="D9" s="4797"/>
      <c r="E9" s="4797"/>
      <c r="F9" s="4797"/>
      <c r="G9" s="4797"/>
      <c r="H9" s="4797"/>
      <c r="I9" s="4797"/>
      <c r="J9" s="4797"/>
      <c r="K9" s="4797"/>
      <c r="L9" s="4797"/>
      <c r="M9" s="4797"/>
    </row>
    <row r="10" spans="1:26" ht="6.75" customHeight="1">
      <c r="A10" s="4797"/>
      <c r="B10" s="4797"/>
      <c r="C10" s="4797"/>
      <c r="D10" s="4797"/>
      <c r="E10" s="4797"/>
      <c r="F10" s="4797"/>
      <c r="G10" s="4797"/>
      <c r="H10" s="4797"/>
      <c r="I10" s="4797"/>
      <c r="J10" s="4797"/>
      <c r="K10" s="4797"/>
      <c r="L10" s="4797"/>
      <c r="M10" s="4797"/>
    </row>
    <row r="11" spans="1:26" ht="44.25" customHeight="1">
      <c r="A11" s="4802" t="s">
        <v>6513</v>
      </c>
      <c r="B11" s="4802"/>
      <c r="C11" s="4802"/>
      <c r="D11" s="4802"/>
      <c r="E11" s="4802"/>
      <c r="F11" s="4802"/>
      <c r="G11" s="4802"/>
      <c r="H11" s="4802"/>
      <c r="I11" s="4802"/>
      <c r="J11" s="4802"/>
      <c r="K11" s="4802"/>
      <c r="L11" s="4802"/>
      <c r="M11" s="4802"/>
    </row>
    <row r="12" spans="1:26" ht="3" customHeight="1">
      <c r="A12" s="4797"/>
      <c r="B12" s="4797"/>
      <c r="C12" s="4797"/>
      <c r="D12" s="4797"/>
      <c r="E12" s="4797"/>
      <c r="F12" s="4797"/>
      <c r="G12" s="4797"/>
      <c r="H12" s="4797"/>
      <c r="I12" s="4797"/>
      <c r="J12" s="4797"/>
      <c r="K12" s="4797"/>
      <c r="L12" s="4797"/>
      <c r="M12" s="4797"/>
    </row>
    <row r="13" spans="1:26" ht="101.25" customHeight="1">
      <c r="A13" s="1031" t="s">
        <v>1615</v>
      </c>
      <c r="B13" s="4799" t="s">
        <v>3191</v>
      </c>
      <c r="C13" s="4799"/>
      <c r="D13" s="4799"/>
      <c r="E13" s="4799"/>
      <c r="F13" s="4799"/>
      <c r="G13" s="4799"/>
      <c r="H13" s="4799"/>
      <c r="I13" s="4799"/>
      <c r="J13" s="4799"/>
      <c r="K13" s="4799"/>
      <c r="L13" s="4799"/>
      <c r="M13" s="4799"/>
      <c r="U13" s="1025" t="s">
        <v>6278</v>
      </c>
    </row>
    <row r="14" spans="1:26" ht="47.25" customHeight="1">
      <c r="A14" s="1031" t="s">
        <v>1616</v>
      </c>
      <c r="B14" s="4799" t="s">
        <v>3192</v>
      </c>
      <c r="C14" s="4799"/>
      <c r="D14" s="4799"/>
      <c r="E14" s="4799"/>
      <c r="F14" s="4799"/>
      <c r="G14" s="4799"/>
      <c r="H14" s="4799"/>
      <c r="I14" s="4799"/>
      <c r="J14" s="4799"/>
      <c r="K14" s="4799"/>
      <c r="L14" s="4799"/>
      <c r="M14" s="4799"/>
    </row>
    <row r="15" spans="1:26" ht="117" customHeight="1">
      <c r="A15" s="1031" t="s">
        <v>1617</v>
      </c>
      <c r="B15" s="4799" t="s">
        <v>3193</v>
      </c>
      <c r="C15" s="4799"/>
      <c r="D15" s="4799"/>
      <c r="E15" s="4799"/>
      <c r="F15" s="4799"/>
      <c r="G15" s="4799"/>
      <c r="H15" s="4799"/>
      <c r="I15" s="4799"/>
      <c r="J15" s="4799"/>
      <c r="K15" s="4799"/>
      <c r="L15" s="4799"/>
      <c r="M15" s="4799"/>
    </row>
    <row r="16" spans="1:26" ht="147" customHeight="1">
      <c r="A16" s="1031" t="s">
        <v>2183</v>
      </c>
      <c r="B16" s="4799" t="s">
        <v>3072</v>
      </c>
      <c r="C16" s="4799"/>
      <c r="D16" s="4799"/>
      <c r="E16" s="4799"/>
      <c r="F16" s="4799"/>
      <c r="G16" s="4799"/>
      <c r="H16" s="4799"/>
      <c r="I16" s="4799"/>
      <c r="J16" s="4799"/>
      <c r="K16" s="4799"/>
      <c r="L16" s="4799"/>
      <c r="M16" s="4799"/>
    </row>
    <row r="17" spans="1:13" ht="48.75" customHeight="1">
      <c r="A17" s="1031" t="s">
        <v>1449</v>
      </c>
      <c r="B17" s="4799" t="s">
        <v>637</v>
      </c>
      <c r="C17" s="4799"/>
      <c r="D17" s="4799"/>
      <c r="E17" s="4799"/>
      <c r="F17" s="4799"/>
      <c r="G17" s="4799"/>
      <c r="H17" s="4799"/>
      <c r="I17" s="4799"/>
      <c r="J17" s="4799"/>
      <c r="K17" s="4799"/>
      <c r="L17" s="4799"/>
      <c r="M17" s="4799"/>
    </row>
    <row r="18" spans="1:13" ht="165" customHeight="1">
      <c r="A18" s="1031" t="s">
        <v>1450</v>
      </c>
      <c r="B18" s="4799" t="s">
        <v>3071</v>
      </c>
      <c r="C18" s="4799"/>
      <c r="D18" s="4799"/>
      <c r="E18" s="4799"/>
      <c r="F18" s="4799"/>
      <c r="G18" s="4799"/>
      <c r="H18" s="4799"/>
      <c r="I18" s="4799"/>
      <c r="J18" s="4799"/>
      <c r="K18" s="4799"/>
      <c r="L18" s="4799"/>
      <c r="M18" s="4799"/>
    </row>
    <row r="19" spans="1:13" ht="48.75" customHeight="1">
      <c r="A19" s="1031" t="s">
        <v>93</v>
      </c>
      <c r="B19" s="4800" t="s">
        <v>3194</v>
      </c>
      <c r="C19" s="4800"/>
      <c r="D19" s="4800"/>
      <c r="E19" s="4800"/>
      <c r="F19" s="4800"/>
      <c r="G19" s="4800"/>
      <c r="H19" s="4800"/>
      <c r="I19" s="4800"/>
      <c r="J19" s="4800"/>
      <c r="K19" s="4800"/>
      <c r="L19" s="4800"/>
      <c r="M19" s="4800"/>
    </row>
    <row r="20" spans="1:13" ht="50.25" customHeight="1">
      <c r="A20" s="1031" t="s">
        <v>481</v>
      </c>
      <c r="B20" s="4799" t="s">
        <v>3073</v>
      </c>
      <c r="C20" s="4799"/>
      <c r="D20" s="4799"/>
      <c r="E20" s="4799"/>
      <c r="F20" s="4799"/>
      <c r="G20" s="4799"/>
      <c r="H20" s="4799"/>
      <c r="I20" s="4799"/>
      <c r="J20" s="4799"/>
      <c r="K20" s="4799"/>
      <c r="L20" s="4799"/>
      <c r="M20" s="4799"/>
    </row>
    <row r="21" spans="1:13" ht="31.5" customHeight="1">
      <c r="A21" s="1031" t="s">
        <v>482</v>
      </c>
      <c r="B21" s="4799" t="s">
        <v>3090</v>
      </c>
      <c r="C21" s="4799"/>
      <c r="D21" s="4799"/>
      <c r="E21" s="4799"/>
      <c r="F21" s="4799"/>
      <c r="G21" s="4799"/>
      <c r="H21" s="4799"/>
      <c r="I21" s="4799"/>
      <c r="J21" s="4799"/>
      <c r="K21" s="4799"/>
      <c r="L21" s="4799"/>
      <c r="M21" s="4799"/>
    </row>
    <row r="22" spans="1:13" ht="1.5" customHeight="1">
      <c r="A22" s="4797"/>
      <c r="B22" s="4797"/>
      <c r="C22" s="4797"/>
      <c r="D22" s="4797"/>
      <c r="E22" s="4797"/>
      <c r="F22" s="4797"/>
      <c r="G22" s="4797"/>
      <c r="H22" s="4797"/>
      <c r="I22" s="4797"/>
      <c r="J22" s="4797"/>
      <c r="K22" s="4797"/>
      <c r="L22" s="4797"/>
      <c r="M22" s="4797"/>
    </row>
    <row r="23" spans="1:13" ht="3" customHeight="1">
      <c r="A23" s="4797"/>
      <c r="B23" s="4797"/>
      <c r="C23" s="4797"/>
      <c r="D23" s="4797"/>
      <c r="E23" s="4797"/>
      <c r="F23" s="4797"/>
      <c r="G23" s="4797"/>
      <c r="H23" s="4797"/>
      <c r="I23" s="4797"/>
      <c r="J23" s="4797"/>
      <c r="K23" s="4797"/>
      <c r="L23" s="4797"/>
      <c r="M23" s="4797"/>
    </row>
    <row r="24" spans="1:13" ht="13.5" customHeight="1">
      <c r="A24" s="4797" t="s">
        <v>1375</v>
      </c>
      <c r="B24" s="4797"/>
      <c r="C24" s="4797"/>
      <c r="D24" s="4797"/>
      <c r="E24" s="4797"/>
      <c r="F24" s="4797"/>
      <c r="G24" s="4797"/>
      <c r="H24" s="4797"/>
      <c r="I24" s="4797"/>
      <c r="J24" s="4797"/>
      <c r="K24" s="4797"/>
      <c r="L24" s="4797"/>
      <c r="M24" s="4797"/>
    </row>
    <row r="25" spans="1:13" ht="32.25" customHeight="1">
      <c r="A25" s="1031" t="s">
        <v>1376</v>
      </c>
      <c r="B25" s="4799" t="s">
        <v>3091</v>
      </c>
      <c r="C25" s="4799"/>
      <c r="D25" s="4799"/>
      <c r="E25" s="4799"/>
      <c r="F25" s="4799"/>
      <c r="G25" s="4799"/>
      <c r="H25" s="4799"/>
      <c r="I25" s="4799"/>
      <c r="J25" s="4799"/>
      <c r="K25" s="4799"/>
      <c r="L25" s="4799"/>
      <c r="M25" s="4799"/>
    </row>
    <row r="26" spans="1:13" ht="31.5" customHeight="1">
      <c r="A26" s="1031" t="s">
        <v>1376</v>
      </c>
      <c r="B26" s="4799" t="s">
        <v>3092</v>
      </c>
      <c r="C26" s="4799"/>
      <c r="D26" s="4799"/>
      <c r="E26" s="4799"/>
      <c r="F26" s="4799"/>
      <c r="G26" s="4799"/>
      <c r="H26" s="4799"/>
      <c r="I26" s="4799"/>
      <c r="J26" s="4799"/>
      <c r="K26" s="4799"/>
      <c r="L26" s="4799"/>
      <c r="M26" s="4799"/>
    </row>
    <row r="27" spans="1:13" ht="78.75" customHeight="1">
      <c r="A27" s="1031" t="s">
        <v>1376</v>
      </c>
      <c r="B27" s="4799" t="s">
        <v>2483</v>
      </c>
      <c r="C27" s="4799"/>
      <c r="D27" s="4799"/>
      <c r="E27" s="4799"/>
      <c r="F27" s="4799"/>
      <c r="G27" s="4799"/>
      <c r="H27" s="4799"/>
      <c r="I27" s="4799"/>
      <c r="J27" s="4799"/>
      <c r="K27" s="4799"/>
      <c r="L27" s="4799"/>
      <c r="M27" s="4799"/>
    </row>
    <row r="28" spans="1:13" ht="7.5" customHeight="1">
      <c r="A28" s="4797"/>
      <c r="B28" s="4797"/>
      <c r="C28" s="4797"/>
      <c r="D28" s="4797"/>
      <c r="E28" s="4797"/>
      <c r="F28" s="4797"/>
      <c r="G28" s="4797"/>
      <c r="H28" s="4797"/>
      <c r="I28" s="4797"/>
      <c r="J28" s="4797"/>
      <c r="K28" s="4797"/>
      <c r="L28" s="4797"/>
      <c r="M28" s="4797"/>
    </row>
    <row r="29" spans="1:13" ht="43.5" customHeight="1">
      <c r="A29" s="4799" t="s">
        <v>887</v>
      </c>
      <c r="B29" s="4799"/>
      <c r="C29" s="4799"/>
      <c r="D29" s="4799"/>
      <c r="E29" s="4799"/>
      <c r="F29" s="4799"/>
      <c r="G29" s="4799"/>
      <c r="H29" s="4799"/>
      <c r="I29" s="4799"/>
      <c r="J29" s="4799"/>
      <c r="K29" s="4799"/>
      <c r="L29" s="4799"/>
      <c r="M29" s="4799"/>
    </row>
    <row r="30" spans="1:13" ht="3" customHeight="1">
      <c r="A30" s="4797"/>
      <c r="B30" s="4797"/>
      <c r="C30" s="4797"/>
      <c r="D30" s="4797"/>
      <c r="E30" s="4797"/>
      <c r="F30" s="4797"/>
      <c r="G30" s="4797"/>
      <c r="H30" s="4797"/>
      <c r="I30" s="4797"/>
      <c r="J30" s="4797"/>
      <c r="K30" s="4797"/>
      <c r="L30" s="4797"/>
      <c r="M30" s="4797"/>
    </row>
    <row r="31" spans="1:13" ht="32.25" customHeight="1">
      <c r="A31" s="4799" t="s">
        <v>2484</v>
      </c>
      <c r="B31" s="4799"/>
      <c r="C31" s="4799"/>
      <c r="D31" s="4799"/>
      <c r="E31" s="4799"/>
      <c r="F31" s="4799"/>
      <c r="G31" s="4799"/>
      <c r="H31" s="4799"/>
      <c r="I31" s="4799"/>
      <c r="J31" s="4799"/>
      <c r="K31" s="4799"/>
      <c r="L31" s="4799"/>
      <c r="M31" s="4799"/>
    </row>
    <row r="32" spans="1:13" ht="4.5" customHeight="1">
      <c r="A32" s="4797"/>
      <c r="B32" s="4797"/>
      <c r="C32" s="4797"/>
      <c r="D32" s="4797"/>
      <c r="E32" s="4797"/>
      <c r="F32" s="4797"/>
      <c r="G32" s="4797"/>
      <c r="H32" s="4797"/>
      <c r="I32" s="4797"/>
      <c r="J32" s="4797"/>
      <c r="K32" s="4797"/>
      <c r="L32" s="4797"/>
      <c r="M32" s="4797"/>
    </row>
    <row r="33" spans="1:13">
      <c r="A33" s="4797" t="s">
        <v>864</v>
      </c>
      <c r="B33" s="4797"/>
      <c r="C33" s="4797"/>
      <c r="D33" s="4797"/>
      <c r="E33" s="4797"/>
      <c r="F33" s="4797"/>
      <c r="G33" s="4797"/>
      <c r="H33" s="4797"/>
      <c r="I33" s="4797"/>
      <c r="J33" s="4797"/>
      <c r="K33" s="4797"/>
      <c r="L33" s="4797"/>
      <c r="M33" s="4797"/>
    </row>
    <row r="34" spans="1:13" ht="6" customHeight="1">
      <c r="A34" s="1060"/>
      <c r="B34" s="1060"/>
      <c r="C34" s="1060"/>
      <c r="D34" s="1060"/>
      <c r="E34" s="1060"/>
      <c r="F34" s="1060"/>
      <c r="G34" s="1060"/>
      <c r="H34" s="1060"/>
      <c r="I34" s="1060"/>
      <c r="J34" s="1060"/>
      <c r="K34" s="1060"/>
      <c r="L34" s="1060"/>
      <c r="M34" s="1060"/>
    </row>
    <row r="35" spans="1:13">
      <c r="A35" s="4798"/>
      <c r="B35" s="4798"/>
      <c r="C35" s="4798"/>
      <c r="D35" s="4798"/>
      <c r="E35" s="4798"/>
      <c r="F35" s="4798"/>
      <c r="G35" s="1032"/>
      <c r="H35" s="4798"/>
      <c r="I35" s="4798"/>
      <c r="J35" s="4798"/>
      <c r="K35" s="4798"/>
      <c r="L35" s="4798"/>
      <c r="M35" s="4798"/>
    </row>
    <row r="36" spans="1:13" ht="12" customHeight="1">
      <c r="A36" s="4795" t="s">
        <v>865</v>
      </c>
      <c r="B36" s="4795"/>
      <c r="C36" s="4795"/>
      <c r="D36" s="4795"/>
      <c r="E36" s="4795"/>
      <c r="F36" s="4795"/>
      <c r="G36" s="1032"/>
      <c r="H36" s="4795" t="s">
        <v>1839</v>
      </c>
      <c r="I36" s="4795"/>
      <c r="J36" s="4795"/>
      <c r="K36" s="4795"/>
      <c r="L36" s="4795"/>
      <c r="M36" s="4795"/>
    </row>
    <row r="37" spans="1:13" ht="6" customHeight="1">
      <c r="A37" s="1032"/>
      <c r="B37" s="1032"/>
      <c r="C37" s="1032"/>
      <c r="D37" s="1032"/>
      <c r="E37" s="1032"/>
      <c r="F37" s="1032"/>
      <c r="G37" s="1032"/>
      <c r="H37" s="1032"/>
      <c r="I37" s="1032"/>
      <c r="J37" s="1032"/>
      <c r="K37" s="1032"/>
      <c r="L37" s="1032"/>
      <c r="M37" s="1032"/>
    </row>
    <row r="38" spans="1:13">
      <c r="A38" s="4793"/>
      <c r="B38" s="4793"/>
      <c r="C38" s="4793"/>
      <c r="D38" s="4793"/>
      <c r="E38" s="4793"/>
      <c r="F38" s="4793"/>
      <c r="G38" s="1032"/>
      <c r="H38" s="4794"/>
      <c r="I38" s="4794"/>
      <c r="J38" s="4794"/>
      <c r="K38" s="4794"/>
      <c r="L38" s="4794"/>
      <c r="M38" s="4794"/>
    </row>
    <row r="39" spans="1:13" ht="12" customHeight="1">
      <c r="A39" s="4795" t="s">
        <v>866</v>
      </c>
      <c r="B39" s="4795"/>
      <c r="C39" s="4795"/>
      <c r="D39" s="4795"/>
      <c r="E39" s="4795"/>
      <c r="F39" s="4795"/>
      <c r="G39" s="1032"/>
      <c r="H39" s="4795" t="s">
        <v>867</v>
      </c>
      <c r="I39" s="4795"/>
      <c r="J39" s="4795"/>
      <c r="K39" s="4795"/>
      <c r="L39" s="4795"/>
      <c r="M39" s="4795"/>
    </row>
    <row r="40" spans="1:13" ht="3" customHeight="1">
      <c r="A40" s="1033"/>
      <c r="B40" s="1033"/>
      <c r="C40" s="1033"/>
      <c r="D40" s="1033"/>
      <c r="E40" s="1033"/>
      <c r="F40" s="1033"/>
      <c r="G40" s="1032"/>
      <c r="H40" s="1033"/>
      <c r="I40" s="1033"/>
      <c r="J40" s="1033"/>
      <c r="K40" s="1033"/>
      <c r="L40" s="1033"/>
      <c r="M40" s="1033"/>
    </row>
    <row r="41" spans="1:13" ht="11.5" customHeight="1">
      <c r="A41" s="1029"/>
      <c r="B41" s="1029"/>
      <c r="C41" s="1029"/>
      <c r="D41" s="1029"/>
      <c r="E41" s="1029"/>
      <c r="F41" s="1029"/>
      <c r="G41" s="1029"/>
      <c r="H41" s="4796" t="s">
        <v>868</v>
      </c>
      <c r="I41" s="4796"/>
      <c r="J41" s="4796"/>
      <c r="K41" s="4796"/>
      <c r="L41" s="4796"/>
      <c r="M41" s="4796"/>
    </row>
    <row r="42" spans="1:13" ht="11.5" customHeight="1">
      <c r="A42" s="1029"/>
      <c r="B42" s="1029"/>
      <c r="C42" s="1029"/>
      <c r="D42" s="1029"/>
      <c r="E42" s="1029"/>
      <c r="F42" s="1029"/>
      <c r="G42" s="1029"/>
    </row>
    <row r="43" spans="1:13" ht="11.5" customHeight="1">
      <c r="A43" s="1029"/>
      <c r="B43" s="1029"/>
      <c r="C43" s="1029"/>
      <c r="D43" s="1029"/>
      <c r="E43" s="1029"/>
      <c r="F43" s="1029"/>
      <c r="G43" s="1029"/>
      <c r="H43" s="1029"/>
      <c r="I43" s="1029"/>
      <c r="J43" s="1029"/>
      <c r="K43" s="1029"/>
      <c r="L43" s="1029"/>
      <c r="M43" s="1029"/>
    </row>
    <row r="44" spans="1:13" ht="11.5" customHeight="1">
      <c r="A44" s="1029"/>
      <c r="B44" s="1029"/>
      <c r="C44" s="1029"/>
      <c r="D44" s="1029"/>
      <c r="E44" s="1029"/>
      <c r="F44" s="1029"/>
      <c r="G44" s="1029"/>
      <c r="H44" s="1029"/>
      <c r="I44" s="1029"/>
      <c r="J44" s="1029"/>
      <c r="K44" s="1029"/>
      <c r="L44" s="1029"/>
      <c r="M44" s="1029"/>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23"/>
    <col min="29" max="16384" width="8.8164062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4" customHeight="1">
      <c r="A2" s="4837" t="s">
        <v>674</v>
      </c>
      <c r="B2" s="4838"/>
      <c r="C2" s="4838"/>
      <c r="D2" s="4838"/>
      <c r="E2" s="4838"/>
      <c r="F2" s="4838"/>
      <c r="G2" s="4838"/>
      <c r="H2" s="4838"/>
      <c r="I2" s="4838"/>
      <c r="J2" s="4838"/>
      <c r="K2" s="4838"/>
      <c r="L2" s="4838"/>
      <c r="M2" s="4838"/>
      <c r="N2" s="4838"/>
      <c r="O2" s="4838"/>
      <c r="P2" s="4838"/>
      <c r="Q2" s="4838"/>
      <c r="R2" s="4839"/>
      <c r="S2" s="180"/>
      <c r="T2" s="180"/>
      <c r="U2" s="180"/>
      <c r="AA2" s="523"/>
      <c r="AB2" s="523"/>
    </row>
    <row r="3" spans="1:28" s="293" customFormat="1" ht="4.4000000000000004"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4000000000000004"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40" t="s">
        <v>6624</v>
      </c>
      <c r="R11" s="4840"/>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848">
        <v>0.1</v>
      </c>
      <c r="R12" s="4849"/>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47" t="s">
        <v>3912</v>
      </c>
      <c r="R13" s="4847"/>
      <c r="S13" s="180"/>
      <c r="T13" s="180"/>
      <c r="U13" s="180"/>
      <c r="AA13" s="523"/>
      <c r="AB13" s="523"/>
    </row>
    <row r="14" spans="1:28" s="293" customFormat="1" ht="12.75" hidden="1" customHeight="1">
      <c r="A14" s="183"/>
      <c r="B14" s="183"/>
      <c r="C14" s="183"/>
      <c r="K14" s="1632" t="s">
        <v>3913</v>
      </c>
      <c r="L14" s="1631"/>
      <c r="N14" s="303"/>
      <c r="O14" s="183"/>
      <c r="P14" s="180"/>
      <c r="Q14" s="4845">
        <v>0.2</v>
      </c>
      <c r="R14" s="4846"/>
      <c r="S14" s="180"/>
      <c r="T14" s="180"/>
      <c r="U14" s="180"/>
      <c r="AA14" s="523"/>
      <c r="AB14" s="523"/>
    </row>
    <row r="15" spans="1:28" s="293" customFormat="1" ht="12.75" hidden="1" customHeight="1">
      <c r="A15" s="183"/>
      <c r="B15" s="183"/>
      <c r="C15" s="183"/>
      <c r="K15" s="1632" t="s">
        <v>3914</v>
      </c>
      <c r="L15" s="1631"/>
      <c r="N15" s="303"/>
      <c r="O15" s="183"/>
      <c r="P15" s="180"/>
      <c r="Q15" s="4843">
        <v>0.15</v>
      </c>
      <c r="R15" s="4844"/>
      <c r="S15" s="180"/>
      <c r="T15" s="180"/>
      <c r="U15" s="180"/>
      <c r="AA15" s="523"/>
      <c r="AB15" s="523"/>
    </row>
    <row r="16" spans="1:28" s="293" customFormat="1" ht="12.75" hidden="1" customHeight="1">
      <c r="A16" s="183"/>
      <c r="B16" s="183"/>
      <c r="C16" s="183"/>
      <c r="K16" s="1632" t="s">
        <v>3915</v>
      </c>
      <c r="L16" s="1631"/>
      <c r="N16" s="303"/>
      <c r="O16" s="183"/>
      <c r="P16" s="180"/>
      <c r="Q16" s="4843">
        <v>0.15</v>
      </c>
      <c r="R16" s="4844"/>
      <c r="S16" s="180"/>
      <c r="T16" s="180"/>
      <c r="U16" s="180"/>
      <c r="AA16" s="523"/>
      <c r="AB16" s="523"/>
    </row>
    <row r="17" spans="1:28" s="293" customFormat="1" ht="12.75" hidden="1" customHeight="1">
      <c r="A17" s="183"/>
      <c r="B17" s="183"/>
      <c r="C17" s="183"/>
      <c r="K17" s="1632" t="s">
        <v>3916</v>
      </c>
      <c r="L17" s="1631"/>
      <c r="N17" s="303"/>
      <c r="O17" s="183"/>
      <c r="P17" s="180"/>
      <c r="Q17" s="4843">
        <v>0.1</v>
      </c>
      <c r="R17" s="4844"/>
      <c r="S17" s="180"/>
      <c r="T17" s="180"/>
      <c r="U17" s="180"/>
      <c r="AA17" s="523"/>
      <c r="AB17" s="523"/>
    </row>
    <row r="18" spans="1:28" s="293" customFormat="1" ht="12.75" hidden="1" customHeight="1">
      <c r="A18" s="183"/>
      <c r="B18" s="183"/>
      <c r="C18" s="183"/>
      <c r="K18" s="1632" t="s">
        <v>3917</v>
      </c>
      <c r="L18" s="1631"/>
      <c r="N18" s="303"/>
      <c r="O18" s="183"/>
      <c r="P18" s="180"/>
      <c r="Q18" s="4841">
        <v>0.1</v>
      </c>
      <c r="R18" s="4842"/>
      <c r="S18" s="180"/>
      <c r="T18" s="180"/>
      <c r="U18" s="180"/>
      <c r="AA18" s="523"/>
      <c r="AB18" s="523"/>
    </row>
    <row r="19" spans="1:28" s="293" customFormat="1" ht="11.5" customHeight="1">
      <c r="A19" s="183"/>
      <c r="B19" s="183"/>
      <c r="C19" s="183"/>
      <c r="D19" s="180"/>
      <c r="E19" s="180"/>
      <c r="O19" s="183"/>
      <c r="T19" s="299"/>
      <c r="U19" s="180"/>
      <c r="V19" s="970"/>
      <c r="W19" s="970"/>
      <c r="X19" s="970"/>
      <c r="AA19" s="523"/>
      <c r="AB19" s="523"/>
    </row>
    <row r="20" spans="1:28" s="293" customFormat="1" ht="11.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5"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5" customHeight="1">
      <c r="A42" s="180"/>
      <c r="B42" s="305" t="s">
        <v>3284</v>
      </c>
      <c r="C42" s="183"/>
      <c r="D42" s="183"/>
      <c r="E42" s="180"/>
      <c r="F42" s="185" t="s">
        <v>3086</v>
      </c>
      <c r="G42" s="183"/>
      <c r="H42" s="180"/>
      <c r="I42" s="180"/>
      <c r="J42" s="183" t="s">
        <v>1127</v>
      </c>
      <c r="K42" s="183"/>
      <c r="L42" s="183"/>
      <c r="M42" s="183"/>
      <c r="N42" s="183"/>
      <c r="O42" s="183"/>
      <c r="P42" s="180"/>
      <c r="Q42" s="4816">
        <v>1000</v>
      </c>
      <c r="R42" s="4817"/>
      <c r="S42" s="305"/>
      <c r="T42" s="305"/>
      <c r="U42" s="305"/>
      <c r="AA42" s="523"/>
      <c r="AB42" s="523"/>
    </row>
    <row r="43" spans="1:28" s="293" customFormat="1" ht="11.5" customHeight="1">
      <c r="A43" s="183"/>
      <c r="B43" s="183"/>
      <c r="C43" s="183"/>
      <c r="D43" s="183"/>
      <c r="E43" s="180"/>
      <c r="G43" s="183"/>
      <c r="H43" s="180"/>
      <c r="I43" s="180"/>
      <c r="J43" s="183" t="s">
        <v>1128</v>
      </c>
      <c r="K43" s="183"/>
      <c r="L43" s="183"/>
      <c r="M43" s="183"/>
      <c r="N43" s="183"/>
      <c r="O43" s="183"/>
      <c r="P43" s="180"/>
      <c r="Q43" s="4816">
        <v>500</v>
      </c>
      <c r="R43" s="4817"/>
      <c r="S43" s="305"/>
      <c r="T43" s="305"/>
      <c r="U43" s="305"/>
      <c r="AA43" s="523"/>
      <c r="AB43" s="523"/>
    </row>
    <row r="44" spans="1:28" s="293" customFormat="1" ht="11.5" customHeight="1">
      <c r="A44" s="183"/>
      <c r="B44" s="183"/>
      <c r="C44" s="183"/>
      <c r="D44" s="183"/>
      <c r="E44" s="180"/>
      <c r="F44" s="185" t="s">
        <v>3326</v>
      </c>
      <c r="G44" s="183"/>
      <c r="H44" s="180"/>
      <c r="I44" s="180"/>
      <c r="J44" s="185" t="s">
        <v>3322</v>
      </c>
      <c r="K44" s="183"/>
      <c r="L44" s="183"/>
      <c r="M44" s="183"/>
      <c r="N44" s="183"/>
      <c r="O44" s="183"/>
      <c r="P44" s="180"/>
      <c r="Q44" s="4816">
        <v>1500</v>
      </c>
      <c r="R44" s="4817"/>
      <c r="S44" s="305"/>
      <c r="T44" s="305"/>
      <c r="U44" s="305"/>
      <c r="AA44" s="523"/>
      <c r="AB44" s="523"/>
    </row>
    <row r="45" spans="1:28" s="293" customFormat="1" ht="11.5" customHeight="1">
      <c r="A45" s="183"/>
      <c r="B45" s="183"/>
      <c r="C45" s="183"/>
      <c r="D45" s="183"/>
      <c r="E45" s="180"/>
      <c r="G45" s="183"/>
      <c r="H45" s="180"/>
      <c r="I45" s="180"/>
      <c r="J45" s="185" t="s">
        <v>3323</v>
      </c>
      <c r="K45" s="183"/>
      <c r="L45" s="183"/>
      <c r="M45" s="183"/>
      <c r="N45" s="183"/>
      <c r="O45" s="183"/>
      <c r="P45" s="180"/>
      <c r="Q45" s="4816">
        <v>1500</v>
      </c>
      <c r="R45" s="4817"/>
      <c r="S45" s="305"/>
      <c r="T45" s="305"/>
      <c r="U45" s="305"/>
      <c r="AA45" s="523"/>
      <c r="AB45" s="523"/>
    </row>
    <row r="46" spans="1:28" s="293" customFormat="1" ht="11.5" customHeight="1">
      <c r="A46" s="183"/>
      <c r="B46" s="183"/>
      <c r="C46" s="183"/>
      <c r="D46" s="183"/>
      <c r="E46" s="180"/>
      <c r="G46" s="183"/>
      <c r="H46" s="180"/>
      <c r="I46" s="180"/>
      <c r="J46" s="185" t="s">
        <v>3324</v>
      </c>
      <c r="K46" s="183"/>
      <c r="L46" s="183"/>
      <c r="M46" s="183"/>
      <c r="N46" s="183"/>
      <c r="O46" s="183"/>
      <c r="P46" s="180"/>
      <c r="Q46" s="4816">
        <v>1500</v>
      </c>
      <c r="R46" s="4817"/>
      <c r="S46" s="305"/>
      <c r="T46" s="305"/>
      <c r="U46" s="305"/>
      <c r="AA46" s="523"/>
      <c r="AB46" s="523"/>
    </row>
    <row r="47" spans="1:28" s="293" customFormat="1" ht="11.5" customHeight="1">
      <c r="A47" s="183"/>
      <c r="B47" s="183"/>
      <c r="C47" s="183"/>
      <c r="D47" s="183"/>
      <c r="E47" s="180"/>
      <c r="G47" s="183"/>
      <c r="H47" s="180"/>
      <c r="I47" s="180"/>
      <c r="J47" s="185" t="s">
        <v>3325</v>
      </c>
      <c r="K47" s="183"/>
      <c r="L47" s="183"/>
      <c r="M47" s="183"/>
      <c r="N47" s="183"/>
      <c r="O47" s="183"/>
      <c r="P47" s="180"/>
      <c r="Q47" s="4816">
        <v>1500</v>
      </c>
      <c r="R47" s="4817"/>
      <c r="S47" s="305"/>
      <c r="T47" s="305"/>
      <c r="U47" s="305"/>
      <c r="AA47" s="523"/>
      <c r="AB47" s="523"/>
    </row>
    <row r="48" spans="1:28" s="293" customFormat="1" ht="11.5" customHeight="1">
      <c r="A48" s="183"/>
      <c r="B48" s="183"/>
      <c r="C48" s="183"/>
      <c r="D48" s="183"/>
      <c r="E48" s="180"/>
      <c r="F48" s="185" t="s">
        <v>3779</v>
      </c>
      <c r="G48" s="183"/>
      <c r="H48" s="180"/>
      <c r="I48" s="180"/>
      <c r="J48" s="183" t="s">
        <v>1127</v>
      </c>
      <c r="K48" s="183"/>
      <c r="L48" s="183"/>
      <c r="M48" s="183"/>
      <c r="N48" s="183"/>
      <c r="O48" s="183"/>
      <c r="P48" s="180"/>
      <c r="Q48" s="4816">
        <v>6500</v>
      </c>
      <c r="R48" s="4817"/>
      <c r="S48" s="305"/>
      <c r="T48" s="305"/>
      <c r="U48" s="305"/>
      <c r="AA48" s="523"/>
      <c r="AB48" s="523"/>
    </row>
    <row r="49" spans="1:28" s="293" customFormat="1" ht="11.5" customHeight="1">
      <c r="A49" s="183"/>
      <c r="B49" s="183"/>
      <c r="C49" s="183"/>
      <c r="D49" s="183"/>
      <c r="E49" s="180"/>
      <c r="F49" s="185" t="s">
        <v>3779</v>
      </c>
      <c r="G49" s="183"/>
      <c r="H49" s="180"/>
      <c r="I49" s="180"/>
      <c r="J49" s="183" t="s">
        <v>1128</v>
      </c>
      <c r="K49" s="183"/>
      <c r="L49" s="183"/>
      <c r="M49" s="183"/>
      <c r="N49" s="183"/>
      <c r="O49" s="183"/>
      <c r="P49" s="180"/>
      <c r="Q49" s="4816">
        <v>5500</v>
      </c>
      <c r="R49" s="4817"/>
      <c r="S49" s="305"/>
      <c r="T49" s="305"/>
      <c r="U49" s="305"/>
      <c r="AA49" s="523"/>
      <c r="AB49" s="523"/>
    </row>
    <row r="50" spans="1:28" s="293" customFormat="1" ht="11.5" customHeight="1">
      <c r="A50" s="183"/>
      <c r="B50" s="183"/>
      <c r="C50" s="183"/>
      <c r="D50" s="183"/>
      <c r="E50" s="180"/>
      <c r="F50" s="185" t="s">
        <v>3057</v>
      </c>
      <c r="G50" s="183"/>
      <c r="H50" s="180"/>
      <c r="I50" s="180"/>
      <c r="J50" s="183"/>
      <c r="K50" s="183"/>
      <c r="L50" s="183"/>
      <c r="M50" s="183"/>
      <c r="N50" s="183"/>
      <c r="O50" s="183"/>
      <c r="P50" s="180"/>
      <c r="Q50" s="4816">
        <v>5500</v>
      </c>
      <c r="R50" s="4817"/>
      <c r="S50" s="305"/>
      <c r="T50" s="305"/>
      <c r="U50" s="305"/>
      <c r="AA50" s="523"/>
      <c r="AB50" s="523"/>
    </row>
    <row r="51" spans="1:28" s="293" customFormat="1" ht="11.5" customHeight="1">
      <c r="A51" s="183"/>
      <c r="B51" s="183"/>
      <c r="C51" s="183"/>
      <c r="D51" s="183"/>
      <c r="E51" s="180"/>
      <c r="F51" s="185"/>
      <c r="G51" s="183" t="s">
        <v>3777</v>
      </c>
      <c r="H51" s="180"/>
      <c r="I51" s="180"/>
      <c r="J51" s="183" t="s">
        <v>3778</v>
      </c>
      <c r="K51" s="183"/>
      <c r="L51" s="183"/>
      <c r="M51" s="183"/>
      <c r="N51" s="183"/>
      <c r="O51" s="183"/>
      <c r="P51" s="180"/>
      <c r="Q51" s="4816">
        <v>500</v>
      </c>
      <c r="R51" s="4817"/>
      <c r="S51" s="305"/>
      <c r="T51" s="305"/>
      <c r="U51" s="305"/>
      <c r="AA51" s="523"/>
      <c r="AB51" s="523"/>
    </row>
    <row r="52" spans="1:28" s="293" customFormat="1" ht="11.5" customHeight="1">
      <c r="A52" s="183"/>
      <c r="B52" s="183"/>
      <c r="C52" s="183"/>
      <c r="D52" s="183"/>
      <c r="E52" s="180"/>
      <c r="F52" s="185" t="s">
        <v>3320</v>
      </c>
      <c r="G52" s="183"/>
      <c r="H52" s="180"/>
      <c r="I52" s="180"/>
      <c r="J52" s="183"/>
      <c r="K52" s="183"/>
      <c r="L52" s="183"/>
      <c r="M52" s="183"/>
      <c r="N52" s="183"/>
      <c r="O52" s="183"/>
      <c r="P52" s="180"/>
      <c r="Q52" s="4816">
        <v>1500</v>
      </c>
      <c r="R52" s="4817"/>
      <c r="S52" s="305"/>
      <c r="T52" s="305"/>
      <c r="U52" s="305"/>
      <c r="AA52" s="523"/>
      <c r="AB52" s="523"/>
    </row>
    <row r="53" spans="1:28" s="293" customFormat="1" ht="11.5" customHeight="1">
      <c r="A53" s="183"/>
      <c r="C53" s="183"/>
      <c r="D53" s="180"/>
      <c r="E53" s="180"/>
      <c r="F53" s="185" t="s">
        <v>889</v>
      </c>
      <c r="H53" s="183"/>
      <c r="I53" s="180"/>
      <c r="J53" s="183" t="s">
        <v>890</v>
      </c>
      <c r="K53" s="183"/>
      <c r="L53" s="183"/>
      <c r="M53" s="183"/>
      <c r="N53" s="183"/>
      <c r="O53" s="183"/>
      <c r="P53" s="180"/>
      <c r="Q53" s="4850">
        <v>0.08</v>
      </c>
      <c r="R53" s="4850"/>
      <c r="S53" s="305"/>
      <c r="T53" s="305"/>
      <c r="U53" s="305"/>
      <c r="AA53" s="523"/>
      <c r="AB53" s="523"/>
    </row>
    <row r="54" spans="1:28" s="293" customFormat="1" ht="11.5" customHeight="1">
      <c r="A54" s="183"/>
      <c r="C54" s="183"/>
      <c r="D54" s="180"/>
      <c r="E54" s="180"/>
      <c r="F54" s="185" t="s">
        <v>6108</v>
      </c>
      <c r="H54" s="183"/>
      <c r="I54" s="180"/>
      <c r="J54" s="183" t="s">
        <v>890</v>
      </c>
      <c r="K54" s="183"/>
      <c r="L54" s="183"/>
      <c r="M54" s="183"/>
      <c r="N54" s="183"/>
      <c r="O54" s="183"/>
      <c r="P54" s="180"/>
      <c r="Q54" s="4850">
        <v>0.08</v>
      </c>
      <c r="R54" s="4850"/>
      <c r="S54" s="305"/>
      <c r="T54" s="305"/>
      <c r="U54" s="305"/>
      <c r="AA54" s="523"/>
      <c r="AB54" s="523"/>
    </row>
    <row r="55" spans="1:28" s="293" customFormat="1" ht="11.5" customHeight="1">
      <c r="A55" s="183"/>
      <c r="C55" s="183"/>
      <c r="D55" s="180"/>
      <c r="E55" s="180"/>
      <c r="F55" s="185" t="s">
        <v>3780</v>
      </c>
      <c r="H55" s="183"/>
      <c r="I55" s="180"/>
      <c r="J55" s="183"/>
      <c r="K55" s="183"/>
      <c r="L55" s="183"/>
      <c r="M55" s="183"/>
      <c r="N55" s="183"/>
      <c r="O55" s="183"/>
      <c r="P55" s="180"/>
      <c r="Q55" s="4816"/>
      <c r="R55" s="4817"/>
      <c r="S55" s="305"/>
      <c r="T55" s="305"/>
      <c r="U55" s="305"/>
      <c r="AA55" s="523"/>
      <c r="AB55" s="523"/>
    </row>
    <row r="56" spans="1:28" s="293" customFormat="1" ht="11.5" customHeight="1">
      <c r="A56" s="183"/>
      <c r="C56" s="183"/>
      <c r="D56" s="180"/>
      <c r="E56" s="180"/>
      <c r="F56" s="185" t="s">
        <v>3290</v>
      </c>
      <c r="H56" s="183"/>
      <c r="I56" s="180"/>
      <c r="J56" s="183"/>
      <c r="K56" s="183"/>
      <c r="L56" s="183"/>
      <c r="M56" s="183"/>
      <c r="N56" s="183"/>
      <c r="O56" s="183"/>
      <c r="P56" s="180"/>
      <c r="Q56" s="4816">
        <v>1500</v>
      </c>
      <c r="R56" s="4817"/>
      <c r="S56" s="305"/>
      <c r="T56" s="305"/>
      <c r="U56" s="305"/>
      <c r="AA56" s="523"/>
      <c r="AB56" s="523"/>
    </row>
    <row r="57" spans="1:28" s="293" customFormat="1" ht="11.5" customHeight="1">
      <c r="A57" s="183"/>
      <c r="C57" s="183"/>
      <c r="D57" s="180"/>
      <c r="E57" s="180"/>
      <c r="F57" s="183" t="s">
        <v>891</v>
      </c>
      <c r="H57" s="183" t="s">
        <v>1505</v>
      </c>
      <c r="I57" s="180"/>
      <c r="J57" s="183" t="s">
        <v>1433</v>
      </c>
      <c r="K57" s="183"/>
      <c r="L57" s="183"/>
      <c r="M57" s="183"/>
      <c r="N57" s="183"/>
      <c r="O57" s="183"/>
      <c r="P57" s="180"/>
      <c r="Q57" s="4816">
        <v>800</v>
      </c>
      <c r="R57" s="4817"/>
      <c r="S57" s="305"/>
      <c r="T57" s="305"/>
      <c r="U57" s="305"/>
      <c r="AA57" s="523"/>
      <c r="AB57" s="523"/>
    </row>
    <row r="58" spans="1:28" s="293" customFormat="1" ht="11.5" customHeight="1">
      <c r="A58" s="183"/>
      <c r="C58" s="183"/>
      <c r="D58" s="180"/>
      <c r="E58" s="180"/>
      <c r="F58" s="183"/>
      <c r="H58" s="183"/>
      <c r="I58" s="183" t="s">
        <v>3781</v>
      </c>
      <c r="J58" s="183" t="s">
        <v>1433</v>
      </c>
      <c r="K58" s="183"/>
      <c r="L58" s="183"/>
      <c r="M58" s="183"/>
      <c r="N58" s="183"/>
      <c r="O58" s="183"/>
      <c r="P58" s="180"/>
      <c r="Q58" s="4816">
        <v>1000</v>
      </c>
      <c r="R58" s="4817"/>
      <c r="S58" s="305"/>
      <c r="T58" s="305"/>
      <c r="U58" s="305"/>
      <c r="AA58" s="523"/>
      <c r="AB58" s="523"/>
    </row>
    <row r="59" spans="1:28" s="293" customFormat="1" ht="11.5" customHeight="1">
      <c r="A59" s="183"/>
      <c r="B59" s="183"/>
      <c r="C59" s="183"/>
      <c r="D59" s="180"/>
      <c r="E59" s="180"/>
      <c r="H59" s="185" t="s">
        <v>2448</v>
      </c>
      <c r="I59" s="315"/>
      <c r="J59" s="185" t="s">
        <v>1433</v>
      </c>
      <c r="K59" s="185" t="s">
        <v>3300</v>
      </c>
      <c r="L59" s="185"/>
      <c r="M59" s="185"/>
      <c r="N59" s="185"/>
      <c r="O59" s="185"/>
      <c r="P59" s="315"/>
      <c r="Q59" s="4816">
        <v>800</v>
      </c>
      <c r="R59" s="4817"/>
      <c r="S59" s="305"/>
      <c r="T59" s="305"/>
      <c r="U59" s="305"/>
      <c r="AA59" s="523"/>
      <c r="AB59" s="523"/>
    </row>
    <row r="60" spans="1:28" s="293" customFormat="1" ht="11.5" customHeight="1">
      <c r="A60" s="183"/>
      <c r="B60" s="183"/>
      <c r="C60" s="183"/>
      <c r="D60" s="180"/>
      <c r="E60" s="180"/>
      <c r="H60" s="183" t="s">
        <v>2514</v>
      </c>
      <c r="I60" s="180"/>
      <c r="J60" s="183" t="s">
        <v>2447</v>
      </c>
      <c r="K60" s="183"/>
      <c r="L60" s="183"/>
      <c r="M60" s="183"/>
      <c r="N60" s="183"/>
      <c r="O60" s="183"/>
      <c r="P60" s="180"/>
      <c r="Q60" s="4816">
        <v>1500</v>
      </c>
      <c r="R60" s="4817"/>
      <c r="S60" s="305"/>
      <c r="T60" s="305"/>
      <c r="U60" s="305"/>
      <c r="AA60" s="523"/>
      <c r="AB60" s="523"/>
    </row>
    <row r="61" spans="1:28" s="293" customFormat="1" ht="11.5" customHeight="1">
      <c r="A61" s="183"/>
      <c r="B61" s="183"/>
      <c r="C61" s="183"/>
      <c r="D61" s="180"/>
      <c r="E61" s="180"/>
      <c r="F61" s="183" t="s">
        <v>3415</v>
      </c>
      <c r="I61" s="180"/>
      <c r="J61" s="183" t="s">
        <v>3783</v>
      </c>
      <c r="K61" s="183"/>
      <c r="L61" s="183"/>
      <c r="M61" s="183"/>
      <c r="N61" s="183"/>
      <c r="O61" s="183"/>
      <c r="P61" s="180"/>
      <c r="Q61" s="4835">
        <v>750</v>
      </c>
      <c r="R61" s="4836"/>
      <c r="S61" s="305"/>
      <c r="T61" s="305"/>
      <c r="U61" s="305"/>
      <c r="AA61" s="523"/>
      <c r="AB61" s="523"/>
    </row>
    <row r="62" spans="1:28" s="293" customFormat="1" ht="11.5" customHeight="1">
      <c r="A62" s="183"/>
      <c r="B62" s="183"/>
      <c r="C62" s="183"/>
      <c r="D62" s="180"/>
      <c r="E62" s="180"/>
      <c r="F62" s="183" t="s">
        <v>3782</v>
      </c>
      <c r="I62" s="180"/>
      <c r="J62" s="183" t="s">
        <v>1639</v>
      </c>
      <c r="K62" s="183"/>
      <c r="L62" s="183"/>
      <c r="M62" s="183"/>
      <c r="N62" s="183"/>
      <c r="O62" s="183"/>
      <c r="P62" s="180"/>
      <c r="Q62" s="4816">
        <v>3000</v>
      </c>
      <c r="R62" s="4817"/>
      <c r="S62" s="305"/>
      <c r="T62" s="305"/>
      <c r="U62" s="305"/>
      <c r="AA62" s="523"/>
      <c r="AB62" s="523"/>
    </row>
    <row r="63" spans="1:28" s="293" customFormat="1" ht="11.5" customHeight="1">
      <c r="A63" s="183"/>
      <c r="B63" s="185"/>
      <c r="C63" s="183"/>
      <c r="D63" s="180"/>
      <c r="E63" s="180"/>
      <c r="F63" s="183" t="s">
        <v>3058</v>
      </c>
      <c r="I63" s="180"/>
      <c r="J63" s="183" t="s">
        <v>3059</v>
      </c>
      <c r="K63" s="183"/>
      <c r="L63" s="183" t="s">
        <v>2513</v>
      </c>
      <c r="M63" s="183"/>
      <c r="N63" s="183"/>
      <c r="O63" s="183"/>
      <c r="P63" s="180"/>
      <c r="Q63" s="4816">
        <v>75</v>
      </c>
      <c r="R63" s="4817"/>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19">
        <v>27500</v>
      </c>
      <c r="R65" s="4819"/>
    </row>
    <row r="66" spans="1:28" customFormat="1" ht="11.25" customHeight="1">
      <c r="B66" s="27"/>
      <c r="C66" s="27"/>
      <c r="F66" s="160"/>
      <c r="G66" s="27"/>
      <c r="H66" s="1636"/>
      <c r="I66" s="27"/>
      <c r="J66" s="1642">
        <v>51</v>
      </c>
      <c r="K66" s="1644">
        <v>70</v>
      </c>
      <c r="Q66" s="4818">
        <v>22000</v>
      </c>
      <c r="R66" s="4818"/>
    </row>
    <row r="67" spans="1:28" customFormat="1" ht="11.25" customHeight="1">
      <c r="B67" s="27"/>
      <c r="C67" s="27"/>
      <c r="F67" s="160"/>
      <c r="G67" s="27"/>
      <c r="H67" s="1943"/>
      <c r="I67" s="213"/>
      <c r="J67" s="1944">
        <v>71</v>
      </c>
      <c r="K67" s="1945"/>
      <c r="L67" s="1946"/>
      <c r="M67" s="1946"/>
      <c r="N67" s="1946"/>
      <c r="O67" s="1946"/>
      <c r="P67" s="1947"/>
      <c r="Q67" s="4820">
        <v>16500</v>
      </c>
      <c r="R67" s="4820"/>
    </row>
    <row r="68" spans="1:28" customFormat="1" ht="11.25" customHeight="1">
      <c r="B68" s="27"/>
      <c r="C68" s="27"/>
      <c r="F68" s="27"/>
      <c r="G68" s="27"/>
      <c r="H68" s="1948">
        <v>0.04</v>
      </c>
      <c r="I68" s="1949"/>
      <c r="J68" s="1950">
        <v>1</v>
      </c>
      <c r="K68" s="1950">
        <v>50</v>
      </c>
      <c r="L68" s="1951"/>
      <c r="M68" s="1951"/>
      <c r="N68" s="1951"/>
      <c r="O68" s="1951"/>
      <c r="P68" s="1952"/>
      <c r="Q68" s="4819">
        <v>27500</v>
      </c>
      <c r="R68" s="4819"/>
    </row>
    <row r="69" spans="1:28" customFormat="1" ht="11.25" customHeight="1">
      <c r="B69" s="27"/>
      <c r="C69" s="27"/>
      <c r="F69" s="27"/>
      <c r="G69" s="27"/>
      <c r="H69" s="1637"/>
      <c r="I69" s="27"/>
      <c r="J69" s="1642">
        <v>51</v>
      </c>
      <c r="K69" s="1644">
        <v>70</v>
      </c>
      <c r="Q69" s="4818">
        <v>22000</v>
      </c>
      <c r="R69" s="4818"/>
    </row>
    <row r="70" spans="1:28" customFormat="1" ht="11.25" customHeight="1">
      <c r="B70" s="27"/>
      <c r="C70" s="27"/>
      <c r="F70" s="27"/>
      <c r="G70" s="27"/>
      <c r="H70" s="1637"/>
      <c r="I70" s="27"/>
      <c r="J70" s="1642">
        <v>71</v>
      </c>
      <c r="K70" s="1643"/>
      <c r="Q70" s="4820">
        <v>16500</v>
      </c>
      <c r="R70" s="4820"/>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4">
        <v>2000000</v>
      </c>
      <c r="R72" s="4834"/>
    </row>
    <row r="73" spans="1:28" customFormat="1" ht="11.25" customHeight="1">
      <c r="B73" s="27"/>
      <c r="C73" s="27"/>
      <c r="F73" s="27"/>
      <c r="G73" s="27"/>
      <c r="H73" s="1639">
        <v>0.04</v>
      </c>
      <c r="I73" s="1632"/>
      <c r="J73" s="27"/>
      <c r="Q73" s="4834">
        <v>3500000</v>
      </c>
      <c r="R73" s="4834"/>
    </row>
    <row r="74" spans="1:28" customFormat="1"/>
    <row r="75" spans="1:28" s="293" customFormat="1" ht="13">
      <c r="A75" s="183"/>
      <c r="B75" s="183"/>
      <c r="C75" s="183"/>
      <c r="D75" s="180"/>
      <c r="E75" s="180"/>
      <c r="F75" s="183"/>
      <c r="G75" s="183"/>
      <c r="H75" s="183"/>
      <c r="I75" s="180"/>
      <c r="J75" s="183" t="s">
        <v>3041</v>
      </c>
      <c r="K75" s="183"/>
      <c r="L75" s="183"/>
      <c r="M75" s="183"/>
      <c r="N75" s="183"/>
      <c r="O75" s="183"/>
      <c r="P75" s="180"/>
      <c r="Q75" s="4832">
        <v>3500000</v>
      </c>
      <c r="R75" s="4833"/>
      <c r="S75" s="305"/>
      <c r="T75" s="305"/>
      <c r="U75" s="305"/>
      <c r="AA75" s="523"/>
      <c r="AB75" s="523"/>
    </row>
    <row r="76" spans="1:28" s="293" customFormat="1" ht="13" hidden="1">
      <c r="A76" s="183"/>
      <c r="B76" s="183"/>
      <c r="C76" s="183"/>
      <c r="D76" s="180"/>
      <c r="E76" s="180"/>
      <c r="F76" s="183" t="s">
        <v>1595</v>
      </c>
      <c r="G76" s="183"/>
      <c r="H76" s="183" t="s">
        <v>2121</v>
      </c>
      <c r="I76" s="180"/>
      <c r="J76" s="183" t="s">
        <v>912</v>
      </c>
      <c r="K76" s="183"/>
      <c r="L76" s="183"/>
      <c r="M76" s="183"/>
      <c r="N76" s="183"/>
      <c r="O76" s="183"/>
      <c r="P76" s="180"/>
      <c r="Q76" s="4821">
        <v>0.15</v>
      </c>
      <c r="R76" s="4822"/>
      <c r="S76" s="305"/>
      <c r="T76" s="305"/>
      <c r="U76" s="305"/>
      <c r="AA76" s="523"/>
      <c r="AB76" s="523"/>
    </row>
    <row r="77" spans="1:28" s="293" customFormat="1" ht="13" hidden="1">
      <c r="A77" s="183"/>
      <c r="B77" s="409"/>
      <c r="C77" s="183"/>
      <c r="D77" s="180"/>
      <c r="E77" s="180"/>
      <c r="F77" s="183"/>
      <c r="G77" s="183"/>
      <c r="H77" s="183" t="s">
        <v>3165</v>
      </c>
      <c r="I77" s="183" t="s">
        <v>909</v>
      </c>
      <c r="J77" s="183" t="s">
        <v>911</v>
      </c>
      <c r="K77" s="183"/>
      <c r="L77" s="183"/>
      <c r="M77" s="183"/>
      <c r="N77" s="183"/>
      <c r="O77" s="183"/>
      <c r="P77" s="180"/>
      <c r="Q77" s="4821">
        <v>0.15</v>
      </c>
      <c r="R77" s="4822"/>
      <c r="S77" s="305"/>
      <c r="T77" s="305"/>
      <c r="U77" s="305"/>
      <c r="AA77" s="523"/>
      <c r="AB77" s="523"/>
    </row>
    <row r="78" spans="1:28" s="293" customFormat="1" ht="13" hidden="1">
      <c r="A78" s="183"/>
      <c r="B78" s="409"/>
      <c r="C78" s="183"/>
      <c r="D78" s="180"/>
      <c r="E78" s="180"/>
      <c r="F78" s="183"/>
      <c r="G78" s="183"/>
      <c r="H78" s="183"/>
      <c r="I78" s="183" t="s">
        <v>910</v>
      </c>
      <c r="J78" s="183" t="s">
        <v>913</v>
      </c>
      <c r="K78" s="183"/>
      <c r="L78" s="183"/>
      <c r="M78" s="183"/>
      <c r="N78" s="183"/>
      <c r="O78" s="183"/>
      <c r="P78" s="180"/>
      <c r="Q78" s="4821">
        <v>0.15</v>
      </c>
      <c r="R78" s="4822"/>
      <c r="S78" s="305"/>
      <c r="T78" s="305"/>
      <c r="U78" s="305"/>
      <c r="AA78" s="523"/>
      <c r="AB78" s="523"/>
    </row>
    <row r="79" spans="1:28" s="293" customFormat="1" ht="13" hidden="1">
      <c r="A79" s="183"/>
      <c r="B79" s="409"/>
      <c r="C79" s="183"/>
      <c r="D79" s="180"/>
      <c r="E79" s="180"/>
      <c r="F79" s="183"/>
      <c r="G79" s="183"/>
      <c r="H79" s="183" t="s">
        <v>908</v>
      </c>
      <c r="I79" s="180"/>
      <c r="J79" s="183" t="s">
        <v>913</v>
      </c>
      <c r="K79" s="183"/>
      <c r="L79" s="183"/>
      <c r="M79" s="183"/>
      <c r="N79" s="183"/>
      <c r="O79" s="183"/>
      <c r="P79" s="180"/>
      <c r="Q79" s="4821">
        <v>0.15</v>
      </c>
      <c r="R79" s="4822"/>
      <c r="S79" s="305"/>
      <c r="T79" s="305"/>
      <c r="U79" s="305"/>
      <c r="AA79" s="523"/>
      <c r="AB79" s="523"/>
    </row>
    <row r="80" spans="1:28" s="293" customFormat="1" ht="13" hidden="1">
      <c r="A80" s="183"/>
      <c r="B80" s="409"/>
      <c r="C80" s="183"/>
      <c r="D80" s="180"/>
      <c r="E80" s="180"/>
      <c r="F80" s="183"/>
      <c r="G80" s="183"/>
      <c r="H80" s="183"/>
      <c r="I80" s="183" t="s">
        <v>914</v>
      </c>
      <c r="J80" s="183" t="s">
        <v>915</v>
      </c>
      <c r="K80" s="183"/>
      <c r="L80" s="183"/>
      <c r="M80" s="183"/>
      <c r="N80" s="183"/>
      <c r="O80" s="183"/>
      <c r="P80" s="180"/>
      <c r="Q80" s="4821">
        <v>0.15</v>
      </c>
      <c r="R80" s="4822"/>
      <c r="S80" s="305"/>
      <c r="T80" s="305"/>
      <c r="U80" s="305"/>
      <c r="AA80" s="523"/>
      <c r="AB80" s="523"/>
    </row>
    <row r="81" spans="1:28" s="293" customFormat="1" ht="13" hidden="1">
      <c r="A81" s="183"/>
      <c r="B81" s="409"/>
      <c r="C81" s="183"/>
      <c r="D81" s="180"/>
      <c r="E81" s="180"/>
      <c r="F81" s="183" t="s">
        <v>1635</v>
      </c>
      <c r="G81" s="183"/>
      <c r="H81" s="183"/>
      <c r="I81" s="180"/>
      <c r="J81" s="183" t="s">
        <v>2189</v>
      </c>
      <c r="K81" s="183"/>
      <c r="L81" s="183"/>
      <c r="M81" s="183"/>
      <c r="N81" s="183"/>
      <c r="O81" s="183"/>
      <c r="P81" s="180"/>
      <c r="Q81" s="4821">
        <v>0.15</v>
      </c>
      <c r="R81" s="4822"/>
      <c r="S81" s="305"/>
      <c r="T81" s="305"/>
      <c r="U81" s="305"/>
      <c r="AA81" s="523"/>
      <c r="AB81" s="523"/>
    </row>
    <row r="82" spans="1:28" s="293" customFormat="1" ht="13" hidden="1">
      <c r="A82" s="183"/>
      <c r="B82" s="409"/>
      <c r="C82" s="183"/>
      <c r="D82" s="180"/>
      <c r="E82" s="180"/>
      <c r="G82" s="183"/>
      <c r="H82" s="183"/>
      <c r="I82" s="180"/>
      <c r="J82" s="183" t="s">
        <v>2190</v>
      </c>
      <c r="K82" s="183"/>
      <c r="L82" s="183"/>
      <c r="M82" s="183"/>
      <c r="N82" s="183"/>
      <c r="O82" s="183"/>
      <c r="P82" s="180"/>
      <c r="Q82" s="4821" t="s">
        <v>2191</v>
      </c>
      <c r="R82" s="4822"/>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5" customHeight="1">
      <c r="A88" s="183"/>
      <c r="B88" s="185" t="s">
        <v>3087</v>
      </c>
      <c r="C88" s="183"/>
      <c r="D88" s="180"/>
      <c r="E88" s="183"/>
      <c r="F88" s="183"/>
      <c r="G88" s="183"/>
      <c r="H88" s="180"/>
      <c r="I88" s="180"/>
      <c r="J88" s="183" t="s">
        <v>1639</v>
      </c>
      <c r="K88" s="183"/>
      <c r="L88" s="183"/>
      <c r="M88" s="183"/>
      <c r="N88" s="183"/>
      <c r="O88" s="183"/>
      <c r="P88" s="180"/>
      <c r="Q88" s="4816">
        <v>3000</v>
      </c>
      <c r="R88" s="4817"/>
      <c r="S88" s="305"/>
      <c r="T88" s="305"/>
      <c r="U88" s="305"/>
      <c r="AA88" s="523"/>
      <c r="AB88" s="523"/>
    </row>
    <row r="89" spans="1:28" s="293" customFormat="1" ht="11.5" customHeight="1">
      <c r="A89" s="183"/>
      <c r="B89" s="183"/>
      <c r="C89" s="183"/>
      <c r="D89" s="180"/>
      <c r="E89" s="180"/>
      <c r="O89" s="183"/>
      <c r="T89" s="299"/>
      <c r="U89" s="180"/>
      <c r="V89" s="970"/>
      <c r="W89" s="970"/>
      <c r="X89" s="970"/>
      <c r="AA89" s="523"/>
      <c r="AB89" s="523"/>
    </row>
    <row r="90" spans="1:28" s="293" customFormat="1" ht="11.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5" customHeight="1">
      <c r="B94" s="307" t="s">
        <v>2221</v>
      </c>
      <c r="C94" s="151"/>
      <c r="D94" s="151"/>
      <c r="E94" s="151"/>
      <c r="F94" s="151"/>
      <c r="G94" s="151"/>
      <c r="J94" s="308">
        <v>1</v>
      </c>
      <c r="K94" s="308">
        <v>2</v>
      </c>
      <c r="L94" s="308">
        <v>3</v>
      </c>
      <c r="M94" s="308">
        <v>4</v>
      </c>
      <c r="N94" s="308">
        <v>5</v>
      </c>
      <c r="O94" s="308">
        <v>6</v>
      </c>
      <c r="P94" s="308">
        <v>7</v>
      </c>
      <c r="Q94" s="308">
        <v>8</v>
      </c>
    </row>
    <row r="95" spans="1:28" ht="11.15"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5" customHeight="1">
      <c r="A96" s="183"/>
      <c r="B96" s="183" t="s">
        <v>1641</v>
      </c>
      <c r="C96" s="183"/>
      <c r="D96" s="183"/>
      <c r="E96" s="183"/>
      <c r="F96" s="183"/>
      <c r="G96" s="183"/>
      <c r="H96" s="183"/>
      <c r="J96" s="183" t="s">
        <v>1642</v>
      </c>
      <c r="K96" s="183"/>
      <c r="L96" s="183"/>
      <c r="M96" s="183"/>
      <c r="N96" s="183"/>
      <c r="O96" s="183"/>
      <c r="Q96" s="4811">
        <v>0.02</v>
      </c>
      <c r="R96" s="4811"/>
      <c r="AA96" s="523"/>
      <c r="AB96" s="523"/>
    </row>
    <row r="97" spans="1:28" s="305" customFormat="1" ht="11.5" customHeight="1">
      <c r="A97" s="183"/>
      <c r="B97" s="183" t="s">
        <v>1643</v>
      </c>
      <c r="C97" s="183"/>
      <c r="D97" s="183"/>
      <c r="E97" s="183"/>
      <c r="F97" s="183"/>
      <c r="G97" s="183"/>
      <c r="H97" s="183"/>
      <c r="J97" s="183" t="s">
        <v>1642</v>
      </c>
      <c r="K97" s="183"/>
      <c r="L97" s="183"/>
      <c r="M97" s="183"/>
      <c r="N97" s="183"/>
      <c r="O97" s="183"/>
      <c r="Q97" s="4810">
        <v>7.0000000000000007E-2</v>
      </c>
      <c r="R97" s="4810"/>
      <c r="AA97" s="523"/>
      <c r="AB97" s="523"/>
    </row>
    <row r="98" spans="1:28" s="305" customFormat="1" ht="11.5" customHeight="1">
      <c r="A98" s="183"/>
      <c r="B98" s="183" t="s">
        <v>1644</v>
      </c>
      <c r="C98" s="183"/>
      <c r="D98" s="183"/>
      <c r="E98" s="183"/>
      <c r="F98" s="183"/>
      <c r="G98" s="183"/>
      <c r="H98" s="183"/>
      <c r="J98" s="183" t="s">
        <v>1642</v>
      </c>
      <c r="K98" s="183"/>
      <c r="L98" s="183"/>
      <c r="M98" s="183"/>
      <c r="N98" s="183"/>
      <c r="O98" s="183"/>
      <c r="Q98" s="4810">
        <v>7.0000000000000007E-2</v>
      </c>
      <c r="R98" s="4810"/>
      <c r="AA98" s="523"/>
      <c r="AB98" s="523"/>
    </row>
    <row r="99" spans="1:28" s="293" customFormat="1" ht="11.5" customHeight="1">
      <c r="A99" s="183"/>
      <c r="B99" s="183" t="s">
        <v>128</v>
      </c>
      <c r="C99" s="183"/>
      <c r="D99" s="180"/>
      <c r="E99" s="180"/>
      <c r="F99" s="180"/>
      <c r="G99" s="183"/>
      <c r="H99" s="180"/>
      <c r="I99" s="180"/>
      <c r="J99" s="183" t="s">
        <v>1642</v>
      </c>
      <c r="K99" s="183"/>
      <c r="L99" s="183"/>
      <c r="M99" s="183"/>
      <c r="N99" s="183"/>
      <c r="O99" s="183"/>
      <c r="P99" s="180"/>
      <c r="Q99" s="4810">
        <v>0.03</v>
      </c>
      <c r="R99" s="4810"/>
      <c r="S99" s="305"/>
      <c r="T99" s="305"/>
      <c r="U99" s="305"/>
      <c r="AA99" s="523"/>
      <c r="AB99" s="523"/>
    </row>
    <row r="100" spans="1:28" s="293" customFormat="1" ht="11.5" customHeight="1">
      <c r="A100" s="183"/>
      <c r="B100" s="183" t="s">
        <v>129</v>
      </c>
      <c r="C100" s="183"/>
      <c r="D100" s="180"/>
      <c r="E100" s="180"/>
      <c r="F100" s="180"/>
      <c r="G100" s="183"/>
      <c r="H100" s="180"/>
      <c r="I100" s="180"/>
      <c r="J100" s="183" t="s">
        <v>1642</v>
      </c>
      <c r="K100" s="183"/>
      <c r="L100" s="183"/>
      <c r="M100" s="183"/>
      <c r="N100" s="183"/>
      <c r="O100" s="183"/>
      <c r="P100" s="180"/>
      <c r="Q100" s="4810">
        <v>0.03</v>
      </c>
      <c r="R100" s="4810"/>
      <c r="S100" s="305"/>
      <c r="T100" s="305"/>
      <c r="U100" s="305"/>
      <c r="AA100" s="523"/>
      <c r="AB100" s="523"/>
    </row>
    <row r="101" spans="1:28" s="293" customFormat="1" ht="11.5" customHeight="1">
      <c r="A101" s="183"/>
      <c r="B101" s="183" t="s">
        <v>130</v>
      </c>
      <c r="C101" s="183"/>
      <c r="D101" s="180"/>
      <c r="E101" s="180"/>
      <c r="F101" s="180"/>
      <c r="G101" s="183"/>
      <c r="H101" s="180"/>
      <c r="I101" s="180"/>
      <c r="J101" s="183" t="s">
        <v>1642</v>
      </c>
      <c r="K101" s="183"/>
      <c r="L101" s="183"/>
      <c r="M101" s="183"/>
      <c r="N101" s="183"/>
      <c r="O101" s="183"/>
      <c r="P101" s="180"/>
      <c r="Q101" s="4803">
        <v>0</v>
      </c>
      <c r="R101" s="4803"/>
      <c r="S101" s="305"/>
      <c r="T101" s="305"/>
      <c r="U101" s="305"/>
      <c r="AA101" s="523"/>
      <c r="AB101" s="523"/>
    </row>
    <row r="102" spans="1:28" s="293" customFormat="1" ht="4.4000000000000004"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5" customHeight="1">
      <c r="A103" s="298" t="s">
        <v>2444</v>
      </c>
      <c r="B103" s="183"/>
      <c r="C103" s="183"/>
      <c r="D103" s="180"/>
      <c r="E103" s="180"/>
      <c r="F103" s="183" t="s">
        <v>478</v>
      </c>
      <c r="G103" s="183" t="s">
        <v>2394</v>
      </c>
      <c r="I103" s="180"/>
      <c r="J103" s="183" t="s">
        <v>2446</v>
      </c>
      <c r="K103" s="183"/>
      <c r="L103" s="183"/>
      <c r="M103" s="183"/>
      <c r="N103" s="183"/>
      <c r="O103" s="183"/>
      <c r="P103" s="180"/>
      <c r="Q103" s="4811">
        <v>0.1</v>
      </c>
      <c r="R103" s="4811"/>
      <c r="S103" s="180"/>
      <c r="T103" s="180"/>
      <c r="U103" s="180"/>
      <c r="V103" s="916"/>
      <c r="W103" s="916"/>
      <c r="X103" s="184"/>
      <c r="AA103" s="523"/>
      <c r="AB103" s="523"/>
    </row>
    <row r="104" spans="1:28" s="293" customFormat="1" ht="11.5" customHeight="1">
      <c r="A104" s="298"/>
      <c r="B104" s="183"/>
      <c r="C104" s="183"/>
      <c r="D104" s="180"/>
      <c r="E104" s="180"/>
      <c r="F104" s="183"/>
      <c r="G104" s="183" t="s">
        <v>3309</v>
      </c>
      <c r="I104" s="180"/>
      <c r="J104" s="183" t="s">
        <v>3310</v>
      </c>
      <c r="K104" s="183"/>
      <c r="L104" s="183"/>
      <c r="M104" s="183"/>
      <c r="N104" s="183"/>
      <c r="O104" s="183"/>
      <c r="P104" s="180"/>
      <c r="Q104" s="4812">
        <v>1150000</v>
      </c>
      <c r="R104" s="4812"/>
      <c r="S104" s="180"/>
      <c r="T104" s="180"/>
      <c r="U104" s="180"/>
      <c r="V104" s="916"/>
      <c r="W104" s="916"/>
      <c r="X104" s="184"/>
      <c r="AA104" s="523"/>
      <c r="AB104" s="523"/>
    </row>
    <row r="105" spans="1:28" s="293" customFormat="1" ht="11.5" customHeight="1">
      <c r="A105" s="183"/>
      <c r="B105" s="183"/>
      <c r="C105" s="183"/>
      <c r="D105" s="180"/>
      <c r="E105" s="180"/>
      <c r="F105" s="183"/>
      <c r="G105" s="183" t="s">
        <v>6511</v>
      </c>
      <c r="H105" s="183" t="s">
        <v>6104</v>
      </c>
      <c r="J105" s="183" t="s">
        <v>6522</v>
      </c>
      <c r="K105" s="183"/>
      <c r="L105" s="183"/>
      <c r="M105" s="183"/>
      <c r="O105" s="183" t="s">
        <v>6516</v>
      </c>
      <c r="P105" s="180"/>
      <c r="Q105" s="4812">
        <v>1150000</v>
      </c>
      <c r="R105" s="4812"/>
      <c r="S105" s="299"/>
      <c r="T105" s="299"/>
      <c r="U105" s="180"/>
      <c r="V105" s="970"/>
      <c r="W105" s="970"/>
      <c r="X105" s="970"/>
      <c r="AA105" s="523"/>
      <c r="AB105" s="523"/>
    </row>
    <row r="106" spans="1:28" s="293" customFormat="1" ht="11.5" customHeight="1">
      <c r="A106" s="183"/>
      <c r="B106" s="183"/>
      <c r="C106" s="183"/>
      <c r="D106" s="180"/>
      <c r="E106" s="180"/>
      <c r="F106" s="183"/>
      <c r="G106" s="183"/>
      <c r="H106" s="183" t="s">
        <v>6514</v>
      </c>
      <c r="I106" s="180"/>
      <c r="J106" s="183" t="s">
        <v>6522</v>
      </c>
      <c r="K106" s="183"/>
      <c r="O106" s="183" t="s">
        <v>6517</v>
      </c>
      <c r="Q106" s="4812">
        <v>1035000</v>
      </c>
      <c r="R106" s="4812"/>
      <c r="S106" s="299"/>
      <c r="T106" s="299"/>
      <c r="U106" s="180"/>
      <c r="V106" s="970"/>
      <c r="W106" s="970"/>
      <c r="X106" s="970"/>
      <c r="AA106" s="523"/>
      <c r="AB106" s="523"/>
    </row>
    <row r="107" spans="1:28" s="293" customFormat="1" ht="11.5" customHeight="1">
      <c r="A107" s="183"/>
      <c r="B107" s="183"/>
      <c r="C107" s="183"/>
      <c r="D107" s="180"/>
      <c r="E107" s="180"/>
      <c r="F107" s="183"/>
      <c r="G107" s="183"/>
      <c r="H107" s="183" t="s">
        <v>6512</v>
      </c>
      <c r="I107" s="180"/>
      <c r="J107" s="183" t="s">
        <v>6522</v>
      </c>
      <c r="K107" s="183"/>
      <c r="O107" s="183" t="s">
        <v>6516</v>
      </c>
      <c r="Q107" s="4830">
        <v>1035000</v>
      </c>
      <c r="R107" s="4831"/>
      <c r="S107" s="299"/>
      <c r="T107" s="299"/>
      <c r="U107" s="180"/>
      <c r="V107" s="970"/>
      <c r="W107" s="970"/>
      <c r="X107" s="970"/>
      <c r="AA107" s="523"/>
      <c r="AB107" s="523"/>
    </row>
    <row r="108" spans="1:28" s="293" customFormat="1" ht="11.5" customHeight="1">
      <c r="A108" s="183"/>
      <c r="B108" s="183"/>
      <c r="C108" s="183"/>
      <c r="D108" s="180"/>
      <c r="E108" s="180"/>
      <c r="F108" s="183"/>
      <c r="G108" s="183" t="s">
        <v>3775</v>
      </c>
      <c r="I108" s="180"/>
      <c r="J108" s="183" t="s">
        <v>6522</v>
      </c>
      <c r="K108" s="183"/>
      <c r="L108" s="183"/>
      <c r="M108" s="183"/>
      <c r="O108" s="183" t="s">
        <v>6518</v>
      </c>
      <c r="P108" s="180"/>
      <c r="Q108" s="4825">
        <v>1150000</v>
      </c>
      <c r="R108" s="4825"/>
      <c r="S108" s="299"/>
      <c r="T108" s="299"/>
      <c r="U108" s="180"/>
      <c r="V108" s="970"/>
      <c r="W108" s="970"/>
      <c r="X108" s="970"/>
      <c r="AA108" s="523"/>
      <c r="AB108" s="523"/>
    </row>
    <row r="109" spans="1:28" s="293" customFormat="1" ht="11.5" customHeight="1">
      <c r="A109" s="183"/>
      <c r="B109" s="183"/>
      <c r="C109" s="183"/>
      <c r="D109" s="180"/>
      <c r="E109" s="180"/>
      <c r="G109" s="183" t="s">
        <v>6521</v>
      </c>
      <c r="H109" s="183"/>
      <c r="I109" s="180"/>
      <c r="J109" s="183" t="s">
        <v>6523</v>
      </c>
      <c r="K109" s="183"/>
      <c r="L109" s="183"/>
      <c r="M109" s="183"/>
      <c r="N109" s="183"/>
      <c r="O109" s="183"/>
      <c r="P109" s="180"/>
      <c r="Q109" s="4826"/>
      <c r="R109" s="4827"/>
      <c r="S109" s="299"/>
      <c r="T109" s="299"/>
      <c r="U109" s="180"/>
      <c r="V109" s="970"/>
      <c r="W109" s="970"/>
      <c r="X109" s="970"/>
      <c r="AA109" s="523"/>
      <c r="AB109" s="523"/>
    </row>
    <row r="110" spans="1:28" s="293" customFormat="1" ht="11.5" customHeight="1">
      <c r="A110" s="183"/>
      <c r="B110" s="183"/>
      <c r="C110" s="183"/>
      <c r="D110" s="180"/>
      <c r="E110" s="180"/>
      <c r="F110" s="183" t="s">
        <v>2219</v>
      </c>
      <c r="G110" s="183" t="s">
        <v>2445</v>
      </c>
      <c r="I110" s="180"/>
      <c r="J110" s="183" t="s">
        <v>3316</v>
      </c>
      <c r="K110" s="183"/>
      <c r="L110" s="183"/>
      <c r="M110" s="183"/>
      <c r="N110" s="183"/>
      <c r="O110" s="183"/>
      <c r="P110" s="180"/>
      <c r="Q110" s="4823">
        <v>4000000</v>
      </c>
      <c r="R110" s="4823"/>
      <c r="S110" s="299"/>
      <c r="T110" s="299"/>
      <c r="U110" s="180"/>
      <c r="V110" s="970"/>
      <c r="W110" s="970"/>
      <c r="X110" s="970"/>
      <c r="AA110" s="523"/>
      <c r="AB110" s="523"/>
    </row>
    <row r="111" spans="1:28" s="293" customFormat="1" ht="11.5" customHeight="1">
      <c r="A111" s="183"/>
      <c r="B111" s="183"/>
      <c r="C111" s="183"/>
      <c r="D111" s="180"/>
      <c r="E111" s="180"/>
      <c r="F111" s="183"/>
      <c r="G111" s="183" t="s">
        <v>6520</v>
      </c>
      <c r="H111" s="180"/>
      <c r="I111" s="180"/>
      <c r="J111" s="183" t="s">
        <v>6522</v>
      </c>
      <c r="K111" s="183"/>
      <c r="O111" s="183" t="s">
        <v>6516</v>
      </c>
      <c r="Q111" s="4828">
        <v>1035000</v>
      </c>
      <c r="R111" s="4829"/>
      <c r="S111" s="299"/>
      <c r="T111" s="299"/>
      <c r="U111" s="180"/>
      <c r="V111" s="970"/>
      <c r="W111" s="970"/>
      <c r="X111" s="970"/>
      <c r="AA111" s="523"/>
      <c r="AB111" s="523"/>
    </row>
    <row r="112" spans="1:28" ht="12.75" customHeight="1">
      <c r="A112" s="298" t="s">
        <v>2512</v>
      </c>
      <c r="J112" s="183" t="s">
        <v>2446</v>
      </c>
      <c r="Q112" s="4804" t="s">
        <v>6107</v>
      </c>
      <c r="R112" s="4804"/>
    </row>
    <row r="113" spans="1:28" ht="11.25" customHeight="1">
      <c r="F113" s="183" t="s">
        <v>2393</v>
      </c>
      <c r="G113" s="183"/>
      <c r="H113" s="183" t="s">
        <v>6106</v>
      </c>
      <c r="I113" s="180"/>
      <c r="J113" s="4811">
        <v>0.35</v>
      </c>
      <c r="K113" s="4811"/>
      <c r="L113" s="183"/>
      <c r="M113" s="183"/>
      <c r="N113" s="183"/>
      <c r="O113" s="183"/>
      <c r="P113" s="180"/>
      <c r="Q113" s="4823">
        <v>1035000</v>
      </c>
      <c r="R113" s="4823"/>
    </row>
    <row r="114" spans="1:28" ht="11.25" customHeight="1">
      <c r="A114" s="298"/>
      <c r="F114" s="183" t="s">
        <v>6105</v>
      </c>
      <c r="G114" s="183"/>
      <c r="H114" s="183" t="s">
        <v>6106</v>
      </c>
      <c r="I114" s="180"/>
      <c r="J114" s="4810">
        <v>0.35</v>
      </c>
      <c r="K114" s="4810"/>
      <c r="L114" s="183"/>
      <c r="M114" s="183"/>
      <c r="N114" s="183"/>
      <c r="O114" s="183"/>
      <c r="P114" s="180"/>
      <c r="Q114" s="4812">
        <v>1150000</v>
      </c>
      <c r="R114" s="4812"/>
    </row>
    <row r="115" spans="1:28" s="293" customFormat="1" ht="11.25" customHeight="1">
      <c r="A115" s="298"/>
      <c r="B115" s="183"/>
      <c r="C115" s="183"/>
      <c r="D115" s="180"/>
      <c r="E115" s="180"/>
      <c r="F115" s="183" t="s">
        <v>3023</v>
      </c>
      <c r="G115" s="183"/>
      <c r="H115" s="183" t="s">
        <v>6106</v>
      </c>
      <c r="I115" s="180"/>
      <c r="J115" s="4803">
        <v>0.3</v>
      </c>
      <c r="K115" s="4803"/>
      <c r="L115" s="183"/>
      <c r="M115" s="183"/>
      <c r="N115" s="183"/>
      <c r="O115" s="183"/>
      <c r="P115" s="180"/>
      <c r="Q115" s="4824">
        <v>1150000</v>
      </c>
      <c r="R115" s="4824"/>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11">
        <v>0.05</v>
      </c>
      <c r="R117" s="4811"/>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10">
        <v>0.4</v>
      </c>
      <c r="R118" s="4810"/>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03">
        <v>0.02</v>
      </c>
      <c r="R119" s="4803"/>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4" customHeight="1">
      <c r="C121" s="183"/>
      <c r="D121" s="180"/>
      <c r="E121" s="309"/>
      <c r="F121" s="309"/>
      <c r="G121" s="309"/>
      <c r="H121" s="309"/>
      <c r="I121" s="309"/>
    </row>
    <row r="122" spans="1:28" ht="13">
      <c r="C122" s="183"/>
      <c r="D122" s="180"/>
      <c r="J122" s="406" t="s">
        <v>748</v>
      </c>
      <c r="K122" s="406"/>
      <c r="L122" s="291"/>
    </row>
    <row r="123" spans="1:28" ht="13">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3" t="s">
        <v>3404</v>
      </c>
      <c r="E132" s="305"/>
      <c r="F132" s="305"/>
    </row>
    <row r="133" spans="2:37" ht="10.5" customHeight="1">
      <c r="C133" s="4813"/>
      <c r="E133" s="305"/>
      <c r="F133" s="305"/>
    </row>
    <row r="134" spans="2:37" ht="10.5" customHeight="1">
      <c r="C134" s="4813"/>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6731</v>
      </c>
      <c r="J139" s="996" t="s">
        <v>2401</v>
      </c>
      <c r="K139" s="994" t="s">
        <v>6732</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6733</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6733</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6734</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6735</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6733</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6736</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6733</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6733</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6733</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6735</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6733</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6734</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6733</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6733</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6733</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6733</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6733</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6733</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6733</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6736</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6733</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6733</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6737</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6733</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6734</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6738</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6736</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6735</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6736</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6733</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6733</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6739</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6733</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6733</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6735</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6733</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6733</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6740</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6741</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6734</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6733</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05">
        <v>2019</v>
      </c>
      <c r="D297" s="4806"/>
      <c r="E297" s="4806"/>
      <c r="F297" s="4806"/>
      <c r="G297" s="4805">
        <v>2020</v>
      </c>
      <c r="H297" s="4805"/>
      <c r="I297" s="4805"/>
      <c r="J297" s="4805"/>
      <c r="K297"/>
      <c r="L297" s="4807" t="s">
        <v>4062</v>
      </c>
      <c r="M297" s="4808"/>
      <c r="N297" s="4808"/>
      <c r="O297" s="4809"/>
      <c r="P297" s="568" t="s">
        <v>740</v>
      </c>
      <c r="Q297" s="313"/>
      <c r="R297" s="183"/>
      <c r="S297" s="414"/>
      <c r="T297" s="569" t="s">
        <v>643</v>
      </c>
      <c r="U297" s="569" t="s">
        <v>2021</v>
      </c>
      <c r="W297" s="457" t="s">
        <v>1362</v>
      </c>
      <c r="X297" s="457" t="s">
        <v>3020</v>
      </c>
      <c r="AA297" s="27"/>
      <c r="AB297" s="27"/>
      <c r="AC297" s="911"/>
      <c r="AD297" s="523"/>
    </row>
    <row r="298" spans="3:30" ht="10.5" customHeight="1">
      <c r="C298" s="4814" t="s">
        <v>3966</v>
      </c>
      <c r="D298" s="4815" t="s">
        <v>3967</v>
      </c>
      <c r="E298" s="4815" t="s">
        <v>3968</v>
      </c>
      <c r="F298" s="4815" t="s">
        <v>3969</v>
      </c>
      <c r="G298" s="4814" t="s">
        <v>3966</v>
      </c>
      <c r="H298" s="4815" t="s">
        <v>3967</v>
      </c>
      <c r="I298" s="4815" t="s">
        <v>3968</v>
      </c>
      <c r="J298" s="4815" t="s">
        <v>3969</v>
      </c>
      <c r="K298"/>
      <c r="L298" s="4814" t="s">
        <v>3966</v>
      </c>
      <c r="M298" s="4815" t="s">
        <v>3967</v>
      </c>
      <c r="N298" s="4815" t="s">
        <v>3968</v>
      </c>
      <c r="O298" s="4815"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14"/>
      <c r="D299" s="4815"/>
      <c r="E299" s="4815"/>
      <c r="F299" s="4815"/>
      <c r="G299" s="4814"/>
      <c r="H299" s="4815"/>
      <c r="I299" s="4815"/>
      <c r="J299" s="4815"/>
      <c r="K299"/>
      <c r="L299" s="4814"/>
      <c r="M299" s="4815"/>
      <c r="N299" s="4815"/>
      <c r="O299" s="4815"/>
      <c r="P299" s="568" t="s">
        <v>2229</v>
      </c>
      <c r="Q299" s="313"/>
      <c r="R299" s="183"/>
      <c r="S299" s="414"/>
      <c r="T299" s="515" t="s">
        <v>189</v>
      </c>
      <c r="U299" s="515" t="s">
        <v>585</v>
      </c>
      <c r="W299" s="457" t="s">
        <v>1968</v>
      </c>
      <c r="X299" s="457" t="s">
        <v>3020</v>
      </c>
      <c r="AA299" s="27"/>
      <c r="AB299" s="27"/>
      <c r="AC299" s="911"/>
      <c r="AD299" s="523"/>
    </row>
    <row r="300" spans="3:30" ht="10.5" customHeight="1">
      <c r="C300" s="4814"/>
      <c r="D300" s="4815"/>
      <c r="E300" s="4815"/>
      <c r="F300" s="4815"/>
      <c r="G300" s="4814"/>
      <c r="H300" s="4815"/>
      <c r="I300" s="4815"/>
      <c r="J300" s="4815"/>
      <c r="K300"/>
      <c r="L300" s="4814"/>
      <c r="M300" s="4815"/>
      <c r="N300" s="4815"/>
      <c r="O300" s="4815"/>
      <c r="P300" s="568" t="s">
        <v>2231</v>
      </c>
      <c r="Q300" s="313"/>
      <c r="R300" s="183"/>
      <c r="S300" s="414"/>
      <c r="T300" s="515" t="s">
        <v>2366</v>
      </c>
      <c r="U300" s="515" t="s">
        <v>1865</v>
      </c>
      <c r="W300" s="457" t="s">
        <v>1970</v>
      </c>
      <c r="X300" s="457" t="s">
        <v>3020</v>
      </c>
      <c r="AA300" s="27"/>
      <c r="AB300" s="27"/>
      <c r="AC300" s="911"/>
      <c r="AD300" s="523"/>
    </row>
    <row r="301" spans="3:30" ht="10.5" customHeight="1">
      <c r="C301" s="4814"/>
      <c r="D301" s="4815"/>
      <c r="E301" s="4815"/>
      <c r="F301" s="4815"/>
      <c r="G301" s="4814"/>
      <c r="H301" s="4815"/>
      <c r="I301" s="4815"/>
      <c r="J301" s="4815"/>
      <c r="K301"/>
      <c r="L301" s="4814"/>
      <c r="M301" s="4815"/>
      <c r="N301" s="4815"/>
      <c r="O301" s="4815"/>
      <c r="P301" s="568" t="s">
        <v>2233</v>
      </c>
      <c r="Q301" s="313"/>
      <c r="R301" s="183"/>
      <c r="S301" s="414"/>
      <c r="T301" s="515" t="s">
        <v>737</v>
      </c>
      <c r="U301" s="515" t="s">
        <v>100</v>
      </c>
      <c r="W301" s="457" t="s">
        <v>1353</v>
      </c>
      <c r="X301" s="457" t="s">
        <v>3020</v>
      </c>
      <c r="AA301" s="27"/>
      <c r="AB301" s="27"/>
      <c r="AC301" s="911"/>
      <c r="AD301" s="523"/>
    </row>
    <row r="302" spans="3:30" ht="10.5" customHeight="1">
      <c r="C302" s="4814"/>
      <c r="D302" s="4815"/>
      <c r="E302" s="4815"/>
      <c r="F302" s="4815"/>
      <c r="G302" s="4814"/>
      <c r="H302" s="4815"/>
      <c r="I302" s="4815"/>
      <c r="J302" s="4815"/>
      <c r="K302"/>
      <c r="L302" s="4814"/>
      <c r="M302" s="4815"/>
      <c r="N302" s="4815"/>
      <c r="O302" s="4815"/>
      <c r="P302" s="568" t="s">
        <v>2234</v>
      </c>
      <c r="Q302" s="313"/>
      <c r="R302" s="183"/>
      <c r="S302" s="414"/>
      <c r="T302" s="515" t="s">
        <v>739</v>
      </c>
      <c r="U302" s="515" t="s">
        <v>116</v>
      </c>
      <c r="W302" s="457" t="s">
        <v>1454</v>
      </c>
      <c r="X302" s="457" t="s">
        <v>3020</v>
      </c>
      <c r="AA302" s="27"/>
      <c r="AB302" s="27"/>
      <c r="AC302" s="911"/>
      <c r="AD302" s="523"/>
    </row>
    <row r="303" spans="3:30" ht="10.5" customHeight="1">
      <c r="C303" s="4814"/>
      <c r="D303" s="4815"/>
      <c r="E303" s="4815"/>
      <c r="F303" s="4815"/>
      <c r="G303" s="4814"/>
      <c r="H303" s="4815"/>
      <c r="I303" s="4815"/>
      <c r="J303" s="4815"/>
      <c r="K303"/>
      <c r="L303" s="4814"/>
      <c r="M303" s="4815"/>
      <c r="N303" s="4815"/>
      <c r="O303" s="4815"/>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6094</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796875" defaultRowHeight="13"/>
  <cols>
    <col min="1" max="1" width="2.81640625" style="332" customWidth="1"/>
    <col min="2" max="4" width="1.81640625" style="332" customWidth="1"/>
    <col min="5" max="5" width="14.81640625" style="332" customWidth="1"/>
    <col min="6" max="6" width="6.1796875" style="332" customWidth="1"/>
    <col min="7" max="7" width="2.81640625" style="332" customWidth="1"/>
    <col min="8" max="8" width="8" style="332" customWidth="1"/>
    <col min="9" max="9" width="6.1796875" style="332" customWidth="1"/>
    <col min="10" max="10" width="8.1796875" style="332" customWidth="1"/>
    <col min="11" max="11" width="9.81640625" style="332" customWidth="1"/>
    <col min="12" max="13" width="8.81640625" style="332" customWidth="1"/>
    <col min="14" max="14" width="9.453125" style="332" customWidth="1"/>
    <col min="15" max="15" width="9.81640625" style="332" customWidth="1"/>
    <col min="16" max="19" width="6.1796875" style="332" customWidth="1"/>
    <col min="20" max="24" width="11.54296875" style="332" customWidth="1"/>
    <col min="25" max="25" width="9.1796875" style="332"/>
    <col min="26" max="26" width="9.1796875" style="2247"/>
    <col min="27" max="16384" width="9.179687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5" customHeight="1">
      <c r="A2" s="3466" t="str">
        <f>CONCATENATE("PART TWO - DEVELOPMENT TEAM INFORMATION","  -  ",'Part I-Project Identification'!$O$7," ",'Part I-Project Identification'!$F$29,", ",'Part I-Project Identification'!F30,", ",'Part I-Project Identification'!J30," County")</f>
        <v>PART TWO - DEVELOPMENT TEAM INFORMATION  -  2022-0 Villa Rica Senior, Villa Rica, Carroll County</v>
      </c>
      <c r="B2" s="3467"/>
      <c r="C2" s="3467"/>
      <c r="D2" s="3467"/>
      <c r="E2" s="3467"/>
      <c r="F2" s="3467"/>
      <c r="G2" s="3467"/>
      <c r="H2" s="3467"/>
      <c r="I2" s="3467"/>
      <c r="J2" s="3467"/>
      <c r="K2" s="3467"/>
      <c r="L2" s="3467"/>
      <c r="M2" s="3467"/>
      <c r="N2" s="3467"/>
      <c r="O2" s="3467"/>
      <c r="P2" s="3467"/>
      <c r="Q2" s="3467"/>
      <c r="R2" s="3467"/>
      <c r="S2" s="3468"/>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4" customHeight="1" thickBot="1">
      <c r="A4" s="317" t="s">
        <v>573</v>
      </c>
      <c r="B4" s="321" t="s">
        <v>1722</v>
      </c>
      <c r="C4" s="321"/>
      <c r="E4" s="321"/>
      <c r="F4" s="321"/>
      <c r="G4" s="321"/>
      <c r="H4" s="1257" t="s">
        <v>3463</v>
      </c>
      <c r="O4" s="3469" t="str">
        <f>'Part I-Project Identification'!$A$6</f>
        <v>May 12 2022 Core Application</v>
      </c>
      <c r="P4" s="3470"/>
      <c r="Q4" s="3470"/>
      <c r="R4" s="3470"/>
      <c r="S4" s="3471"/>
      <c r="Z4" s="2246">
        <v>4</v>
      </c>
    </row>
    <row r="5" spans="1:27" s="315" customFormat="1" ht="8.5" customHeight="1">
      <c r="A5" s="317"/>
      <c r="B5" s="317"/>
      <c r="C5" s="317"/>
      <c r="D5" s="321"/>
      <c r="E5" s="321"/>
      <c r="F5" s="321"/>
      <c r="G5" s="321"/>
      <c r="H5" s="321"/>
      <c r="I5" s="321"/>
      <c r="J5" s="321"/>
      <c r="Z5" s="2246">
        <v>5</v>
      </c>
    </row>
    <row r="6" spans="1:27" s="315" customFormat="1" ht="11.25" customHeight="1">
      <c r="B6" s="317" t="s">
        <v>1842</v>
      </c>
      <c r="C6" s="321" t="s">
        <v>1718</v>
      </c>
      <c r="H6" s="3337" t="s">
        <v>87</v>
      </c>
      <c r="I6" s="3389"/>
      <c r="J6" s="3389"/>
      <c r="K6" s="3389"/>
      <c r="L6" s="3389"/>
      <c r="M6" s="3389"/>
      <c r="N6" s="3390"/>
      <c r="O6" s="343" t="s">
        <v>1848</v>
      </c>
      <c r="P6" s="343"/>
      <c r="Q6" s="3337"/>
      <c r="R6" s="3389"/>
      <c r="S6" s="3390"/>
      <c r="Y6" s="1066"/>
      <c r="Z6" s="2246">
        <v>6</v>
      </c>
      <c r="AA6" s="1065"/>
    </row>
    <row r="7" spans="1:27" s="315" customFormat="1" ht="11.25" customHeight="1">
      <c r="D7" s="344"/>
      <c r="E7" s="320" t="s">
        <v>958</v>
      </c>
      <c r="F7" s="328"/>
      <c r="H7" s="3328"/>
      <c r="I7" s="3456"/>
      <c r="J7" s="3456"/>
      <c r="K7" s="3457"/>
      <c r="L7" s="3456"/>
      <c r="M7" s="3456"/>
      <c r="N7" s="3458"/>
      <c r="O7" s="343" t="s">
        <v>1625</v>
      </c>
      <c r="P7" s="345"/>
      <c r="Q7" s="3459"/>
      <c r="R7" s="3460"/>
      <c r="S7" s="3461"/>
      <c r="V7" s="1066"/>
      <c r="W7" s="1066"/>
      <c r="X7" s="1066"/>
      <c r="Y7" s="1066"/>
      <c r="Z7" s="2246">
        <v>7</v>
      </c>
      <c r="AA7" s="1065"/>
    </row>
    <row r="8" spans="1:27" s="315" customFormat="1" ht="11.25" customHeight="1">
      <c r="D8" s="344"/>
      <c r="E8" s="320" t="s">
        <v>575</v>
      </c>
      <c r="H8" s="3328"/>
      <c r="I8" s="3457"/>
      <c r="J8" s="3385"/>
      <c r="K8" s="439" t="s">
        <v>710</v>
      </c>
      <c r="L8" s="3310"/>
      <c r="M8" s="3456"/>
      <c r="N8" s="3458"/>
      <c r="O8" s="343" t="s">
        <v>1601</v>
      </c>
      <c r="P8" s="345"/>
      <c r="Q8" s="3462"/>
      <c r="R8" s="3463"/>
      <c r="S8" s="3464"/>
      <c r="Z8" s="2246">
        <v>8</v>
      </c>
    </row>
    <row r="9" spans="1:27" s="315" customFormat="1" ht="11.25" customHeight="1">
      <c r="D9" s="344"/>
      <c r="E9" s="320" t="s">
        <v>1672</v>
      </c>
      <c r="H9" s="1270"/>
      <c r="I9" s="861" t="s">
        <v>2062</v>
      </c>
      <c r="J9" s="3472"/>
      <c r="K9" s="3473"/>
      <c r="L9" s="345" t="s">
        <v>3197</v>
      </c>
      <c r="M9" s="3474"/>
      <c r="N9" s="3475"/>
      <c r="O9" s="343" t="s">
        <v>1838</v>
      </c>
      <c r="P9" s="345"/>
      <c r="Q9" s="3462"/>
      <c r="R9" s="3463"/>
      <c r="S9" s="3464"/>
      <c r="Z9" s="2246">
        <v>9</v>
      </c>
    </row>
    <row r="10" spans="1:27" s="315" customFormat="1" ht="11.25" customHeight="1">
      <c r="D10" s="344"/>
      <c r="E10" s="320" t="s">
        <v>3464</v>
      </c>
      <c r="H10" s="3453"/>
      <c r="I10" s="3476"/>
      <c r="J10" s="909"/>
      <c r="K10" s="346" t="s">
        <v>1843</v>
      </c>
      <c r="L10" s="3386"/>
      <c r="M10" s="3387"/>
      <c r="N10" s="3387"/>
      <c r="O10" s="3346"/>
      <c r="P10" s="3346"/>
      <c r="Q10" s="3387"/>
      <c r="R10" s="3387"/>
      <c r="S10" s="3388"/>
      <c r="Z10" s="2245">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6">
        <v>11</v>
      </c>
    </row>
    <row r="12" spans="1:27" s="315" customFormat="1" ht="4.4000000000000004"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7"/>
      <c r="I15" s="3389"/>
      <c r="J15" s="3389"/>
      <c r="K15" s="3389"/>
      <c r="L15" s="3389"/>
      <c r="M15" s="3389"/>
      <c r="N15" s="3390"/>
      <c r="O15" s="343" t="s">
        <v>1848</v>
      </c>
      <c r="P15" s="343"/>
      <c r="Q15" s="3337"/>
      <c r="R15" s="3389"/>
      <c r="S15" s="3390"/>
      <c r="Z15" s="2246">
        <v>15</v>
      </c>
    </row>
    <row r="16" spans="1:27" s="315" customFormat="1" ht="11.25" customHeight="1">
      <c r="D16" s="344"/>
      <c r="E16" s="320" t="s">
        <v>958</v>
      </c>
      <c r="F16" s="328"/>
      <c r="H16" s="3328"/>
      <c r="I16" s="3456"/>
      <c r="J16" s="3456"/>
      <c r="K16" s="3457"/>
      <c r="L16" s="3456"/>
      <c r="M16" s="3456"/>
      <c r="N16" s="3458"/>
      <c r="O16" s="343" t="s">
        <v>1625</v>
      </c>
      <c r="P16" s="345"/>
      <c r="Q16" s="3459"/>
      <c r="R16" s="3460"/>
      <c r="S16" s="3461"/>
      <c r="Z16" s="2246">
        <v>16</v>
      </c>
    </row>
    <row r="17" spans="4:26" s="315" customFormat="1" ht="11.25" customHeight="1">
      <c r="D17" s="344"/>
      <c r="E17" s="320" t="s">
        <v>575</v>
      </c>
      <c r="H17" s="3328"/>
      <c r="I17" s="3457"/>
      <c r="J17" s="3385"/>
      <c r="K17" s="519" t="s">
        <v>2459</v>
      </c>
      <c r="L17" s="3328"/>
      <c r="M17" s="3456"/>
      <c r="N17" s="3385"/>
      <c r="O17" s="343" t="s">
        <v>1601</v>
      </c>
      <c r="P17" s="345"/>
      <c r="Q17" s="3462"/>
      <c r="R17" s="3463"/>
      <c r="S17" s="3464"/>
      <c r="Z17" s="2246">
        <v>17</v>
      </c>
    </row>
    <row r="18" spans="4:26" s="315" customFormat="1" ht="11.25" customHeight="1">
      <c r="D18" s="317"/>
      <c r="E18" s="320" t="s">
        <v>1672</v>
      </c>
      <c r="H18" s="1270"/>
      <c r="I18" s="345"/>
      <c r="J18" s="345"/>
      <c r="K18" s="861" t="s">
        <v>2062</v>
      </c>
      <c r="L18" s="3332"/>
      <c r="M18" s="3465"/>
      <c r="N18" s="345"/>
      <c r="O18" s="343" t="s">
        <v>1838</v>
      </c>
      <c r="P18" s="345"/>
      <c r="Q18" s="3462"/>
      <c r="R18" s="3463"/>
      <c r="S18" s="3464"/>
      <c r="Z18" s="2246">
        <v>18</v>
      </c>
    </row>
    <row r="19" spans="4:26" s="315" customFormat="1" ht="11.25" customHeight="1">
      <c r="D19" s="344"/>
      <c r="E19" s="320" t="s">
        <v>3464</v>
      </c>
      <c r="H19" s="3453"/>
      <c r="I19" s="3454"/>
      <c r="J19" s="338"/>
      <c r="K19" s="346" t="s">
        <v>1843</v>
      </c>
      <c r="L19" s="3455"/>
      <c r="M19" s="3387"/>
      <c r="N19" s="3346"/>
      <c r="O19" s="3346"/>
      <c r="P19" s="3346"/>
      <c r="Q19" s="3387"/>
      <c r="R19" s="3387"/>
      <c r="S19" s="3388"/>
      <c r="Z19" s="2245">
        <v>19</v>
      </c>
    </row>
    <row r="20" spans="4:26" ht="4.4000000000000004"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7"/>
      <c r="I21" s="3389"/>
      <c r="J21" s="3389"/>
      <c r="K21" s="3389"/>
      <c r="L21" s="3389"/>
      <c r="M21" s="3389"/>
      <c r="N21" s="3390"/>
      <c r="O21" s="343" t="s">
        <v>1848</v>
      </c>
      <c r="P21" s="343"/>
      <c r="Q21" s="3337"/>
      <c r="R21" s="3389"/>
      <c r="S21" s="3390"/>
      <c r="Z21" s="2246">
        <v>21</v>
      </c>
    </row>
    <row r="22" spans="4:26" s="315" customFormat="1" ht="11.25" customHeight="1">
      <c r="D22" s="344"/>
      <c r="E22" s="320" t="s">
        <v>958</v>
      </c>
      <c r="F22" s="328"/>
      <c r="H22" s="3328"/>
      <c r="I22" s="3456"/>
      <c r="J22" s="3456"/>
      <c r="K22" s="3457"/>
      <c r="L22" s="3456"/>
      <c r="M22" s="3456"/>
      <c r="N22" s="3458"/>
      <c r="O22" s="343" t="s">
        <v>1625</v>
      </c>
      <c r="P22" s="345"/>
      <c r="Q22" s="3459"/>
      <c r="R22" s="3460"/>
      <c r="S22" s="3461"/>
      <c r="Z22" s="2246">
        <v>22</v>
      </c>
    </row>
    <row r="23" spans="4:26" s="315" customFormat="1" ht="11.25" customHeight="1">
      <c r="D23" s="344"/>
      <c r="E23" s="320" t="s">
        <v>575</v>
      </c>
      <c r="H23" s="3328"/>
      <c r="I23" s="3457"/>
      <c r="J23" s="3385"/>
      <c r="K23" s="519" t="s">
        <v>2459</v>
      </c>
      <c r="L23" s="3328"/>
      <c r="M23" s="3456"/>
      <c r="N23" s="3385"/>
      <c r="O23" s="343" t="s">
        <v>1601</v>
      </c>
      <c r="P23" s="345"/>
      <c r="Q23" s="3462"/>
      <c r="R23" s="3463"/>
      <c r="S23" s="3464"/>
      <c r="Z23" s="2246">
        <v>23</v>
      </c>
    </row>
    <row r="24" spans="4:26" s="315" customFormat="1" ht="11.25" customHeight="1">
      <c r="E24" s="320" t="s">
        <v>1672</v>
      </c>
      <c r="H24" s="1270"/>
      <c r="I24" s="345"/>
      <c r="J24" s="345"/>
      <c r="K24" s="861" t="s">
        <v>2062</v>
      </c>
      <c r="L24" s="3332"/>
      <c r="M24" s="3465"/>
      <c r="N24" s="345"/>
      <c r="O24" s="343" t="s">
        <v>1838</v>
      </c>
      <c r="P24" s="345"/>
      <c r="Q24" s="3462"/>
      <c r="R24" s="3463"/>
      <c r="S24" s="3464"/>
      <c r="Z24" s="2246">
        <v>24</v>
      </c>
    </row>
    <row r="25" spans="4:26" s="315" customFormat="1" ht="11.25" customHeight="1">
      <c r="D25" s="344"/>
      <c r="E25" s="320" t="s">
        <v>3464</v>
      </c>
      <c r="H25" s="3453"/>
      <c r="I25" s="3454"/>
      <c r="J25" s="338"/>
      <c r="K25" s="346" t="s">
        <v>1843</v>
      </c>
      <c r="L25" s="3455"/>
      <c r="M25" s="3387"/>
      <c r="N25" s="3346"/>
      <c r="O25" s="3346"/>
      <c r="P25" s="3346"/>
      <c r="Q25" s="3387"/>
      <c r="R25" s="3387"/>
      <c r="S25" s="3388"/>
      <c r="Z25" s="2246">
        <v>25</v>
      </c>
    </row>
    <row r="26" spans="4:26" s="315" customFormat="1" ht="4.4000000000000004"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7"/>
      <c r="I27" s="3389"/>
      <c r="J27" s="3389"/>
      <c r="K27" s="3389"/>
      <c r="L27" s="3389"/>
      <c r="M27" s="3389"/>
      <c r="N27" s="3390"/>
      <c r="O27" s="343" t="s">
        <v>1848</v>
      </c>
      <c r="P27" s="343"/>
      <c r="Q27" s="3337"/>
      <c r="R27" s="3389"/>
      <c r="S27" s="3390"/>
      <c r="Z27" s="2246">
        <v>27</v>
      </c>
    </row>
    <row r="28" spans="4:26" s="315" customFormat="1" ht="11.25" customHeight="1">
      <c r="D28" s="344"/>
      <c r="E28" s="320" t="s">
        <v>958</v>
      </c>
      <c r="F28" s="328"/>
      <c r="H28" s="3328"/>
      <c r="I28" s="3456"/>
      <c r="J28" s="3456"/>
      <c r="K28" s="3457"/>
      <c r="L28" s="3456"/>
      <c r="M28" s="3456"/>
      <c r="N28" s="3458"/>
      <c r="O28" s="343" t="s">
        <v>1625</v>
      </c>
      <c r="P28" s="345"/>
      <c r="Q28" s="3459"/>
      <c r="R28" s="3460"/>
      <c r="S28" s="3461"/>
      <c r="Z28" s="2246">
        <v>28</v>
      </c>
    </row>
    <row r="29" spans="4:26" s="315" customFormat="1" ht="11.25" customHeight="1">
      <c r="D29" s="344"/>
      <c r="E29" s="320" t="s">
        <v>575</v>
      </c>
      <c r="H29" s="3328"/>
      <c r="I29" s="3457"/>
      <c r="J29" s="3385"/>
      <c r="K29" s="519" t="s">
        <v>2459</v>
      </c>
      <c r="L29" s="3328"/>
      <c r="M29" s="3456"/>
      <c r="N29" s="3385"/>
      <c r="O29" s="343" t="s">
        <v>1601</v>
      </c>
      <c r="P29" s="345"/>
      <c r="Q29" s="3462"/>
      <c r="R29" s="3463"/>
      <c r="S29" s="3464"/>
      <c r="Z29" s="2246">
        <v>29</v>
      </c>
    </row>
    <row r="30" spans="4:26" s="315" customFormat="1" ht="11.25" customHeight="1">
      <c r="E30" s="320" t="s">
        <v>1672</v>
      </c>
      <c r="H30" s="1270"/>
      <c r="I30" s="345"/>
      <c r="J30" s="345"/>
      <c r="K30" s="861" t="s">
        <v>2062</v>
      </c>
      <c r="L30" s="3332"/>
      <c r="M30" s="3465"/>
      <c r="N30" s="345"/>
      <c r="O30" s="343" t="s">
        <v>1838</v>
      </c>
      <c r="P30" s="345"/>
      <c r="Q30" s="3462"/>
      <c r="R30" s="3463"/>
      <c r="S30" s="3464"/>
      <c r="Z30" s="2246">
        <v>30</v>
      </c>
    </row>
    <row r="31" spans="4:26" s="315" customFormat="1" ht="11.25" customHeight="1">
      <c r="D31" s="344"/>
      <c r="E31" s="320" t="s">
        <v>3464</v>
      </c>
      <c r="H31" s="3453"/>
      <c r="I31" s="3454"/>
      <c r="J31" s="338"/>
      <c r="K31" s="346" t="s">
        <v>1843</v>
      </c>
      <c r="L31" s="3455"/>
      <c r="M31" s="3387"/>
      <c r="N31" s="3346"/>
      <c r="O31" s="3346"/>
      <c r="P31" s="3346"/>
      <c r="Q31" s="3387"/>
      <c r="R31" s="3387"/>
      <c r="S31" s="3388"/>
      <c r="Z31" s="2246">
        <v>31</v>
      </c>
    </row>
    <row r="32" spans="4:26" ht="4.4000000000000004"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37"/>
      <c r="I34" s="3389"/>
      <c r="J34" s="3389"/>
      <c r="K34" s="3389"/>
      <c r="L34" s="3389"/>
      <c r="M34" s="3389"/>
      <c r="N34" s="3390"/>
      <c r="O34" s="343" t="s">
        <v>1848</v>
      </c>
      <c r="P34" s="343"/>
      <c r="Q34" s="3337"/>
      <c r="R34" s="3389"/>
      <c r="S34" s="3390"/>
      <c r="Z34" s="2246">
        <v>34</v>
      </c>
    </row>
    <row r="35" spans="3:26" s="315" customFormat="1" ht="11.25" customHeight="1">
      <c r="D35" s="344"/>
      <c r="E35" s="320" t="s">
        <v>958</v>
      </c>
      <c r="F35" s="328"/>
      <c r="H35" s="3328"/>
      <c r="I35" s="3456"/>
      <c r="J35" s="3456"/>
      <c r="K35" s="3457"/>
      <c r="L35" s="3456"/>
      <c r="M35" s="3456"/>
      <c r="N35" s="3458"/>
      <c r="O35" s="343" t="s">
        <v>1625</v>
      </c>
      <c r="P35" s="345"/>
      <c r="Q35" s="3459"/>
      <c r="R35" s="3460"/>
      <c r="S35" s="3461"/>
      <c r="Z35" s="2245">
        <v>35</v>
      </c>
    </row>
    <row r="36" spans="3:26" s="315" customFormat="1" ht="11.25" customHeight="1">
      <c r="D36" s="344"/>
      <c r="E36" s="320" t="s">
        <v>575</v>
      </c>
      <c r="H36" s="3328"/>
      <c r="I36" s="3457"/>
      <c r="J36" s="3385"/>
      <c r="K36" s="519" t="s">
        <v>2459</v>
      </c>
      <c r="L36" s="3328"/>
      <c r="M36" s="3456"/>
      <c r="N36" s="3385"/>
      <c r="O36" s="343" t="s">
        <v>1601</v>
      </c>
      <c r="P36" s="345"/>
      <c r="Q36" s="3462"/>
      <c r="R36" s="3463"/>
      <c r="S36" s="3464"/>
      <c r="Z36" s="2246">
        <v>36</v>
      </c>
    </row>
    <row r="37" spans="3:26" s="315" customFormat="1" ht="11.25" customHeight="1">
      <c r="E37" s="320" t="s">
        <v>1672</v>
      </c>
      <c r="H37" s="1270"/>
      <c r="I37" s="345"/>
      <c r="J37" s="345"/>
      <c r="K37" s="861" t="s">
        <v>2062</v>
      </c>
      <c r="L37" s="3332"/>
      <c r="M37" s="3465"/>
      <c r="N37" s="345"/>
      <c r="O37" s="343" t="s">
        <v>1838</v>
      </c>
      <c r="P37" s="345"/>
      <c r="Q37" s="3462"/>
      <c r="R37" s="3463"/>
      <c r="S37" s="3464"/>
      <c r="Z37" s="2246">
        <v>37</v>
      </c>
    </row>
    <row r="38" spans="3:26" s="315" customFormat="1" ht="11.25" customHeight="1">
      <c r="D38" s="344"/>
      <c r="E38" s="320" t="s">
        <v>3464</v>
      </c>
      <c r="H38" s="3453"/>
      <c r="I38" s="3454"/>
      <c r="J38" s="338"/>
      <c r="K38" s="346" t="s">
        <v>1843</v>
      </c>
      <c r="L38" s="3455"/>
      <c r="M38" s="3387"/>
      <c r="N38" s="3346"/>
      <c r="O38" s="3346"/>
      <c r="P38" s="3346"/>
      <c r="Q38" s="3387"/>
      <c r="R38" s="3387"/>
      <c r="S38" s="3388"/>
      <c r="Z38" s="2246">
        <v>38</v>
      </c>
    </row>
    <row r="39" spans="3:26" ht="4.4000000000000004"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7"/>
      <c r="I40" s="3389"/>
      <c r="J40" s="3389"/>
      <c r="K40" s="3389"/>
      <c r="L40" s="3389"/>
      <c r="M40" s="3389"/>
      <c r="N40" s="3390"/>
      <c r="O40" s="343" t="s">
        <v>1848</v>
      </c>
      <c r="P40" s="343"/>
      <c r="Q40" s="3337"/>
      <c r="R40" s="3389"/>
      <c r="S40" s="3390"/>
      <c r="Z40" s="2246">
        <v>40</v>
      </c>
    </row>
    <row r="41" spans="3:26" s="315" customFormat="1" ht="11.25" customHeight="1">
      <c r="D41" s="344"/>
      <c r="E41" s="320" t="s">
        <v>958</v>
      </c>
      <c r="F41" s="328"/>
      <c r="H41" s="3328"/>
      <c r="I41" s="3456"/>
      <c r="J41" s="3456"/>
      <c r="K41" s="3457"/>
      <c r="L41" s="3456"/>
      <c r="M41" s="3456"/>
      <c r="N41" s="3458"/>
      <c r="O41" s="343" t="s">
        <v>1625</v>
      </c>
      <c r="P41" s="345"/>
      <c r="Q41" s="3459"/>
      <c r="R41" s="3460"/>
      <c r="S41" s="3461"/>
      <c r="Z41" s="2246">
        <v>41</v>
      </c>
    </row>
    <row r="42" spans="3:26" s="315" customFormat="1" ht="11.25" customHeight="1">
      <c r="D42" s="344"/>
      <c r="E42" s="320" t="s">
        <v>575</v>
      </c>
      <c r="H42" s="3328"/>
      <c r="I42" s="3457"/>
      <c r="J42" s="3385"/>
      <c r="K42" s="519" t="s">
        <v>2459</v>
      </c>
      <c r="L42" s="3328"/>
      <c r="M42" s="3456"/>
      <c r="N42" s="3385"/>
      <c r="O42" s="343" t="s">
        <v>1601</v>
      </c>
      <c r="P42" s="345"/>
      <c r="Q42" s="3462"/>
      <c r="R42" s="3463"/>
      <c r="S42" s="3464"/>
      <c r="Z42" s="2246">
        <v>42</v>
      </c>
    </row>
    <row r="43" spans="3:26" s="315" customFormat="1" ht="11.25" customHeight="1">
      <c r="D43" s="317"/>
      <c r="E43" s="320" t="s">
        <v>1672</v>
      </c>
      <c r="H43" s="1270"/>
      <c r="I43" s="345"/>
      <c r="J43" s="345"/>
      <c r="K43" s="861" t="s">
        <v>2062</v>
      </c>
      <c r="L43" s="3332"/>
      <c r="M43" s="3465"/>
      <c r="N43" s="345"/>
      <c r="O43" s="343" t="s">
        <v>1838</v>
      </c>
      <c r="P43" s="345"/>
      <c r="Q43" s="3462"/>
      <c r="R43" s="3463"/>
      <c r="S43" s="3464"/>
      <c r="Z43" s="2246">
        <v>43</v>
      </c>
    </row>
    <row r="44" spans="3:26" s="315" customFormat="1" ht="11.25" customHeight="1">
      <c r="D44" s="344"/>
      <c r="E44" s="320" t="s">
        <v>3464</v>
      </c>
      <c r="H44" s="3453"/>
      <c r="I44" s="3454"/>
      <c r="J44" s="338"/>
      <c r="K44" s="346" t="s">
        <v>1843</v>
      </c>
      <c r="L44" s="3455"/>
      <c r="M44" s="3387"/>
      <c r="N44" s="3346"/>
      <c r="O44" s="3346"/>
      <c r="P44" s="3346"/>
      <c r="Q44" s="3387"/>
      <c r="R44" s="3387"/>
      <c r="S44" s="3388"/>
      <c r="Z44" s="2245">
        <v>44</v>
      </c>
    </row>
    <row r="45" spans="3:26" s="315" customFormat="1" ht="4.4000000000000004"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37"/>
      <c r="I47" s="3389"/>
      <c r="J47" s="3389"/>
      <c r="K47" s="3389"/>
      <c r="L47" s="3389"/>
      <c r="M47" s="3389"/>
      <c r="N47" s="3390"/>
      <c r="O47" s="343" t="s">
        <v>1848</v>
      </c>
      <c r="P47" s="343"/>
      <c r="Q47" s="3337"/>
      <c r="R47" s="3389"/>
      <c r="S47" s="3390"/>
      <c r="Z47" s="2246">
        <v>47</v>
      </c>
    </row>
    <row r="48" spans="3:26" s="315" customFormat="1" ht="11.25" customHeight="1">
      <c r="D48" s="344"/>
      <c r="E48" s="320" t="s">
        <v>958</v>
      </c>
      <c r="F48" s="328"/>
      <c r="H48" s="3328"/>
      <c r="I48" s="3456"/>
      <c r="J48" s="3456"/>
      <c r="K48" s="3457"/>
      <c r="L48" s="3456"/>
      <c r="M48" s="3456"/>
      <c r="N48" s="3458"/>
      <c r="O48" s="343" t="s">
        <v>1625</v>
      </c>
      <c r="P48" s="345"/>
      <c r="Q48" s="3459"/>
      <c r="R48" s="3460"/>
      <c r="S48" s="3461"/>
      <c r="Z48" s="2246">
        <v>48</v>
      </c>
    </row>
    <row r="49" spans="1:26" s="315" customFormat="1" ht="11.25" customHeight="1">
      <c r="D49" s="344"/>
      <c r="E49" s="320" t="s">
        <v>575</v>
      </c>
      <c r="H49" s="3328"/>
      <c r="I49" s="3457"/>
      <c r="J49" s="3385"/>
      <c r="K49" s="519" t="s">
        <v>2459</v>
      </c>
      <c r="L49" s="3328"/>
      <c r="M49" s="3456"/>
      <c r="N49" s="3385"/>
      <c r="O49" s="343" t="s">
        <v>1601</v>
      </c>
      <c r="P49" s="345"/>
      <c r="Q49" s="3462"/>
      <c r="R49" s="3463"/>
      <c r="S49" s="3464"/>
      <c r="Z49" s="2246">
        <v>49</v>
      </c>
    </row>
    <row r="50" spans="1:26" s="315" customFormat="1" ht="11.25" customHeight="1">
      <c r="E50" s="320" t="s">
        <v>1672</v>
      </c>
      <c r="H50" s="1270"/>
      <c r="I50" s="345"/>
      <c r="J50" s="345"/>
      <c r="K50" s="861" t="s">
        <v>2062</v>
      </c>
      <c r="L50" s="3332"/>
      <c r="M50" s="3465"/>
      <c r="N50" s="345"/>
      <c r="O50" s="343" t="s">
        <v>1838</v>
      </c>
      <c r="P50" s="345"/>
      <c r="Q50" s="3462"/>
      <c r="R50" s="3463"/>
      <c r="S50" s="3464"/>
      <c r="Z50" s="2246">
        <v>50</v>
      </c>
    </row>
    <row r="51" spans="1:26" s="315" customFormat="1" ht="11.25" customHeight="1">
      <c r="D51" s="344"/>
      <c r="E51" s="320" t="s">
        <v>3464</v>
      </c>
      <c r="H51" s="3453"/>
      <c r="I51" s="3454"/>
      <c r="J51" s="338"/>
      <c r="K51" s="346" t="s">
        <v>1843</v>
      </c>
      <c r="L51" s="3455"/>
      <c r="M51" s="3387"/>
      <c r="N51" s="3346"/>
      <c r="O51" s="3346"/>
      <c r="P51" s="3346"/>
      <c r="Q51" s="3387"/>
      <c r="R51" s="3387"/>
      <c r="S51" s="3388"/>
      <c r="Z51" s="2246">
        <v>51</v>
      </c>
    </row>
    <row r="52" spans="1:26" ht="6.75" customHeight="1">
      <c r="H52" s="356"/>
      <c r="I52" s="356"/>
      <c r="J52" s="356"/>
      <c r="K52" s="356"/>
      <c r="L52" s="356"/>
      <c r="M52" s="356"/>
      <c r="N52" s="356"/>
      <c r="O52" s="356"/>
      <c r="P52" s="356"/>
      <c r="Q52" s="356"/>
      <c r="R52" s="356"/>
      <c r="S52" s="356"/>
      <c r="Z52" s="2246">
        <v>52</v>
      </c>
    </row>
    <row r="53" spans="1:26" s="315" customFormat="1" ht="13.4"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7"/>
      <c r="I55" s="3389"/>
      <c r="J55" s="3389"/>
      <c r="K55" s="3389"/>
      <c r="L55" s="3389"/>
      <c r="M55" s="3389"/>
      <c r="N55" s="3390"/>
      <c r="O55" s="343" t="s">
        <v>1848</v>
      </c>
      <c r="P55" s="343"/>
      <c r="Q55" s="3337"/>
      <c r="R55" s="3389"/>
      <c r="S55" s="3390"/>
      <c r="Z55" s="2246">
        <v>55</v>
      </c>
    </row>
    <row r="56" spans="1:26" s="315" customFormat="1" ht="11.25" customHeight="1">
      <c r="D56" s="344"/>
      <c r="E56" s="320" t="s">
        <v>958</v>
      </c>
      <c r="F56" s="328"/>
      <c r="H56" s="3328"/>
      <c r="I56" s="3456"/>
      <c r="J56" s="3456"/>
      <c r="K56" s="3457"/>
      <c r="L56" s="3456"/>
      <c r="M56" s="3456"/>
      <c r="N56" s="3458"/>
      <c r="O56" s="343" t="s">
        <v>1625</v>
      </c>
      <c r="P56" s="345"/>
      <c r="Q56" s="3459"/>
      <c r="R56" s="3460"/>
      <c r="S56" s="3461"/>
      <c r="Z56" s="2246">
        <v>56</v>
      </c>
    </row>
    <row r="57" spans="1:26" s="315" customFormat="1" ht="11.25" customHeight="1">
      <c r="D57" s="344"/>
      <c r="E57" s="320" t="s">
        <v>575</v>
      </c>
      <c r="H57" s="3328"/>
      <c r="I57" s="3457"/>
      <c r="J57" s="3385"/>
      <c r="K57" s="519" t="s">
        <v>2459</v>
      </c>
      <c r="L57" s="3328"/>
      <c r="M57" s="3456"/>
      <c r="N57" s="3385"/>
      <c r="O57" s="343" t="s">
        <v>1601</v>
      </c>
      <c r="P57" s="345"/>
      <c r="Q57" s="3462"/>
      <c r="R57" s="3463"/>
      <c r="S57" s="3464"/>
      <c r="Z57" s="2246">
        <v>57</v>
      </c>
    </row>
    <row r="58" spans="1:26" s="315" customFormat="1" ht="11.25" customHeight="1">
      <c r="E58" s="320" t="s">
        <v>1672</v>
      </c>
      <c r="H58" s="1270"/>
      <c r="I58" s="345"/>
      <c r="J58" s="345"/>
      <c r="K58" s="861" t="s">
        <v>2062</v>
      </c>
      <c r="L58" s="3332"/>
      <c r="M58" s="3465"/>
      <c r="N58" s="345"/>
      <c r="O58" s="343" t="s">
        <v>1838</v>
      </c>
      <c r="P58" s="345"/>
      <c r="Q58" s="3462"/>
      <c r="R58" s="3463"/>
      <c r="S58" s="3464"/>
      <c r="Z58" s="2246">
        <v>58</v>
      </c>
    </row>
    <row r="59" spans="1:26" s="315" customFormat="1" ht="11.25" customHeight="1">
      <c r="D59" s="344"/>
      <c r="E59" s="320" t="s">
        <v>3464</v>
      </c>
      <c r="H59" s="3453"/>
      <c r="I59" s="3454"/>
      <c r="J59" s="338"/>
      <c r="K59" s="346" t="s">
        <v>1843</v>
      </c>
      <c r="L59" s="3455"/>
      <c r="M59" s="3387"/>
      <c r="N59" s="3346"/>
      <c r="O59" s="3346"/>
      <c r="P59" s="3346"/>
      <c r="Q59" s="3387"/>
      <c r="R59" s="3387"/>
      <c r="S59" s="3388"/>
      <c r="Z59" s="2246">
        <v>59</v>
      </c>
    </row>
    <row r="60" spans="1:26" s="315" customFormat="1" ht="6.65"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7"/>
      <c r="I61" s="3389"/>
      <c r="J61" s="3389"/>
      <c r="K61" s="3389"/>
      <c r="L61" s="3389"/>
      <c r="M61" s="3389"/>
      <c r="N61" s="3390"/>
      <c r="O61" s="343" t="s">
        <v>1848</v>
      </c>
      <c r="P61" s="343"/>
      <c r="Q61" s="3337"/>
      <c r="R61" s="3389"/>
      <c r="S61" s="3390"/>
      <c r="Z61" s="2246">
        <v>61</v>
      </c>
    </row>
    <row r="62" spans="1:26" s="315" customFormat="1" ht="11.25" customHeight="1">
      <c r="D62" s="344"/>
      <c r="E62" s="320" t="s">
        <v>958</v>
      </c>
      <c r="F62" s="328"/>
      <c r="H62" s="3328"/>
      <c r="I62" s="3456"/>
      <c r="J62" s="3456"/>
      <c r="K62" s="3457"/>
      <c r="L62" s="3456"/>
      <c r="M62" s="3456"/>
      <c r="N62" s="3458"/>
      <c r="O62" s="343" t="s">
        <v>1625</v>
      </c>
      <c r="P62" s="345"/>
      <c r="Q62" s="3459"/>
      <c r="R62" s="3460"/>
      <c r="S62" s="3461"/>
      <c r="Z62" s="2245">
        <v>62</v>
      </c>
    </row>
    <row r="63" spans="1:26" s="315" customFormat="1" ht="11.25" customHeight="1">
      <c r="D63" s="344"/>
      <c r="E63" s="320" t="s">
        <v>575</v>
      </c>
      <c r="H63" s="3328"/>
      <c r="I63" s="3457"/>
      <c r="J63" s="3385"/>
      <c r="K63" s="519" t="s">
        <v>2459</v>
      </c>
      <c r="L63" s="3328"/>
      <c r="M63" s="3456"/>
      <c r="N63" s="3385"/>
      <c r="O63" s="343" t="s">
        <v>1601</v>
      </c>
      <c r="P63" s="345"/>
      <c r="Q63" s="3462"/>
      <c r="R63" s="3463"/>
      <c r="S63" s="3464"/>
      <c r="Z63" s="2246">
        <v>63</v>
      </c>
    </row>
    <row r="64" spans="1:26" s="315" customFormat="1" ht="11.25" customHeight="1">
      <c r="E64" s="320" t="s">
        <v>1672</v>
      </c>
      <c r="H64" s="1270"/>
      <c r="I64" s="345"/>
      <c r="J64" s="345"/>
      <c r="K64" s="861" t="s">
        <v>2062</v>
      </c>
      <c r="L64" s="3332"/>
      <c r="M64" s="3465"/>
      <c r="N64" s="345"/>
      <c r="O64" s="343" t="s">
        <v>1838</v>
      </c>
      <c r="P64" s="345"/>
      <c r="Q64" s="3462"/>
      <c r="R64" s="3463"/>
      <c r="S64" s="3464"/>
      <c r="Z64" s="2246">
        <v>64</v>
      </c>
    </row>
    <row r="65" spans="1:26" s="315" customFormat="1" ht="11.25" customHeight="1">
      <c r="D65" s="344"/>
      <c r="E65" s="320" t="s">
        <v>3464</v>
      </c>
      <c r="H65" s="3453"/>
      <c r="I65" s="3454"/>
      <c r="J65" s="338"/>
      <c r="K65" s="346" t="s">
        <v>1843</v>
      </c>
      <c r="L65" s="3455"/>
      <c r="M65" s="3387"/>
      <c r="N65" s="3346"/>
      <c r="O65" s="3346"/>
      <c r="P65" s="3346"/>
      <c r="Q65" s="3387"/>
      <c r="R65" s="3387"/>
      <c r="S65" s="3388"/>
      <c r="Z65" s="2246">
        <v>65</v>
      </c>
    </row>
    <row r="66" spans="1:26" s="315" customFormat="1" ht="6.65"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7"/>
      <c r="I67" s="3389"/>
      <c r="J67" s="3389"/>
      <c r="K67" s="3389"/>
      <c r="L67" s="3389"/>
      <c r="M67" s="3389"/>
      <c r="N67" s="3390"/>
      <c r="O67" s="343" t="s">
        <v>1848</v>
      </c>
      <c r="P67" s="343"/>
      <c r="Q67" s="3337"/>
      <c r="R67" s="3389"/>
      <c r="S67" s="3390"/>
      <c r="Z67" s="2246">
        <v>67</v>
      </c>
    </row>
    <row r="68" spans="1:26" s="315" customFormat="1" ht="11.25" customHeight="1">
      <c r="D68" s="344"/>
      <c r="E68" s="320" t="s">
        <v>958</v>
      </c>
      <c r="F68" s="328"/>
      <c r="H68" s="3328"/>
      <c r="I68" s="3456"/>
      <c r="J68" s="3456"/>
      <c r="K68" s="3457"/>
      <c r="L68" s="3456"/>
      <c r="M68" s="3456"/>
      <c r="N68" s="3458"/>
      <c r="O68" s="343" t="s">
        <v>1625</v>
      </c>
      <c r="P68" s="345"/>
      <c r="Q68" s="3459"/>
      <c r="R68" s="3460"/>
      <c r="S68" s="3461"/>
      <c r="Z68" s="2246">
        <v>68</v>
      </c>
    </row>
    <row r="69" spans="1:26" s="315" customFormat="1" ht="11.25" customHeight="1">
      <c r="D69" s="344"/>
      <c r="E69" s="320" t="s">
        <v>575</v>
      </c>
      <c r="H69" s="3328"/>
      <c r="I69" s="3457"/>
      <c r="J69" s="3385"/>
      <c r="K69" s="519" t="s">
        <v>2459</v>
      </c>
      <c r="L69" s="3328"/>
      <c r="M69" s="3456"/>
      <c r="N69" s="3385"/>
      <c r="O69" s="343" t="s">
        <v>1601</v>
      </c>
      <c r="P69" s="345"/>
      <c r="Q69" s="3462"/>
      <c r="R69" s="3463"/>
      <c r="S69" s="3464"/>
      <c r="Z69" s="2245">
        <v>69</v>
      </c>
    </row>
    <row r="70" spans="1:26" s="315" customFormat="1" ht="11.25" customHeight="1">
      <c r="E70" s="320" t="s">
        <v>1672</v>
      </c>
      <c r="H70" s="1270"/>
      <c r="I70" s="345"/>
      <c r="J70" s="345"/>
      <c r="K70" s="861" t="s">
        <v>2062</v>
      </c>
      <c r="L70" s="3332"/>
      <c r="M70" s="3465"/>
      <c r="N70" s="345"/>
      <c r="O70" s="343" t="s">
        <v>1838</v>
      </c>
      <c r="P70" s="345"/>
      <c r="Q70" s="3462"/>
      <c r="R70" s="3463"/>
      <c r="S70" s="3464"/>
      <c r="Z70" s="2246">
        <v>70</v>
      </c>
    </row>
    <row r="71" spans="1:26" s="315" customFormat="1" ht="11.25" customHeight="1">
      <c r="D71" s="344"/>
      <c r="E71" s="320" t="s">
        <v>3464</v>
      </c>
      <c r="H71" s="3453"/>
      <c r="I71" s="3454"/>
      <c r="J71" s="338"/>
      <c r="K71" s="346" t="s">
        <v>1843</v>
      </c>
      <c r="L71" s="3455"/>
      <c r="M71" s="3387"/>
      <c r="N71" s="3346"/>
      <c r="O71" s="3346"/>
      <c r="P71" s="3346"/>
      <c r="Q71" s="3387"/>
      <c r="R71" s="3387"/>
      <c r="S71" s="3388"/>
      <c r="Z71" s="2246">
        <v>71</v>
      </c>
    </row>
    <row r="72" spans="1:26" ht="6.65"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7"/>
      <c r="I73" s="3389"/>
      <c r="J73" s="3389"/>
      <c r="K73" s="3389"/>
      <c r="L73" s="3389"/>
      <c r="M73" s="3389"/>
      <c r="N73" s="3390"/>
      <c r="O73" s="343" t="s">
        <v>1848</v>
      </c>
      <c r="P73" s="343"/>
      <c r="Q73" s="3337"/>
      <c r="R73" s="3389"/>
      <c r="S73" s="3390"/>
      <c r="Z73" s="2246">
        <v>73</v>
      </c>
    </row>
    <row r="74" spans="1:26" s="315" customFormat="1" ht="11.25" customHeight="1">
      <c r="D74" s="344"/>
      <c r="E74" s="320" t="s">
        <v>958</v>
      </c>
      <c r="F74" s="328"/>
      <c r="H74" s="3328"/>
      <c r="I74" s="3456"/>
      <c r="J74" s="3456"/>
      <c r="K74" s="3457"/>
      <c r="L74" s="3456"/>
      <c r="M74" s="3456"/>
      <c r="N74" s="3458"/>
      <c r="O74" s="343" t="s">
        <v>1625</v>
      </c>
      <c r="P74" s="345"/>
      <c r="Q74" s="3459"/>
      <c r="R74" s="3460"/>
      <c r="S74" s="3461"/>
      <c r="Z74" s="2246">
        <v>74</v>
      </c>
    </row>
    <row r="75" spans="1:26" s="315" customFormat="1" ht="11.25" customHeight="1">
      <c r="D75" s="344"/>
      <c r="E75" s="320" t="s">
        <v>575</v>
      </c>
      <c r="H75" s="3328"/>
      <c r="I75" s="3457"/>
      <c r="J75" s="3385"/>
      <c r="K75" s="519" t="s">
        <v>2459</v>
      </c>
      <c r="L75" s="3328"/>
      <c r="M75" s="3456"/>
      <c r="N75" s="3385"/>
      <c r="O75" s="343" t="s">
        <v>1601</v>
      </c>
      <c r="P75" s="345"/>
      <c r="Q75" s="3462"/>
      <c r="R75" s="3463"/>
      <c r="S75" s="3464"/>
      <c r="Z75" s="2246">
        <v>75</v>
      </c>
    </row>
    <row r="76" spans="1:26" s="315" customFormat="1" ht="11.25" customHeight="1">
      <c r="E76" s="320" t="s">
        <v>1672</v>
      </c>
      <c r="H76" s="1270"/>
      <c r="I76" s="345"/>
      <c r="J76" s="345"/>
      <c r="K76" s="861" t="s">
        <v>2062</v>
      </c>
      <c r="L76" s="3332"/>
      <c r="M76" s="3465"/>
      <c r="N76" s="345"/>
      <c r="O76" s="343" t="s">
        <v>1838</v>
      </c>
      <c r="P76" s="345"/>
      <c r="Q76" s="3462"/>
      <c r="R76" s="3463"/>
      <c r="S76" s="3464"/>
      <c r="Z76" s="2246">
        <v>76</v>
      </c>
    </row>
    <row r="77" spans="1:26" s="315" customFormat="1" ht="11.25" customHeight="1">
      <c r="D77" s="344"/>
      <c r="E77" s="320" t="s">
        <v>3464</v>
      </c>
      <c r="H77" s="3453"/>
      <c r="I77" s="3454"/>
      <c r="J77" s="338"/>
      <c r="K77" s="346" t="s">
        <v>1843</v>
      </c>
      <c r="L77" s="3455"/>
      <c r="M77" s="3387"/>
      <c r="N77" s="3346"/>
      <c r="O77" s="3346"/>
      <c r="P77" s="3346"/>
      <c r="Q77" s="3387"/>
      <c r="R77" s="3387"/>
      <c r="S77" s="3388"/>
      <c r="Z77" s="2246">
        <v>77</v>
      </c>
    </row>
    <row r="78" spans="1:26" ht="6.75" customHeight="1">
      <c r="H78" s="356"/>
      <c r="I78" s="356"/>
      <c r="J78" s="356"/>
      <c r="K78" s="356"/>
      <c r="L78" s="356"/>
      <c r="M78" s="356"/>
      <c r="N78" s="356"/>
      <c r="O78" s="356"/>
      <c r="P78" s="356"/>
      <c r="Q78" s="356"/>
      <c r="R78" s="356"/>
      <c r="S78" s="356"/>
      <c r="Z78" s="2245">
        <v>78</v>
      </c>
    </row>
    <row r="79" spans="1:26" s="320" customFormat="1" ht="13.4"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7"/>
      <c r="I81" s="3389"/>
      <c r="J81" s="3389"/>
      <c r="K81" s="3389"/>
      <c r="L81" s="3389"/>
      <c r="M81" s="3389"/>
      <c r="N81" s="3390"/>
      <c r="O81" s="343" t="s">
        <v>1848</v>
      </c>
      <c r="P81" s="343"/>
      <c r="Q81" s="3337"/>
      <c r="R81" s="3389"/>
      <c r="S81" s="3390"/>
      <c r="Z81" s="2246">
        <v>81</v>
      </c>
    </row>
    <row r="82" spans="2:26" s="315" customFormat="1" ht="11.25" customHeight="1">
      <c r="D82" s="344"/>
      <c r="E82" s="320" t="s">
        <v>958</v>
      </c>
      <c r="F82" s="328"/>
      <c r="H82" s="3328"/>
      <c r="I82" s="3456"/>
      <c r="J82" s="3456"/>
      <c r="K82" s="3457"/>
      <c r="L82" s="3456"/>
      <c r="M82" s="3456"/>
      <c r="N82" s="3458"/>
      <c r="O82" s="343" t="s">
        <v>1625</v>
      </c>
      <c r="P82" s="345"/>
      <c r="Q82" s="3459"/>
      <c r="R82" s="3460"/>
      <c r="S82" s="3461"/>
      <c r="Z82" s="2246">
        <v>82</v>
      </c>
    </row>
    <row r="83" spans="2:26" s="315" customFormat="1" ht="11.25" customHeight="1">
      <c r="D83" s="344"/>
      <c r="E83" s="320" t="s">
        <v>575</v>
      </c>
      <c r="H83" s="3328"/>
      <c r="I83" s="3457"/>
      <c r="J83" s="3385"/>
      <c r="K83" s="519" t="s">
        <v>2459</v>
      </c>
      <c r="L83" s="3328"/>
      <c r="M83" s="3456"/>
      <c r="N83" s="3385"/>
      <c r="O83" s="343" t="s">
        <v>1601</v>
      </c>
      <c r="P83" s="345"/>
      <c r="Q83" s="3462"/>
      <c r="R83" s="3463"/>
      <c r="S83" s="3464"/>
      <c r="Z83" s="2246">
        <v>83</v>
      </c>
    </row>
    <row r="84" spans="2:26" s="315" customFormat="1" ht="11.25" customHeight="1">
      <c r="E84" s="320" t="s">
        <v>1672</v>
      </c>
      <c r="H84" s="1270"/>
      <c r="I84" s="345"/>
      <c r="J84" s="345"/>
      <c r="K84" s="861" t="s">
        <v>2062</v>
      </c>
      <c r="L84" s="3332"/>
      <c r="M84" s="3465"/>
      <c r="N84" s="345"/>
      <c r="O84" s="343" t="s">
        <v>1838</v>
      </c>
      <c r="P84" s="345"/>
      <c r="Q84" s="3462"/>
      <c r="R84" s="3463"/>
      <c r="S84" s="3464"/>
      <c r="Z84" s="2246">
        <v>84</v>
      </c>
    </row>
    <row r="85" spans="2:26" s="315" customFormat="1" ht="11.25" customHeight="1">
      <c r="D85" s="344"/>
      <c r="E85" s="320" t="s">
        <v>3464</v>
      </c>
      <c r="H85" s="3453"/>
      <c r="I85" s="3454"/>
      <c r="J85" s="338"/>
      <c r="K85" s="346" t="s">
        <v>1843</v>
      </c>
      <c r="L85" s="3455"/>
      <c r="M85" s="3387"/>
      <c r="N85" s="3346"/>
      <c r="O85" s="3346"/>
      <c r="P85" s="3346"/>
      <c r="Q85" s="3387"/>
      <c r="R85" s="3387"/>
      <c r="S85" s="3388"/>
      <c r="Z85" s="2246">
        <v>85</v>
      </c>
    </row>
    <row r="86" spans="2:26" ht="6.65"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7"/>
      <c r="I87" s="3389"/>
      <c r="J87" s="3389"/>
      <c r="K87" s="3389"/>
      <c r="L87" s="3389"/>
      <c r="M87" s="3389"/>
      <c r="N87" s="3390"/>
      <c r="O87" s="343" t="s">
        <v>1848</v>
      </c>
      <c r="P87" s="343"/>
      <c r="Q87" s="3337"/>
      <c r="R87" s="3389"/>
      <c r="S87" s="3390"/>
      <c r="Z87" s="2245">
        <v>87</v>
      </c>
    </row>
    <row r="88" spans="2:26" s="315" customFormat="1" ht="11.25" customHeight="1">
      <c r="D88" s="344"/>
      <c r="E88" s="320" t="s">
        <v>958</v>
      </c>
      <c r="F88" s="328"/>
      <c r="H88" s="3328"/>
      <c r="I88" s="3456"/>
      <c r="J88" s="3456"/>
      <c r="K88" s="3457"/>
      <c r="L88" s="3456"/>
      <c r="M88" s="3456"/>
      <c r="N88" s="3458"/>
      <c r="O88" s="343" t="s">
        <v>1625</v>
      </c>
      <c r="P88" s="345"/>
      <c r="Q88" s="3459"/>
      <c r="R88" s="3460"/>
      <c r="S88" s="3461"/>
      <c r="Z88" s="2246">
        <v>88</v>
      </c>
    </row>
    <row r="89" spans="2:26" s="315" customFormat="1" ht="11.25" customHeight="1">
      <c r="D89" s="344"/>
      <c r="E89" s="320" t="s">
        <v>575</v>
      </c>
      <c r="H89" s="3328"/>
      <c r="I89" s="3457"/>
      <c r="J89" s="3385"/>
      <c r="K89" s="519" t="s">
        <v>2459</v>
      </c>
      <c r="L89" s="3328"/>
      <c r="M89" s="3456"/>
      <c r="N89" s="3385"/>
      <c r="O89" s="343" t="s">
        <v>1601</v>
      </c>
      <c r="P89" s="345"/>
      <c r="Q89" s="3462"/>
      <c r="R89" s="3463"/>
      <c r="S89" s="3464"/>
      <c r="Z89" s="2246">
        <v>89</v>
      </c>
    </row>
    <row r="90" spans="2:26" s="315" customFormat="1" ht="11.25" customHeight="1">
      <c r="E90" s="320" t="s">
        <v>1672</v>
      </c>
      <c r="H90" s="1270"/>
      <c r="I90" s="345"/>
      <c r="J90" s="345"/>
      <c r="K90" s="861" t="s">
        <v>2062</v>
      </c>
      <c r="L90" s="3332"/>
      <c r="M90" s="3465"/>
      <c r="N90" s="345"/>
      <c r="O90" s="343" t="s">
        <v>1838</v>
      </c>
      <c r="P90" s="345"/>
      <c r="Q90" s="3462"/>
      <c r="R90" s="3463"/>
      <c r="S90" s="3464"/>
      <c r="Z90" s="2246">
        <v>90</v>
      </c>
    </row>
    <row r="91" spans="2:26" s="315" customFormat="1" ht="11.25" customHeight="1">
      <c r="D91" s="344"/>
      <c r="E91" s="320" t="s">
        <v>3464</v>
      </c>
      <c r="H91" s="3453"/>
      <c r="I91" s="3454"/>
      <c r="J91" s="338"/>
      <c r="K91" s="346" t="s">
        <v>1843</v>
      </c>
      <c r="L91" s="3455"/>
      <c r="M91" s="3387"/>
      <c r="N91" s="3346"/>
      <c r="O91" s="3346"/>
      <c r="P91" s="3346"/>
      <c r="Q91" s="3387"/>
      <c r="R91" s="3387"/>
      <c r="S91" s="3388"/>
      <c r="Z91" s="2246">
        <v>91</v>
      </c>
    </row>
    <row r="92" spans="2:26" ht="6.65"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7"/>
      <c r="I93" s="3389"/>
      <c r="J93" s="3389"/>
      <c r="K93" s="3389"/>
      <c r="L93" s="3389"/>
      <c r="M93" s="3389"/>
      <c r="N93" s="3390"/>
      <c r="O93" s="343" t="s">
        <v>1848</v>
      </c>
      <c r="P93" s="343"/>
      <c r="Q93" s="3337"/>
      <c r="R93" s="3389"/>
      <c r="S93" s="3390"/>
      <c r="Z93" s="2245">
        <v>93</v>
      </c>
    </row>
    <row r="94" spans="2:26" s="315" customFormat="1" ht="11.25" customHeight="1">
      <c r="D94" s="344"/>
      <c r="E94" s="320" t="s">
        <v>958</v>
      </c>
      <c r="F94" s="328"/>
      <c r="H94" s="3328"/>
      <c r="I94" s="3456"/>
      <c r="J94" s="3456"/>
      <c r="K94" s="3457"/>
      <c r="L94" s="3456"/>
      <c r="M94" s="3456"/>
      <c r="N94" s="3458"/>
      <c r="O94" s="343" t="s">
        <v>1625</v>
      </c>
      <c r="P94" s="345"/>
      <c r="Q94" s="3459"/>
      <c r="R94" s="3460"/>
      <c r="S94" s="3461"/>
      <c r="Z94" s="2246">
        <v>94</v>
      </c>
    </row>
    <row r="95" spans="2:26" s="315" customFormat="1" ht="11.25" customHeight="1">
      <c r="D95" s="344"/>
      <c r="E95" s="320" t="s">
        <v>575</v>
      </c>
      <c r="H95" s="3328"/>
      <c r="I95" s="3457"/>
      <c r="J95" s="3385"/>
      <c r="K95" s="519" t="s">
        <v>2459</v>
      </c>
      <c r="L95" s="3328"/>
      <c r="M95" s="3456"/>
      <c r="N95" s="3385"/>
      <c r="O95" s="343" t="s">
        <v>1601</v>
      </c>
      <c r="P95" s="345"/>
      <c r="Q95" s="3462"/>
      <c r="R95" s="3463"/>
      <c r="S95" s="3464"/>
      <c r="Z95" s="2246">
        <v>95</v>
      </c>
    </row>
    <row r="96" spans="2:26" s="315" customFormat="1" ht="11.25" customHeight="1">
      <c r="D96" s="344"/>
      <c r="E96" s="320" t="s">
        <v>1672</v>
      </c>
      <c r="H96" s="1270"/>
      <c r="I96" s="345"/>
      <c r="J96" s="345"/>
      <c r="K96" s="861" t="s">
        <v>2062</v>
      </c>
      <c r="L96" s="3332"/>
      <c r="M96" s="3465"/>
      <c r="N96" s="345"/>
      <c r="O96" s="343" t="s">
        <v>1838</v>
      </c>
      <c r="P96" s="345"/>
      <c r="Q96" s="3462"/>
      <c r="R96" s="3463"/>
      <c r="S96" s="3464"/>
      <c r="Z96" s="2246">
        <v>96</v>
      </c>
    </row>
    <row r="97" spans="2:26" s="315" customFormat="1" ht="11.25" customHeight="1">
      <c r="D97" s="344"/>
      <c r="E97" s="320" t="s">
        <v>3464</v>
      </c>
      <c r="H97" s="3453"/>
      <c r="I97" s="3454"/>
      <c r="J97" s="338"/>
      <c r="K97" s="346" t="s">
        <v>1843</v>
      </c>
      <c r="L97" s="3455"/>
      <c r="M97" s="3387"/>
      <c r="N97" s="3346"/>
      <c r="O97" s="3346"/>
      <c r="P97" s="3346"/>
      <c r="Q97" s="3387"/>
      <c r="R97" s="3387"/>
      <c r="S97" s="3388"/>
      <c r="Z97" s="2246">
        <v>97</v>
      </c>
    </row>
    <row r="98" spans="2:26" ht="6.65"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7"/>
      <c r="I99" s="3389"/>
      <c r="J99" s="3389"/>
      <c r="K99" s="3389"/>
      <c r="L99" s="3389"/>
      <c r="M99" s="3389"/>
      <c r="N99" s="3390"/>
      <c r="O99" s="343" t="s">
        <v>1848</v>
      </c>
      <c r="P99" s="343"/>
      <c r="Q99" s="3337"/>
      <c r="R99" s="3389"/>
      <c r="S99" s="3390"/>
      <c r="Z99" s="2246">
        <v>99</v>
      </c>
    </row>
    <row r="100" spans="2:26" s="315" customFormat="1" ht="11.25" customHeight="1">
      <c r="D100" s="344"/>
      <c r="E100" s="320" t="s">
        <v>958</v>
      </c>
      <c r="F100" s="328"/>
      <c r="H100" s="3328"/>
      <c r="I100" s="3456"/>
      <c r="J100" s="3456"/>
      <c r="K100" s="3457"/>
      <c r="L100" s="3456"/>
      <c r="M100" s="3456"/>
      <c r="N100" s="3458"/>
      <c r="O100" s="343" t="s">
        <v>1625</v>
      </c>
      <c r="P100" s="345"/>
      <c r="Q100" s="3459"/>
      <c r="R100" s="3460"/>
      <c r="S100" s="3461"/>
      <c r="Z100" s="2246">
        <v>100</v>
      </c>
    </row>
    <row r="101" spans="2:26" s="315" customFormat="1" ht="11.25" customHeight="1">
      <c r="D101" s="344"/>
      <c r="E101" s="320" t="s">
        <v>575</v>
      </c>
      <c r="H101" s="3328"/>
      <c r="I101" s="3457"/>
      <c r="J101" s="3385"/>
      <c r="K101" s="519" t="s">
        <v>2459</v>
      </c>
      <c r="L101" s="3328"/>
      <c r="M101" s="3456"/>
      <c r="N101" s="3385"/>
      <c r="O101" s="343" t="s">
        <v>1601</v>
      </c>
      <c r="P101" s="345"/>
      <c r="Q101" s="3462"/>
      <c r="R101" s="3463"/>
      <c r="S101" s="3464"/>
      <c r="Z101" s="2246">
        <v>101</v>
      </c>
    </row>
    <row r="102" spans="2:26" s="315" customFormat="1" ht="11.25" customHeight="1">
      <c r="D102" s="344"/>
      <c r="E102" s="320" t="s">
        <v>1672</v>
      </c>
      <c r="H102" s="1270"/>
      <c r="I102" s="345"/>
      <c r="J102" s="345"/>
      <c r="K102" s="861" t="s">
        <v>2062</v>
      </c>
      <c r="L102" s="3332"/>
      <c r="M102" s="3465"/>
      <c r="N102" s="345"/>
      <c r="O102" s="343" t="s">
        <v>1838</v>
      </c>
      <c r="P102" s="345"/>
      <c r="Q102" s="3462"/>
      <c r="R102" s="3463"/>
      <c r="S102" s="3464"/>
      <c r="Z102" s="2245">
        <v>102</v>
      </c>
    </row>
    <row r="103" spans="2:26" ht="11.25" customHeight="1">
      <c r="E103" s="320" t="s">
        <v>3464</v>
      </c>
      <c r="F103" s="315"/>
      <c r="G103" s="315"/>
      <c r="H103" s="3453"/>
      <c r="I103" s="3454"/>
      <c r="J103" s="338"/>
      <c r="K103" s="346" t="s">
        <v>1843</v>
      </c>
      <c r="L103" s="3455"/>
      <c r="M103" s="3387"/>
      <c r="N103" s="3346"/>
      <c r="O103" s="3346"/>
      <c r="P103" s="3346"/>
      <c r="Q103" s="3387"/>
      <c r="R103" s="3387"/>
      <c r="S103" s="3388"/>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7"/>
      <c r="I105" s="3389"/>
      <c r="J105" s="3389"/>
      <c r="K105" s="3389"/>
      <c r="L105" s="3389"/>
      <c r="M105" s="3389"/>
      <c r="N105" s="3390"/>
      <c r="O105" s="343" t="s">
        <v>1848</v>
      </c>
      <c r="P105" s="343"/>
      <c r="Q105" s="3337"/>
      <c r="R105" s="3389"/>
      <c r="S105" s="3390"/>
      <c r="Z105" s="2246">
        <v>105</v>
      </c>
    </row>
    <row r="106" spans="2:26" s="315" customFormat="1" ht="11.25" customHeight="1">
      <c r="D106" s="344"/>
      <c r="E106" s="320" t="s">
        <v>958</v>
      </c>
      <c r="F106" s="328"/>
      <c r="H106" s="3328"/>
      <c r="I106" s="3456"/>
      <c r="J106" s="3456"/>
      <c r="K106" s="3457"/>
      <c r="L106" s="3456"/>
      <c r="M106" s="3456"/>
      <c r="N106" s="3458"/>
      <c r="O106" s="343" t="s">
        <v>1625</v>
      </c>
      <c r="P106" s="345"/>
      <c r="Q106" s="3459"/>
      <c r="R106" s="3460"/>
      <c r="S106" s="3461"/>
      <c r="Z106" s="2246">
        <v>106</v>
      </c>
    </row>
    <row r="107" spans="2:26" s="315" customFormat="1" ht="11.25" customHeight="1">
      <c r="D107" s="344"/>
      <c r="E107" s="320" t="s">
        <v>575</v>
      </c>
      <c r="H107" s="3328"/>
      <c r="I107" s="3457"/>
      <c r="J107" s="3385"/>
      <c r="K107" s="519" t="s">
        <v>2459</v>
      </c>
      <c r="L107" s="3328"/>
      <c r="M107" s="3456"/>
      <c r="N107" s="3385"/>
      <c r="O107" s="343" t="s">
        <v>1601</v>
      </c>
      <c r="P107" s="345"/>
      <c r="Q107" s="3462"/>
      <c r="R107" s="3463"/>
      <c r="S107" s="3464"/>
      <c r="Z107" s="2246">
        <v>107</v>
      </c>
    </row>
    <row r="108" spans="2:26" s="315" customFormat="1" ht="11.25" customHeight="1">
      <c r="D108" s="344"/>
      <c r="E108" s="320" t="s">
        <v>1672</v>
      </c>
      <c r="H108" s="1270"/>
      <c r="I108" s="345"/>
      <c r="J108" s="345"/>
      <c r="K108" s="861" t="s">
        <v>2062</v>
      </c>
      <c r="L108" s="3332"/>
      <c r="M108" s="3465"/>
      <c r="N108" s="345"/>
      <c r="O108" s="343" t="s">
        <v>1838</v>
      </c>
      <c r="P108" s="345"/>
      <c r="Q108" s="3462"/>
      <c r="R108" s="3463"/>
      <c r="S108" s="3464"/>
      <c r="Z108" s="2246">
        <v>108</v>
      </c>
    </row>
    <row r="109" spans="2:26" ht="11.25" customHeight="1">
      <c r="E109" s="320" t="s">
        <v>3464</v>
      </c>
      <c r="F109" s="315"/>
      <c r="G109" s="315"/>
      <c r="H109" s="3453"/>
      <c r="I109" s="3454"/>
      <c r="J109" s="338"/>
      <c r="K109" s="346" t="s">
        <v>1843</v>
      </c>
      <c r="L109" s="3455"/>
      <c r="M109" s="3387"/>
      <c r="N109" s="3346"/>
      <c r="O109" s="3346"/>
      <c r="P109" s="3346"/>
      <c r="Q109" s="3387"/>
      <c r="R109" s="3387"/>
      <c r="S109" s="3388"/>
      <c r="Z109" s="2246">
        <v>109</v>
      </c>
    </row>
    <row r="110" spans="2:26" ht="6.65"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7"/>
      <c r="I111" s="3389"/>
      <c r="J111" s="3389"/>
      <c r="K111" s="3389"/>
      <c r="L111" s="3389"/>
      <c r="M111" s="3389"/>
      <c r="N111" s="3390"/>
      <c r="O111" s="343" t="s">
        <v>1848</v>
      </c>
      <c r="P111" s="343"/>
      <c r="Q111" s="3337"/>
      <c r="R111" s="3389"/>
      <c r="S111" s="3390"/>
      <c r="Z111" s="2245">
        <v>111</v>
      </c>
    </row>
    <row r="112" spans="2:26" s="315" customFormat="1" ht="11.25" customHeight="1">
      <c r="D112" s="344"/>
      <c r="E112" s="320" t="s">
        <v>958</v>
      </c>
      <c r="F112" s="328"/>
      <c r="H112" s="3328"/>
      <c r="I112" s="3456"/>
      <c r="J112" s="3456"/>
      <c r="K112" s="3457"/>
      <c r="L112" s="3456"/>
      <c r="M112" s="3456"/>
      <c r="N112" s="3458"/>
      <c r="O112" s="343" t="s">
        <v>1625</v>
      </c>
      <c r="P112" s="345"/>
      <c r="Q112" s="3459"/>
      <c r="R112" s="3460"/>
      <c r="S112" s="3461"/>
      <c r="Z112" s="2246">
        <v>112</v>
      </c>
    </row>
    <row r="113" spans="1:26" s="315" customFormat="1" ht="11.25" customHeight="1">
      <c r="D113" s="344"/>
      <c r="E113" s="320" t="s">
        <v>575</v>
      </c>
      <c r="H113" s="3328"/>
      <c r="I113" s="3457"/>
      <c r="J113" s="3385"/>
      <c r="K113" s="519" t="s">
        <v>2459</v>
      </c>
      <c r="L113" s="3328"/>
      <c r="M113" s="3456"/>
      <c r="N113" s="3385"/>
      <c r="O113" s="343" t="s">
        <v>1601</v>
      </c>
      <c r="P113" s="345"/>
      <c r="Q113" s="3462"/>
      <c r="R113" s="3463"/>
      <c r="S113" s="3464"/>
      <c r="Z113" s="2246">
        <v>113</v>
      </c>
    </row>
    <row r="114" spans="1:26" s="315" customFormat="1" ht="11.25" customHeight="1">
      <c r="D114" s="361"/>
      <c r="E114" s="320" t="s">
        <v>1672</v>
      </c>
      <c r="H114" s="1270"/>
      <c r="I114" s="345"/>
      <c r="J114" s="345"/>
      <c r="K114" s="861" t="s">
        <v>2062</v>
      </c>
      <c r="L114" s="3332"/>
      <c r="M114" s="3465"/>
      <c r="N114" s="345"/>
      <c r="O114" s="343" t="s">
        <v>1838</v>
      </c>
      <c r="P114" s="345"/>
      <c r="Q114" s="3462"/>
      <c r="R114" s="3463"/>
      <c r="S114" s="3464"/>
      <c r="Z114" s="2246">
        <v>114</v>
      </c>
    </row>
    <row r="115" spans="1:26" s="315" customFormat="1" ht="11.25" customHeight="1">
      <c r="D115" s="361"/>
      <c r="E115" s="320" t="s">
        <v>3464</v>
      </c>
      <c r="H115" s="3453"/>
      <c r="I115" s="3454"/>
      <c r="J115" s="338"/>
      <c r="K115" s="346" t="s">
        <v>1843</v>
      </c>
      <c r="L115" s="3455"/>
      <c r="M115" s="3387"/>
      <c r="N115" s="3346"/>
      <c r="O115" s="3346"/>
      <c r="P115" s="3346"/>
      <c r="Q115" s="3387"/>
      <c r="R115" s="3387"/>
      <c r="S115" s="3388"/>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6474</v>
      </c>
      <c r="H120" s="3337"/>
      <c r="I120" s="3338"/>
      <c r="J120" s="3339"/>
      <c r="K120" s="346" t="s">
        <v>1671</v>
      </c>
      <c r="L120" s="3337"/>
      <c r="M120" s="3389"/>
      <c r="N120" s="3390"/>
      <c r="O120" s="360" t="s">
        <v>3143</v>
      </c>
      <c r="P120" s="345"/>
      <c r="Q120" s="3335"/>
      <c r="R120" s="3391"/>
      <c r="S120" s="3392"/>
      <c r="Z120" s="2246">
        <v>120</v>
      </c>
    </row>
    <row r="121" spans="1:26" s="315" customFormat="1" ht="11.25" customHeight="1">
      <c r="C121" s="317"/>
      <c r="D121" s="344"/>
      <c r="E121" s="320" t="s">
        <v>6230</v>
      </c>
      <c r="F121" s="328"/>
      <c r="H121" s="3376"/>
      <c r="I121" s="3377"/>
      <c r="J121" s="3378"/>
      <c r="K121" s="3379"/>
      <c r="L121" s="3377"/>
      <c r="M121" s="3377"/>
      <c r="N121" s="3380"/>
      <c r="O121" s="360" t="s">
        <v>575</v>
      </c>
      <c r="P121" s="345"/>
      <c r="Q121" s="3381"/>
      <c r="R121" s="3382"/>
      <c r="S121" s="3383"/>
      <c r="Z121" s="2246">
        <v>121</v>
      </c>
    </row>
    <row r="122" spans="1:26" s="315" customFormat="1" ht="11.25" customHeight="1">
      <c r="C122" s="317"/>
      <c r="D122" s="344"/>
      <c r="E122" s="320" t="s">
        <v>1672</v>
      </c>
      <c r="H122" s="1594"/>
      <c r="I122" s="861" t="s">
        <v>2062</v>
      </c>
      <c r="J122" s="3384"/>
      <c r="K122" s="3385"/>
      <c r="L122" s="346" t="s">
        <v>1843</v>
      </c>
      <c r="M122" s="3386"/>
      <c r="N122" s="3346"/>
      <c r="O122" s="3346"/>
      <c r="P122" s="3346"/>
      <c r="Q122" s="3387"/>
      <c r="R122" s="3387"/>
      <c r="S122" s="3388"/>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37"/>
      <c r="I124" s="3338"/>
      <c r="J124" s="3339"/>
      <c r="K124" s="346" t="s">
        <v>1671</v>
      </c>
      <c r="L124" s="3337"/>
      <c r="M124" s="3389"/>
      <c r="N124" s="3390"/>
      <c r="O124" s="360" t="s">
        <v>3143</v>
      </c>
      <c r="P124" s="345"/>
      <c r="Q124" s="3335"/>
      <c r="R124" s="3391"/>
      <c r="S124" s="3392"/>
      <c r="Z124" s="2246">
        <v>124</v>
      </c>
    </row>
    <row r="125" spans="1:26" s="315" customFormat="1" ht="11.25" hidden="1" customHeight="1">
      <c r="C125" s="317"/>
      <c r="D125" s="344"/>
      <c r="E125" s="2193" t="s">
        <v>6230</v>
      </c>
      <c r="F125" s="328"/>
      <c r="H125" s="3376"/>
      <c r="I125" s="3377"/>
      <c r="J125" s="3378"/>
      <c r="K125" s="3379"/>
      <c r="L125" s="3377"/>
      <c r="M125" s="3377"/>
      <c r="N125" s="3380"/>
      <c r="O125" s="360" t="s">
        <v>575</v>
      </c>
      <c r="P125" s="345"/>
      <c r="Q125" s="3381"/>
      <c r="R125" s="3382"/>
      <c r="S125" s="3383"/>
      <c r="Z125" s="2246">
        <v>125</v>
      </c>
    </row>
    <row r="126" spans="1:26" s="315" customFormat="1" ht="11.25" hidden="1" customHeight="1">
      <c r="C126" s="317"/>
      <c r="D126" s="344"/>
      <c r="E126" s="2193" t="s">
        <v>1672</v>
      </c>
      <c r="H126" s="1594"/>
      <c r="I126" s="861" t="s">
        <v>2062</v>
      </c>
      <c r="J126" s="3384"/>
      <c r="K126" s="3385"/>
      <c r="L126" s="346" t="s">
        <v>1843</v>
      </c>
      <c r="M126" s="3386"/>
      <c r="N126" s="3346"/>
      <c r="O126" s="3346"/>
      <c r="P126" s="3346"/>
      <c r="Q126" s="3387"/>
      <c r="R126" s="3387"/>
      <c r="S126" s="3388"/>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37"/>
      <c r="I128" s="3338"/>
      <c r="J128" s="3339"/>
      <c r="K128" s="346" t="s">
        <v>1671</v>
      </c>
      <c r="L128" s="3337"/>
      <c r="M128" s="3389"/>
      <c r="N128" s="3390"/>
      <c r="O128" s="360" t="s">
        <v>3143</v>
      </c>
      <c r="P128" s="345"/>
      <c r="Q128" s="3335"/>
      <c r="R128" s="3391"/>
      <c r="S128" s="3392"/>
      <c r="Z128" s="2246">
        <v>128</v>
      </c>
    </row>
    <row r="129" spans="3:26" s="315" customFormat="1" ht="11.25" hidden="1" customHeight="1">
      <c r="C129" s="317"/>
      <c r="D129" s="344"/>
      <c r="E129" s="2193" t="s">
        <v>6230</v>
      </c>
      <c r="F129" s="328"/>
      <c r="H129" s="3376"/>
      <c r="I129" s="3377"/>
      <c r="J129" s="3378"/>
      <c r="K129" s="3379"/>
      <c r="L129" s="3377"/>
      <c r="M129" s="3377"/>
      <c r="N129" s="3380"/>
      <c r="O129" s="360" t="s">
        <v>575</v>
      </c>
      <c r="P129" s="345"/>
      <c r="Q129" s="3381"/>
      <c r="R129" s="3382"/>
      <c r="S129" s="3383"/>
      <c r="Z129" s="2246">
        <v>129</v>
      </c>
    </row>
    <row r="130" spans="3:26" s="315" customFormat="1" ht="11.25" hidden="1" customHeight="1">
      <c r="C130" s="317"/>
      <c r="D130" s="344"/>
      <c r="E130" s="2193" t="s">
        <v>1672</v>
      </c>
      <c r="H130" s="1594"/>
      <c r="I130" s="861" t="s">
        <v>2062</v>
      </c>
      <c r="J130" s="3384"/>
      <c r="K130" s="3385"/>
      <c r="L130" s="346" t="s">
        <v>1843</v>
      </c>
      <c r="M130" s="3386"/>
      <c r="N130" s="3346"/>
      <c r="O130" s="3346"/>
      <c r="P130" s="3346"/>
      <c r="Q130" s="3387"/>
      <c r="R130" s="3387"/>
      <c r="S130" s="3388"/>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37"/>
      <c r="I132" s="3338"/>
      <c r="J132" s="3339"/>
      <c r="K132" s="346" t="s">
        <v>1671</v>
      </c>
      <c r="L132" s="3337"/>
      <c r="M132" s="3389"/>
      <c r="N132" s="3390"/>
      <c r="O132" s="360" t="s">
        <v>3143</v>
      </c>
      <c r="P132" s="345"/>
      <c r="Q132" s="3335"/>
      <c r="R132" s="3391"/>
      <c r="S132" s="3392"/>
      <c r="Z132" s="2246">
        <v>132</v>
      </c>
    </row>
    <row r="133" spans="3:26" s="315" customFormat="1" ht="11.25" hidden="1" customHeight="1">
      <c r="C133" s="317"/>
      <c r="D133" s="344"/>
      <c r="E133" s="2193" t="s">
        <v>6230</v>
      </c>
      <c r="F133" s="328"/>
      <c r="H133" s="3376"/>
      <c r="I133" s="3377"/>
      <c r="J133" s="3378"/>
      <c r="K133" s="3379"/>
      <c r="L133" s="3377"/>
      <c r="M133" s="3377"/>
      <c r="N133" s="3380"/>
      <c r="O133" s="360" t="s">
        <v>575</v>
      </c>
      <c r="P133" s="345"/>
      <c r="Q133" s="3381"/>
      <c r="R133" s="3382"/>
      <c r="S133" s="3383"/>
      <c r="Z133" s="2246">
        <v>133</v>
      </c>
    </row>
    <row r="134" spans="3:26" s="315" customFormat="1" ht="11.25" hidden="1" customHeight="1">
      <c r="C134" s="317"/>
      <c r="D134" s="344"/>
      <c r="E134" s="2193" t="s">
        <v>1672</v>
      </c>
      <c r="H134" s="1594"/>
      <c r="I134" s="861" t="s">
        <v>2062</v>
      </c>
      <c r="J134" s="3384"/>
      <c r="K134" s="3385"/>
      <c r="L134" s="346" t="s">
        <v>1843</v>
      </c>
      <c r="M134" s="3386"/>
      <c r="N134" s="3346"/>
      <c r="O134" s="3346"/>
      <c r="P134" s="3346"/>
      <c r="Q134" s="3387"/>
      <c r="R134" s="3387"/>
      <c r="S134" s="3388"/>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37"/>
      <c r="I136" s="3338"/>
      <c r="J136" s="3339"/>
      <c r="K136" s="346" t="s">
        <v>1671</v>
      </c>
      <c r="L136" s="3337"/>
      <c r="M136" s="3389"/>
      <c r="N136" s="3390"/>
      <c r="O136" s="360" t="s">
        <v>3143</v>
      </c>
      <c r="P136" s="345"/>
      <c r="Q136" s="3335"/>
      <c r="R136" s="3391"/>
      <c r="S136" s="3392"/>
      <c r="Z136" s="2245">
        <v>136</v>
      </c>
    </row>
    <row r="137" spans="3:26" s="315" customFormat="1" ht="11.25" hidden="1" customHeight="1">
      <c r="C137" s="317"/>
      <c r="D137" s="344"/>
      <c r="E137" s="2193" t="s">
        <v>6230</v>
      </c>
      <c r="F137" s="328"/>
      <c r="H137" s="3376"/>
      <c r="I137" s="3377"/>
      <c r="J137" s="3378"/>
      <c r="K137" s="3379"/>
      <c r="L137" s="3377"/>
      <c r="M137" s="3377"/>
      <c r="N137" s="3380"/>
      <c r="O137" s="360" t="s">
        <v>575</v>
      </c>
      <c r="P137" s="345"/>
      <c r="Q137" s="3381"/>
      <c r="R137" s="3382"/>
      <c r="S137" s="3383"/>
      <c r="Z137" s="2246">
        <v>137</v>
      </c>
    </row>
    <row r="138" spans="3:26" s="315" customFormat="1" ht="11.25" hidden="1" customHeight="1">
      <c r="C138" s="317"/>
      <c r="D138" s="344"/>
      <c r="E138" s="2193" t="s">
        <v>1672</v>
      </c>
      <c r="H138" s="1594"/>
      <c r="I138" s="861" t="s">
        <v>2062</v>
      </c>
      <c r="J138" s="3384"/>
      <c r="K138" s="3385"/>
      <c r="L138" s="346" t="s">
        <v>1843</v>
      </c>
      <c r="M138" s="3386"/>
      <c r="N138" s="3346"/>
      <c r="O138" s="3346"/>
      <c r="P138" s="3346"/>
      <c r="Q138" s="3387"/>
      <c r="R138" s="3387"/>
      <c r="S138" s="3388"/>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37"/>
      <c r="I140" s="3338"/>
      <c r="J140" s="3339"/>
      <c r="K140" s="346" t="s">
        <v>1671</v>
      </c>
      <c r="L140" s="3337"/>
      <c r="M140" s="3389"/>
      <c r="N140" s="3390"/>
      <c r="O140" s="360" t="s">
        <v>3143</v>
      </c>
      <c r="P140" s="345"/>
      <c r="Q140" s="3335"/>
      <c r="R140" s="3391"/>
      <c r="S140" s="3392"/>
      <c r="Z140" s="2246">
        <v>140</v>
      </c>
    </row>
    <row r="141" spans="3:26" s="315" customFormat="1" ht="11.25" hidden="1" customHeight="1">
      <c r="C141" s="317"/>
      <c r="D141" s="344"/>
      <c r="E141" s="2193" t="s">
        <v>6230</v>
      </c>
      <c r="F141" s="328"/>
      <c r="H141" s="3376"/>
      <c r="I141" s="3377"/>
      <c r="J141" s="3378"/>
      <c r="K141" s="3379"/>
      <c r="L141" s="3377"/>
      <c r="M141" s="3377"/>
      <c r="N141" s="3380"/>
      <c r="O141" s="360" t="s">
        <v>575</v>
      </c>
      <c r="P141" s="345"/>
      <c r="Q141" s="3381"/>
      <c r="R141" s="3382"/>
      <c r="S141" s="3383"/>
      <c r="Z141" s="2246">
        <v>141</v>
      </c>
    </row>
    <row r="142" spans="3:26" s="315" customFormat="1" ht="11.25" hidden="1" customHeight="1">
      <c r="C142" s="317"/>
      <c r="D142" s="344"/>
      <c r="E142" s="2193" t="s">
        <v>1672</v>
      </c>
      <c r="H142" s="1594"/>
      <c r="I142" s="861" t="s">
        <v>2062</v>
      </c>
      <c r="J142" s="3384"/>
      <c r="K142" s="3385"/>
      <c r="L142" s="346" t="s">
        <v>1843</v>
      </c>
      <c r="M142" s="3386"/>
      <c r="N142" s="3346"/>
      <c r="O142" s="3346"/>
      <c r="P142" s="3346"/>
      <c r="Q142" s="3387"/>
      <c r="R142" s="3387"/>
      <c r="S142" s="3388"/>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6472</v>
      </c>
      <c r="H144" s="3337"/>
      <c r="I144" s="3338"/>
      <c r="J144" s="3339"/>
      <c r="K144" s="346" t="s">
        <v>1671</v>
      </c>
      <c r="L144" s="3337"/>
      <c r="M144" s="3389"/>
      <c r="N144" s="3390"/>
      <c r="O144" s="360" t="s">
        <v>3143</v>
      </c>
      <c r="P144" s="345"/>
      <c r="Q144" s="3335"/>
      <c r="R144" s="3391"/>
      <c r="S144" s="3392"/>
      <c r="Z144" s="2246">
        <v>144</v>
      </c>
    </row>
    <row r="145" spans="1:26" s="315" customFormat="1" ht="11.25" customHeight="1">
      <c r="C145" s="317"/>
      <c r="D145" s="344"/>
      <c r="E145" s="2074" t="s">
        <v>6230</v>
      </c>
      <c r="F145" s="328"/>
      <c r="H145" s="3376"/>
      <c r="I145" s="3377"/>
      <c r="J145" s="3378"/>
      <c r="K145" s="3379"/>
      <c r="L145" s="3377"/>
      <c r="M145" s="3377"/>
      <c r="N145" s="3380"/>
      <c r="O145" s="360" t="s">
        <v>575</v>
      </c>
      <c r="P145" s="345"/>
      <c r="Q145" s="3381"/>
      <c r="R145" s="3382"/>
      <c r="S145" s="3383"/>
      <c r="Z145" s="2245">
        <v>145</v>
      </c>
    </row>
    <row r="146" spans="1:26" s="315" customFormat="1" ht="11.25" customHeight="1">
      <c r="C146" s="317"/>
      <c r="D146" s="344"/>
      <c r="E146" s="2074" t="s">
        <v>1672</v>
      </c>
      <c r="H146" s="1594"/>
      <c r="I146" s="861" t="s">
        <v>2062</v>
      </c>
      <c r="J146" s="3384"/>
      <c r="K146" s="3385"/>
      <c r="L146" s="346" t="s">
        <v>1843</v>
      </c>
      <c r="M146" s="3386"/>
      <c r="N146" s="3346"/>
      <c r="O146" s="3346"/>
      <c r="P146" s="3346"/>
      <c r="Q146" s="3387"/>
      <c r="R146" s="3387"/>
      <c r="S146" s="3388"/>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6473</v>
      </c>
      <c r="H148" s="3337"/>
      <c r="I148" s="3338"/>
      <c r="J148" s="3339"/>
      <c r="K148" s="346" t="s">
        <v>1671</v>
      </c>
      <c r="L148" s="3337"/>
      <c r="M148" s="3389"/>
      <c r="N148" s="3390"/>
      <c r="O148" s="360" t="s">
        <v>3143</v>
      </c>
      <c r="P148" s="345"/>
      <c r="Q148" s="3335"/>
      <c r="R148" s="3391"/>
      <c r="S148" s="3392"/>
      <c r="Z148" s="2246">
        <v>148</v>
      </c>
    </row>
    <row r="149" spans="1:26" s="315" customFormat="1" ht="11.25" customHeight="1">
      <c r="D149" s="344"/>
      <c r="E149" s="2074" t="s">
        <v>6230</v>
      </c>
      <c r="F149" s="328"/>
      <c r="H149" s="3376"/>
      <c r="I149" s="3377"/>
      <c r="J149" s="3378"/>
      <c r="K149" s="3379"/>
      <c r="L149" s="3377"/>
      <c r="M149" s="3377"/>
      <c r="N149" s="3380"/>
      <c r="O149" s="360" t="s">
        <v>575</v>
      </c>
      <c r="P149" s="345"/>
      <c r="Q149" s="3381"/>
      <c r="R149" s="3382"/>
      <c r="S149" s="3383"/>
      <c r="Z149" s="2246">
        <v>149</v>
      </c>
    </row>
    <row r="150" spans="1:26" s="315" customFormat="1" ht="11.25" customHeight="1">
      <c r="D150" s="344"/>
      <c r="E150" s="2074" t="s">
        <v>1672</v>
      </c>
      <c r="H150" s="1594"/>
      <c r="I150" s="861" t="s">
        <v>2062</v>
      </c>
      <c r="J150" s="3384"/>
      <c r="K150" s="3385"/>
      <c r="L150" s="346" t="s">
        <v>1843</v>
      </c>
      <c r="M150" s="3386"/>
      <c r="N150" s="3346"/>
      <c r="O150" s="3346"/>
      <c r="P150" s="3346"/>
      <c r="Q150" s="3387"/>
      <c r="R150" s="3387"/>
      <c r="S150" s="3388"/>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3.5" thickBot="1">
      <c r="A153" s="3393" t="s">
        <v>3299</v>
      </c>
      <c r="B153" s="3393"/>
      <c r="C153" s="3393"/>
      <c r="D153" s="3393"/>
      <c r="E153" s="3393"/>
      <c r="H153" s="1598" t="s">
        <v>2309</v>
      </c>
      <c r="I153" s="3370" t="s">
        <v>6524</v>
      </c>
      <c r="J153" s="3371"/>
      <c r="K153" s="3371"/>
      <c r="L153" s="3371"/>
      <c r="M153" s="3371"/>
      <c r="N153" s="3371"/>
      <c r="O153" s="3371"/>
      <c r="P153" s="3371"/>
      <c r="Q153" s="3371"/>
      <c r="R153" s="3371"/>
      <c r="S153" s="3372"/>
      <c r="Z153" s="2246">
        <v>153</v>
      </c>
    </row>
    <row r="154" spans="1:26" s="315" customFormat="1" ht="15" customHeight="1" thickBot="1">
      <c r="B154" s="2218" t="s">
        <v>1845</v>
      </c>
      <c r="C154" s="339" t="s">
        <v>2522</v>
      </c>
      <c r="E154" s="339"/>
      <c r="H154" s="1539" t="s">
        <v>3843</v>
      </c>
      <c r="I154" s="3479"/>
      <c r="J154" s="3398"/>
      <c r="K154" s="3398"/>
      <c r="L154" s="3398"/>
      <c r="M154" s="3398"/>
      <c r="N154" s="3398"/>
      <c r="O154" s="3398"/>
      <c r="P154" s="3398"/>
      <c r="Q154" s="3398"/>
      <c r="R154" s="3398"/>
      <c r="S154" s="3400"/>
      <c r="U154" s="3299" t="s">
        <v>1884</v>
      </c>
      <c r="V154" s="3299"/>
      <c r="Z154" s="2246">
        <v>154</v>
      </c>
    </row>
    <row r="155" spans="1:26" s="315" customFormat="1" ht="15" customHeight="1" thickBot="1">
      <c r="B155" s="616" t="s">
        <v>1847</v>
      </c>
      <c r="C155" s="511" t="s">
        <v>6228</v>
      </c>
      <c r="E155" s="339"/>
      <c r="H155" s="1539" t="s">
        <v>3843</v>
      </c>
      <c r="I155" s="3478"/>
      <c r="J155" s="3405"/>
      <c r="K155" s="3405"/>
      <c r="L155" s="3405"/>
      <c r="M155" s="3405"/>
      <c r="N155" s="3405"/>
      <c r="O155" s="3405"/>
      <c r="P155" s="3405"/>
      <c r="Q155" s="3405"/>
      <c r="R155" s="3405"/>
      <c r="S155" s="3407"/>
      <c r="U155" s="3299"/>
      <c r="V155" s="3299"/>
      <c r="Z155" s="2245">
        <v>155</v>
      </c>
    </row>
    <row r="156" spans="1:26" s="315" customFormat="1" ht="15" customHeight="1" thickBot="1">
      <c r="B156" s="616" t="s">
        <v>2333</v>
      </c>
      <c r="C156" s="511" t="s">
        <v>2558</v>
      </c>
      <c r="E156" s="339"/>
      <c r="H156" s="1539" t="s">
        <v>3843</v>
      </c>
      <c r="I156" s="3478"/>
      <c r="J156" s="3405"/>
      <c r="K156" s="3405"/>
      <c r="L156" s="3405"/>
      <c r="M156" s="3405"/>
      <c r="N156" s="3405"/>
      <c r="O156" s="3405"/>
      <c r="P156" s="3405"/>
      <c r="Q156" s="3405"/>
      <c r="R156" s="3405"/>
      <c r="S156" s="3407"/>
      <c r="U156" s="3299"/>
      <c r="V156" s="3299"/>
      <c r="Z156" s="2246">
        <v>156</v>
      </c>
    </row>
    <row r="157" spans="1:26" s="315" customFormat="1" ht="15" customHeight="1" thickBot="1">
      <c r="B157" s="616" t="s">
        <v>1151</v>
      </c>
      <c r="C157" s="511" t="s">
        <v>2523</v>
      </c>
      <c r="E157" s="339"/>
      <c r="H157" s="1539" t="s">
        <v>3843</v>
      </c>
      <c r="I157" s="3478"/>
      <c r="J157" s="3405"/>
      <c r="K157" s="3405"/>
      <c r="L157" s="3405"/>
      <c r="M157" s="3405"/>
      <c r="N157" s="3405"/>
      <c r="O157" s="3405"/>
      <c r="P157" s="3405"/>
      <c r="Q157" s="3405"/>
      <c r="R157" s="3405"/>
      <c r="S157" s="3407"/>
      <c r="U157" s="3299"/>
      <c r="V157" s="3299"/>
      <c r="Z157" s="2246">
        <v>157</v>
      </c>
    </row>
    <row r="158" spans="1:26" s="315" customFormat="1" ht="15" customHeight="1" thickBot="1">
      <c r="B158" s="616" t="s">
        <v>1152</v>
      </c>
      <c r="C158" s="511" t="s">
        <v>3077</v>
      </c>
      <c r="E158" s="339"/>
      <c r="H158" s="1539" t="s">
        <v>3843</v>
      </c>
      <c r="I158" s="3478"/>
      <c r="J158" s="3405"/>
      <c r="K158" s="3405"/>
      <c r="L158" s="3405"/>
      <c r="M158" s="3405"/>
      <c r="N158" s="3405"/>
      <c r="O158" s="3405"/>
      <c r="P158" s="3405"/>
      <c r="Q158" s="3405"/>
      <c r="R158" s="3405"/>
      <c r="S158" s="3407"/>
      <c r="U158" s="3299"/>
      <c r="V158" s="3299"/>
      <c r="Z158" s="2246">
        <v>158</v>
      </c>
    </row>
    <row r="159" spans="1:26" s="315" customFormat="1" ht="15" customHeight="1" thickBot="1">
      <c r="B159" s="616" t="s">
        <v>1742</v>
      </c>
      <c r="C159" s="511" t="s">
        <v>3078</v>
      </c>
      <c r="E159" s="339"/>
      <c r="H159" s="1539" t="s">
        <v>3843</v>
      </c>
      <c r="I159" s="3478"/>
      <c r="J159" s="3405"/>
      <c r="K159" s="3405"/>
      <c r="L159" s="3405"/>
      <c r="M159" s="3405"/>
      <c r="N159" s="3405"/>
      <c r="O159" s="3405"/>
      <c r="P159" s="3405"/>
      <c r="Q159" s="3405"/>
      <c r="R159" s="3405"/>
      <c r="S159" s="3407"/>
      <c r="U159" s="3299"/>
      <c r="V159" s="3299"/>
      <c r="Z159" s="2246">
        <v>159</v>
      </c>
    </row>
    <row r="160" spans="1:26" s="315" customFormat="1" ht="15" customHeight="1" thickBot="1">
      <c r="B160" s="616" t="s">
        <v>473</v>
      </c>
      <c r="C160" s="511" t="s">
        <v>2524</v>
      </c>
      <c r="E160" s="339"/>
      <c r="H160" s="1539" t="s">
        <v>3843</v>
      </c>
      <c r="I160" s="3478"/>
      <c r="J160" s="3405"/>
      <c r="K160" s="3405"/>
      <c r="L160" s="3405"/>
      <c r="M160" s="3405"/>
      <c r="N160" s="3405"/>
      <c r="O160" s="3405"/>
      <c r="P160" s="3405"/>
      <c r="Q160" s="3405"/>
      <c r="R160" s="3405"/>
      <c r="S160" s="3407"/>
      <c r="Z160" s="2246">
        <v>160</v>
      </c>
    </row>
    <row r="161" spans="1:26" s="315" customFormat="1" ht="15" customHeight="1" thickBot="1">
      <c r="B161" s="616" t="s">
        <v>474</v>
      </c>
      <c r="C161" s="511" t="s">
        <v>3894</v>
      </c>
      <c r="E161" s="339"/>
      <c r="H161" s="1539" t="s">
        <v>3843</v>
      </c>
      <c r="I161" s="3478"/>
      <c r="J161" s="3405"/>
      <c r="K161" s="3405"/>
      <c r="L161" s="3405"/>
      <c r="M161" s="3405"/>
      <c r="N161" s="3405"/>
      <c r="O161" s="3405"/>
      <c r="P161" s="3405"/>
      <c r="Q161" s="3405"/>
      <c r="R161" s="3405"/>
      <c r="S161" s="3407"/>
      <c r="Z161" s="2246">
        <v>161</v>
      </c>
    </row>
    <row r="162" spans="1:26" s="315" customFormat="1" ht="15" customHeight="1" thickBot="1">
      <c r="B162" s="616" t="s">
        <v>3893</v>
      </c>
      <c r="C162" s="3373" t="s">
        <v>6479</v>
      </c>
      <c r="D162" s="3374"/>
      <c r="E162" s="3374"/>
      <c r="F162" s="3374"/>
      <c r="G162" s="3375"/>
      <c r="H162" s="1539" t="s">
        <v>3843</v>
      </c>
      <c r="I162" s="3477"/>
      <c r="J162" s="3444"/>
      <c r="K162" s="3444"/>
      <c r="L162" s="3444"/>
      <c r="M162" s="3444"/>
      <c r="N162" s="3444"/>
      <c r="O162" s="3444"/>
      <c r="P162" s="3444"/>
      <c r="Q162" s="3444"/>
      <c r="R162" s="3444"/>
      <c r="S162" s="3446"/>
      <c r="Z162" s="2246">
        <v>162</v>
      </c>
    </row>
    <row r="163" spans="1:26" s="315" customFormat="1" ht="13.4"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4" customHeight="1">
      <c r="B165" s="317" t="s">
        <v>698</v>
      </c>
      <c r="C165" s="317" t="s">
        <v>3886</v>
      </c>
      <c r="Z165" s="2246">
        <v>165</v>
      </c>
    </row>
    <row r="166" spans="1:26" s="315" customFormat="1" ht="12.75" customHeight="1">
      <c r="A166" s="3408" t="s">
        <v>594</v>
      </c>
      <c r="B166" s="3409"/>
      <c r="C166" s="3409"/>
      <c r="D166" s="3409"/>
      <c r="E166" s="3414" t="s">
        <v>3066</v>
      </c>
      <c r="F166" s="3415"/>
      <c r="G166" s="3415"/>
      <c r="H166" s="3415"/>
      <c r="I166" s="3416"/>
      <c r="J166" s="3420" t="s">
        <v>3067</v>
      </c>
      <c r="K166" s="3423" t="s">
        <v>2580</v>
      </c>
      <c r="L166" s="3423" t="s">
        <v>2581</v>
      </c>
      <c r="M166" s="3426" t="s">
        <v>6480</v>
      </c>
      <c r="N166" s="3427"/>
      <c r="O166" s="3427"/>
      <c r="P166" s="3427"/>
      <c r="Q166" s="3427"/>
      <c r="R166" s="3427"/>
      <c r="S166" s="3428"/>
      <c r="Z166" s="2246">
        <v>166</v>
      </c>
    </row>
    <row r="167" spans="1:26" s="315" customFormat="1" ht="12.75" customHeight="1">
      <c r="A167" s="3410"/>
      <c r="B167" s="3411"/>
      <c r="C167" s="3411"/>
      <c r="D167" s="3411"/>
      <c r="E167" s="3417"/>
      <c r="F167" s="3418"/>
      <c r="G167" s="3418"/>
      <c r="H167" s="3418"/>
      <c r="I167" s="3419"/>
      <c r="J167" s="3421"/>
      <c r="K167" s="3424"/>
      <c r="L167" s="3424"/>
      <c r="M167" s="3429"/>
      <c r="N167" s="3430"/>
      <c r="O167" s="3430"/>
      <c r="P167" s="3430"/>
      <c r="Q167" s="3430"/>
      <c r="R167" s="3430"/>
      <c r="S167" s="3431"/>
      <c r="Z167" s="2246">
        <v>167</v>
      </c>
    </row>
    <row r="168" spans="1:26" s="315" customFormat="1" ht="12.75" customHeight="1">
      <c r="A168" s="3410"/>
      <c r="B168" s="3411"/>
      <c r="C168" s="3411"/>
      <c r="D168" s="3411"/>
      <c r="E168" s="3417"/>
      <c r="F168" s="3418"/>
      <c r="G168" s="3418"/>
      <c r="H168" s="3418"/>
      <c r="I168" s="3419"/>
      <c r="J168" s="3421"/>
      <c r="K168" s="3424"/>
      <c r="L168" s="3424"/>
      <c r="M168" s="3429"/>
      <c r="N168" s="3430"/>
      <c r="O168" s="3430"/>
      <c r="P168" s="3430"/>
      <c r="Q168" s="3430"/>
      <c r="R168" s="3430"/>
      <c r="S168" s="3431"/>
      <c r="Z168" s="2246">
        <v>168</v>
      </c>
    </row>
    <row r="169" spans="1:26" s="315" customFormat="1" ht="12.75" customHeight="1">
      <c r="A169" s="3410"/>
      <c r="B169" s="3411"/>
      <c r="C169" s="3411"/>
      <c r="D169" s="3411"/>
      <c r="E169" s="3432" t="s">
        <v>3220</v>
      </c>
      <c r="F169" s="3433"/>
      <c r="G169" s="3433"/>
      <c r="H169" s="3434"/>
      <c r="I169" s="621"/>
      <c r="J169" s="3421"/>
      <c r="K169" s="3424"/>
      <c r="L169" s="3424"/>
      <c r="M169" s="3429"/>
      <c r="N169" s="3430"/>
      <c r="O169" s="3430"/>
      <c r="P169" s="3430"/>
      <c r="Q169" s="3430"/>
      <c r="R169" s="3430"/>
      <c r="S169" s="3431"/>
      <c r="Z169" s="2246">
        <v>169</v>
      </c>
    </row>
    <row r="170" spans="1:26" s="315" customFormat="1" ht="13.5" customHeight="1">
      <c r="A170" s="3412"/>
      <c r="B170" s="3413"/>
      <c r="C170" s="3413"/>
      <c r="D170" s="3413"/>
      <c r="E170" s="3435"/>
      <c r="F170" s="3436"/>
      <c r="G170" s="3436"/>
      <c r="H170" s="3437"/>
      <c r="I170" s="1540" t="s">
        <v>2309</v>
      </c>
      <c r="J170" s="3422"/>
      <c r="K170" s="3425"/>
      <c r="L170" s="3424"/>
      <c r="M170" s="1541" t="s">
        <v>2309</v>
      </c>
      <c r="N170" s="3438" t="s">
        <v>2579</v>
      </c>
      <c r="O170" s="3438"/>
      <c r="P170" s="3438"/>
      <c r="Q170" s="3438"/>
      <c r="R170" s="3438"/>
      <c r="S170" s="3439"/>
      <c r="Z170" s="2246">
        <v>170</v>
      </c>
    </row>
    <row r="171" spans="1:26" s="315" customFormat="1" ht="23.25" customHeight="1">
      <c r="A171" s="3394" t="s">
        <v>3061</v>
      </c>
      <c r="B171" s="3395"/>
      <c r="C171" s="3395"/>
      <c r="D171" s="3396"/>
      <c r="E171" s="3397"/>
      <c r="F171" s="3398"/>
      <c r="G171" s="3398"/>
      <c r="H171" s="3398"/>
      <c r="I171" s="828" t="s">
        <v>3843</v>
      </c>
      <c r="J171" s="617" t="s">
        <v>3843</v>
      </c>
      <c r="K171" s="622"/>
      <c r="L171" s="831"/>
      <c r="M171" s="623" t="s">
        <v>3843</v>
      </c>
      <c r="N171" s="3399"/>
      <c r="O171" s="3398"/>
      <c r="P171" s="3398"/>
      <c r="Q171" s="3398"/>
      <c r="R171" s="3398"/>
      <c r="S171" s="3400"/>
      <c r="Z171" s="2245">
        <v>171</v>
      </c>
    </row>
    <row r="172" spans="1:26" s="315" customFormat="1" ht="23.25" customHeight="1">
      <c r="A172" s="3401" t="s">
        <v>3062</v>
      </c>
      <c r="B172" s="3402"/>
      <c r="C172" s="3402"/>
      <c r="D172" s="3403"/>
      <c r="E172" s="3404"/>
      <c r="F172" s="3405"/>
      <c r="G172" s="3405"/>
      <c r="H172" s="3405"/>
      <c r="I172" s="829" t="s">
        <v>3843</v>
      </c>
      <c r="J172" s="618" t="s">
        <v>3843</v>
      </c>
      <c r="K172" s="624"/>
      <c r="L172" s="832"/>
      <c r="M172" s="625" t="s">
        <v>3843</v>
      </c>
      <c r="N172" s="3406"/>
      <c r="O172" s="3405"/>
      <c r="P172" s="3405"/>
      <c r="Q172" s="3405"/>
      <c r="R172" s="3405"/>
      <c r="S172" s="3407"/>
      <c r="U172" s="3299" t="s">
        <v>1884</v>
      </c>
      <c r="V172" s="3299"/>
      <c r="Z172" s="2246">
        <v>172</v>
      </c>
    </row>
    <row r="173" spans="1:26" s="315" customFormat="1" ht="23.25" customHeight="1">
      <c r="A173" s="3401" t="s">
        <v>3063</v>
      </c>
      <c r="B173" s="3402"/>
      <c r="C173" s="3402"/>
      <c r="D173" s="3403"/>
      <c r="E173" s="3404"/>
      <c r="F173" s="3405"/>
      <c r="G173" s="3405"/>
      <c r="H173" s="3405"/>
      <c r="I173" s="829" t="s">
        <v>3843</v>
      </c>
      <c r="J173" s="618" t="s">
        <v>3843</v>
      </c>
      <c r="K173" s="624"/>
      <c r="L173" s="832"/>
      <c r="M173" s="625" t="s">
        <v>3843</v>
      </c>
      <c r="N173" s="3406"/>
      <c r="O173" s="3405"/>
      <c r="P173" s="3405"/>
      <c r="Q173" s="3405"/>
      <c r="R173" s="3405"/>
      <c r="S173" s="3407"/>
      <c r="U173" s="3299"/>
      <c r="V173" s="3299"/>
      <c r="Z173" s="2246">
        <v>173</v>
      </c>
    </row>
    <row r="174" spans="1:26" s="315" customFormat="1" ht="23.25" customHeight="1">
      <c r="A174" s="3401" t="s">
        <v>3064</v>
      </c>
      <c r="B174" s="3402"/>
      <c r="C174" s="3402"/>
      <c r="D174" s="3403"/>
      <c r="E174" s="3404"/>
      <c r="F174" s="3405"/>
      <c r="G174" s="3405"/>
      <c r="H174" s="3405"/>
      <c r="I174" s="829" t="s">
        <v>3843</v>
      </c>
      <c r="J174" s="618" t="s">
        <v>3843</v>
      </c>
      <c r="K174" s="624"/>
      <c r="L174" s="832"/>
      <c r="M174" s="625" t="s">
        <v>3843</v>
      </c>
      <c r="N174" s="3406"/>
      <c r="O174" s="3405"/>
      <c r="P174" s="3405"/>
      <c r="Q174" s="3405"/>
      <c r="R174" s="3405"/>
      <c r="S174" s="3407"/>
      <c r="U174" s="3299"/>
      <c r="V174" s="3299"/>
      <c r="Z174" s="2246">
        <v>174</v>
      </c>
    </row>
    <row r="175" spans="1:26" s="315" customFormat="1" ht="23.25" customHeight="1">
      <c r="A175" s="3401" t="s">
        <v>3065</v>
      </c>
      <c r="B175" s="3402"/>
      <c r="C175" s="3402"/>
      <c r="D175" s="3403"/>
      <c r="E175" s="3404"/>
      <c r="F175" s="3405"/>
      <c r="G175" s="3405"/>
      <c r="H175" s="3405"/>
      <c r="I175" s="829" t="s">
        <v>3843</v>
      </c>
      <c r="J175" s="618" t="s">
        <v>3843</v>
      </c>
      <c r="K175" s="624"/>
      <c r="L175" s="832"/>
      <c r="M175" s="625" t="s">
        <v>3843</v>
      </c>
      <c r="N175" s="3406"/>
      <c r="O175" s="3405"/>
      <c r="P175" s="3405"/>
      <c r="Q175" s="3405"/>
      <c r="R175" s="3405"/>
      <c r="S175" s="3407"/>
      <c r="U175" s="3299"/>
      <c r="V175" s="3299"/>
      <c r="Z175" s="2246">
        <v>175</v>
      </c>
    </row>
    <row r="176" spans="1:26" s="315" customFormat="1" ht="23.25" customHeight="1">
      <c r="A176" s="3401" t="s">
        <v>2570</v>
      </c>
      <c r="B176" s="3402"/>
      <c r="C176" s="3402"/>
      <c r="D176" s="3403"/>
      <c r="E176" s="3404"/>
      <c r="F176" s="3405"/>
      <c r="G176" s="3405"/>
      <c r="H176" s="3405"/>
      <c r="I176" s="829" t="s">
        <v>3843</v>
      </c>
      <c r="J176" s="618" t="s">
        <v>3843</v>
      </c>
      <c r="K176" s="624"/>
      <c r="L176" s="832"/>
      <c r="M176" s="625" t="s">
        <v>3843</v>
      </c>
      <c r="N176" s="3406"/>
      <c r="O176" s="3405"/>
      <c r="P176" s="3405"/>
      <c r="Q176" s="3405"/>
      <c r="R176" s="3405"/>
      <c r="S176" s="3407"/>
      <c r="U176" s="3299"/>
      <c r="V176" s="3299"/>
      <c r="Z176" s="2246">
        <v>176</v>
      </c>
    </row>
    <row r="177" spans="1:26" s="315" customFormat="1" ht="23.25" customHeight="1">
      <c r="A177" s="3401" t="s">
        <v>607</v>
      </c>
      <c r="B177" s="3402"/>
      <c r="C177" s="3402"/>
      <c r="D177" s="3403"/>
      <c r="E177" s="3404"/>
      <c r="F177" s="3405"/>
      <c r="G177" s="3405"/>
      <c r="H177" s="3405"/>
      <c r="I177" s="829" t="s">
        <v>3843</v>
      </c>
      <c r="J177" s="618" t="s">
        <v>3843</v>
      </c>
      <c r="K177" s="624"/>
      <c r="L177" s="832"/>
      <c r="M177" s="625" t="s">
        <v>3843</v>
      </c>
      <c r="N177" s="3406"/>
      <c r="O177" s="3405"/>
      <c r="P177" s="3405"/>
      <c r="Q177" s="3405"/>
      <c r="R177" s="3405"/>
      <c r="S177" s="3407"/>
      <c r="U177" s="3299"/>
      <c r="V177" s="3299"/>
      <c r="Z177" s="2246">
        <v>177</v>
      </c>
    </row>
    <row r="178" spans="1:26" s="315" customFormat="1" ht="23.25" customHeight="1">
      <c r="A178" s="3401" t="s">
        <v>2571</v>
      </c>
      <c r="B178" s="3402"/>
      <c r="C178" s="3402"/>
      <c r="D178" s="3403"/>
      <c r="E178" s="3404"/>
      <c r="F178" s="3405"/>
      <c r="G178" s="3405"/>
      <c r="H178" s="3405"/>
      <c r="I178" s="829" t="s">
        <v>3843</v>
      </c>
      <c r="J178" s="618" t="s">
        <v>3843</v>
      </c>
      <c r="K178" s="624"/>
      <c r="L178" s="832"/>
      <c r="M178" s="625" t="s">
        <v>3843</v>
      </c>
      <c r="N178" s="3406"/>
      <c r="O178" s="3405"/>
      <c r="P178" s="3405"/>
      <c r="Q178" s="3405"/>
      <c r="R178" s="3405"/>
      <c r="S178" s="3407"/>
      <c r="Z178" s="2245">
        <v>178</v>
      </c>
    </row>
    <row r="179" spans="1:26" s="315" customFormat="1" ht="23.25" customHeight="1">
      <c r="A179" s="3401" t="s">
        <v>2572</v>
      </c>
      <c r="B179" s="3402"/>
      <c r="C179" s="3402"/>
      <c r="D179" s="3403"/>
      <c r="E179" s="3404"/>
      <c r="F179" s="3405"/>
      <c r="G179" s="3405"/>
      <c r="H179" s="3405"/>
      <c r="I179" s="829" t="s">
        <v>3843</v>
      </c>
      <c r="J179" s="618" t="s">
        <v>3843</v>
      </c>
      <c r="K179" s="624"/>
      <c r="L179" s="832"/>
      <c r="M179" s="625" t="s">
        <v>3843</v>
      </c>
      <c r="N179" s="3406"/>
      <c r="O179" s="3405"/>
      <c r="P179" s="3405"/>
      <c r="Q179" s="3405"/>
      <c r="R179" s="3405"/>
      <c r="S179" s="3407"/>
      <c r="Z179" s="2246">
        <v>179</v>
      </c>
    </row>
    <row r="180" spans="1:26" s="315" customFormat="1" ht="23.25" customHeight="1">
      <c r="A180" s="3401" t="s">
        <v>2574</v>
      </c>
      <c r="B180" s="3402"/>
      <c r="C180" s="3402"/>
      <c r="D180" s="3403"/>
      <c r="E180" s="3404"/>
      <c r="F180" s="3405"/>
      <c r="G180" s="3405"/>
      <c r="H180" s="3405"/>
      <c r="I180" s="829" t="s">
        <v>3843</v>
      </c>
      <c r="J180" s="618" t="s">
        <v>3843</v>
      </c>
      <c r="K180" s="624"/>
      <c r="L180" s="832"/>
      <c r="M180" s="625" t="s">
        <v>3843</v>
      </c>
      <c r="N180" s="3406"/>
      <c r="O180" s="3405"/>
      <c r="P180" s="3405"/>
      <c r="Q180" s="3405"/>
      <c r="R180" s="3405"/>
      <c r="S180" s="3407"/>
      <c r="Z180" s="2246">
        <v>180</v>
      </c>
    </row>
    <row r="181" spans="1:26" s="315" customFormat="1" ht="23.25" customHeight="1">
      <c r="A181" s="3401" t="s">
        <v>2573</v>
      </c>
      <c r="B181" s="3402"/>
      <c r="C181" s="3402"/>
      <c r="D181" s="3403"/>
      <c r="E181" s="3404"/>
      <c r="F181" s="3405"/>
      <c r="G181" s="3405"/>
      <c r="H181" s="3405"/>
      <c r="I181" s="829" t="s">
        <v>3843</v>
      </c>
      <c r="J181" s="618" t="s">
        <v>3843</v>
      </c>
      <c r="K181" s="624"/>
      <c r="L181" s="832"/>
      <c r="M181" s="625" t="s">
        <v>3843</v>
      </c>
      <c r="N181" s="3406"/>
      <c r="O181" s="3405"/>
      <c r="P181" s="3405"/>
      <c r="Q181" s="3405"/>
      <c r="R181" s="3405"/>
      <c r="S181" s="3407"/>
      <c r="Z181" s="2246">
        <v>181</v>
      </c>
    </row>
    <row r="182" spans="1:26" s="315" customFormat="1" ht="23.25" customHeight="1">
      <c r="A182" s="3401" t="s">
        <v>1432</v>
      </c>
      <c r="B182" s="3402"/>
      <c r="C182" s="3402"/>
      <c r="D182" s="3403"/>
      <c r="E182" s="3404"/>
      <c r="F182" s="3405"/>
      <c r="G182" s="3405"/>
      <c r="H182" s="3405"/>
      <c r="I182" s="829" t="s">
        <v>3843</v>
      </c>
      <c r="J182" s="618" t="s">
        <v>3843</v>
      </c>
      <c r="K182" s="624"/>
      <c r="L182" s="832"/>
      <c r="M182" s="625" t="s">
        <v>3843</v>
      </c>
      <c r="N182" s="3406"/>
      <c r="O182" s="3405"/>
      <c r="P182" s="3405"/>
      <c r="Q182" s="3405"/>
      <c r="R182" s="3405"/>
      <c r="S182" s="3407"/>
      <c r="Z182" s="2246">
        <v>182</v>
      </c>
    </row>
    <row r="183" spans="1:26" s="315" customFormat="1" ht="23.25" customHeight="1">
      <c r="A183" s="3440" t="s">
        <v>2575</v>
      </c>
      <c r="B183" s="3441"/>
      <c r="C183" s="3441"/>
      <c r="D183" s="3442"/>
      <c r="E183" s="3443"/>
      <c r="F183" s="3444"/>
      <c r="G183" s="3444"/>
      <c r="H183" s="3444"/>
      <c r="I183" s="830" t="s">
        <v>3843</v>
      </c>
      <c r="J183" s="619" t="s">
        <v>3843</v>
      </c>
      <c r="K183" s="626"/>
      <c r="L183" s="833"/>
      <c r="M183" s="627" t="s">
        <v>3843</v>
      </c>
      <c r="N183" s="3445"/>
      <c r="O183" s="3444"/>
      <c r="P183" s="3444"/>
      <c r="Q183" s="3444"/>
      <c r="R183" s="3444"/>
      <c r="S183" s="3446"/>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47"/>
      <c r="B186" s="3448"/>
      <c r="C186" s="3448"/>
      <c r="D186" s="3448"/>
      <c r="E186" s="3448"/>
      <c r="F186" s="3448"/>
      <c r="G186" s="3448"/>
      <c r="H186" s="3448"/>
      <c r="I186" s="3448"/>
      <c r="J186" s="3448"/>
      <c r="K186" s="3448"/>
      <c r="L186" s="3448"/>
      <c r="M186" s="3449"/>
      <c r="N186" s="3450"/>
      <c r="O186" s="3451"/>
      <c r="P186" s="3451"/>
      <c r="Q186" s="3451"/>
      <c r="R186" s="3451"/>
      <c r="S186" s="3452"/>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796875" defaultRowHeight="12.5"/>
  <cols>
    <col min="1" max="8" width="9.26953125" style="2751" bestFit="1" customWidth="1"/>
    <col min="9" max="9" width="14.453125" style="2751" bestFit="1" customWidth="1"/>
    <col min="10" max="10" width="9.26953125" style="2751" bestFit="1" customWidth="1"/>
    <col min="11" max="11" width="12.1796875" style="2751" bestFit="1" customWidth="1"/>
    <col min="12" max="20" width="9.26953125" style="2751" bestFit="1" customWidth="1"/>
    <col min="21" max="21" width="9.1796875" style="2751"/>
    <col min="22" max="22" width="9.26953125" style="2751" bestFit="1" customWidth="1"/>
    <col min="23" max="23" width="9.1796875" style="2751"/>
    <col min="24" max="359" width="9.26953125" style="2751" bestFit="1" customWidth="1"/>
    <col min="360" max="16384" width="9.1796875" style="2751"/>
  </cols>
  <sheetData>
    <row r="1" spans="1:26" s="652" customFormat="1" ht="15" customHeight="1">
      <c r="A1" s="2674" t="s">
        <v>916</v>
      </c>
    </row>
    <row r="2" spans="1:26" s="652" customFormat="1" ht="15" customHeight="1">
      <c r="A2" s="2675" t="str">
        <f>'Project Narrative'!A2</f>
        <v>Villa Rica Senior</v>
      </c>
    </row>
    <row r="3" spans="1:26" s="652" customFormat="1" ht="15" customHeight="1">
      <c r="A3" s="2676" t="str">
        <f>CONCATENATE('Part I-Project Identification'!F30,", ", 'Part I-Project Identification'!J30," County")</f>
        <v>Villa Rica, Carroll County</v>
      </c>
    </row>
    <row r="4" spans="1:26" s="652" customFormat="1" ht="12" customHeight="1"/>
    <row r="5" spans="1:26" s="652" customFormat="1" ht="15.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5" customHeight="1">
      <c r="A6" s="2680"/>
      <c r="B6" s="2679"/>
      <c r="C6" s="2679"/>
      <c r="D6" s="2679"/>
      <c r="E6" s="2679"/>
      <c r="F6" s="2679"/>
    </row>
    <row r="7" spans="1:26" s="652" customFormat="1" ht="15.5">
      <c r="A7" s="2680"/>
      <c r="B7" s="2679"/>
      <c r="C7" s="2679"/>
      <c r="D7" s="2679"/>
      <c r="E7" s="2679"/>
      <c r="F7" s="2679"/>
    </row>
    <row r="8" spans="1:26" s="652" customFormat="1" ht="13">
      <c r="A8" s="2680"/>
    </row>
    <row r="9" spans="1:26" s="2681" customFormat="1" ht="14.15" customHeight="1">
      <c r="A9" s="2681" t="str">
        <f>CONCATENATE("PART ONE - PROJECT INFORMATION"," - ",$O$7," ",$F$29,", ",'Part I-Project Identification'!F37,", ",'Part I-Project Identification'!J37," County")</f>
        <v>PART ONE - PROJECT INFORMATION -  135 Auburn Avenue NE Suite 202,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4">
      <c r="A11" s="2681" t="s">
        <v>6817</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6818</v>
      </c>
      <c r="L13" s="2682"/>
      <c r="P13" s="2687" t="s">
        <v>3292</v>
      </c>
      <c r="Z13" s="2682">
        <v>6</v>
      </c>
    </row>
    <row r="14" spans="1:26" s="2681" customFormat="1" ht="12" customHeight="1">
      <c r="A14" s="2685"/>
      <c r="B14" s="2685"/>
      <c r="C14" s="2685"/>
      <c r="D14" s="2685"/>
      <c r="E14" s="2688"/>
      <c r="F14" s="2682"/>
      <c r="G14" s="2686" t="s">
        <v>6819</v>
      </c>
      <c r="H14" s="2682"/>
      <c r="I14" s="2682"/>
      <c r="J14" s="2682"/>
      <c r="O14" s="2689" t="str">
        <f>'Part I-Project Identification'!O7</f>
        <v>2022-0</v>
      </c>
      <c r="P14" s="2689"/>
      <c r="Q14" s="2690" t="s">
        <v>6643</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4" customHeight="1">
      <c r="A17" s="2681" t="s">
        <v>573</v>
      </c>
      <c r="B17" s="2681" t="s">
        <v>2193</v>
      </c>
      <c r="D17" s="2693"/>
      <c r="E17" s="2682"/>
      <c r="F17" s="2694" t="s">
        <v>3268</v>
      </c>
      <c r="I17" s="2695">
        <f>'Part III-A-Uses of Funds'!$J$191</f>
        <v>1000000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4" customHeight="1">
      <c r="A19" s="2694" t="s">
        <v>689</v>
      </c>
      <c r="B19" s="2681" t="s">
        <v>1892</v>
      </c>
      <c r="F19" s="2698" t="str">
        <f>'Part I-Project Identification'!F12</f>
        <v>9% Credit Competitive Round only</v>
      </c>
      <c r="G19" s="2698"/>
      <c r="H19" s="2698"/>
      <c r="I19" s="2699" t="s">
        <v>6820</v>
      </c>
      <c r="J19" s="2681" t="s">
        <v>6821</v>
      </c>
      <c r="L19" s="2682"/>
      <c r="O19" s="2689" t="str">
        <f>'Part I-Project Identification'!O12</f>
        <v>2022PA-004</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National Church Residences</v>
      </c>
      <c r="G22" s="2689"/>
      <c r="H22" s="2689"/>
      <c r="I22" s="2702" t="s">
        <v>1671</v>
      </c>
      <c r="J22" s="2689" t="str">
        <f>'Part I-Project Identification'!J15</f>
        <v>Matthew Rule</v>
      </c>
      <c r="K22" s="2689"/>
      <c r="L22" s="2689"/>
      <c r="M22" s="2701" t="s">
        <v>1839</v>
      </c>
      <c r="N22" s="2689" t="str">
        <f>'Part I-Project Identification'!N15</f>
        <v>Senior Vice President</v>
      </c>
      <c r="O22" s="2689"/>
      <c r="P22" s="2689"/>
      <c r="Q22" s="2691"/>
      <c r="R22" s="2691"/>
      <c r="S22" s="2691"/>
      <c r="Z22" s="2682">
        <v>15</v>
      </c>
    </row>
    <row r="23" spans="1:26" s="2702" customFormat="1" ht="12.75" customHeight="1">
      <c r="B23" s="2701" t="s">
        <v>1840</v>
      </c>
      <c r="F23" s="2689" t="str">
        <f>'Part I-Project Identification'!F16</f>
        <v>2335 North Bank Drive</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Columbus</v>
      </c>
      <c r="G24" s="2689"/>
      <c r="H24" s="2689"/>
      <c r="I24" s="2701" t="s">
        <v>1672</v>
      </c>
      <c r="J24" s="2689" t="str">
        <f>'Part I-Project Identification'!J17</f>
        <v>OH</v>
      </c>
      <c r="M24" s="2704"/>
      <c r="N24" s="2704"/>
      <c r="O24" s="2704"/>
      <c r="P24" s="2704"/>
      <c r="Q24" s="2691"/>
      <c r="R24" s="2691"/>
      <c r="S24" s="2691"/>
      <c r="Z24" s="2682">
        <v>17</v>
      </c>
    </row>
    <row r="25" spans="1:26" s="2702" customFormat="1" ht="12.75" customHeight="1">
      <c r="B25" s="2701" t="s">
        <v>2062</v>
      </c>
      <c r="F25" s="2705">
        <f>'Part I-Project Identification'!F18</f>
        <v>432200000</v>
      </c>
      <c r="G25" s="2705"/>
      <c r="H25" s="2705"/>
      <c r="I25" s="2701" t="s">
        <v>1600</v>
      </c>
      <c r="J25" s="2706">
        <f>'Part I-Project Identification'!J18</f>
        <v>6142733539</v>
      </c>
      <c r="K25" s="2706"/>
      <c r="L25" s="2697" t="s">
        <v>1599</v>
      </c>
      <c r="M25" s="2707">
        <f>'Part I-Project Identification'!M18</f>
        <v>0</v>
      </c>
      <c r="N25" s="2701" t="s">
        <v>1601</v>
      </c>
      <c r="O25" s="2706">
        <f>'Part I-Project Identification'!O18</f>
        <v>6142733539</v>
      </c>
      <c r="P25" s="2706"/>
      <c r="Q25" s="2691"/>
      <c r="R25" s="2691"/>
      <c r="S25" s="2691"/>
      <c r="Z25" s="2682">
        <v>18</v>
      </c>
    </row>
    <row r="26" spans="1:26" s="2702" customFormat="1" ht="12.75" customHeight="1">
      <c r="B26" s="2701" t="s">
        <v>1843</v>
      </c>
      <c r="F26" s="2689" t="str">
        <f>'Part I-Project Identification'!F19</f>
        <v>MRule@nationalchurchresidences.org</v>
      </c>
      <c r="G26" s="2689"/>
      <c r="H26" s="2689"/>
      <c r="I26" s="2689"/>
      <c r="J26" s="2689"/>
      <c r="K26" s="2689"/>
      <c r="N26" s="2701" t="s">
        <v>1838</v>
      </c>
      <c r="O26" s="2706">
        <f>'Part I-Project Identification'!O19</f>
        <v>6142733539</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National Church Residences</v>
      </c>
      <c r="G28" s="2689"/>
      <c r="H28" s="2689"/>
      <c r="I28" s="2702" t="s">
        <v>1671</v>
      </c>
      <c r="J28" s="2689" t="str">
        <f>'Part I-Project Identification'!J21</f>
        <v>Maureen Freehill</v>
      </c>
      <c r="K28" s="2689"/>
      <c r="L28" s="2689"/>
      <c r="M28" s="2701" t="s">
        <v>1839</v>
      </c>
      <c r="N28" s="2689" t="str">
        <f>'Part I-Project Identification'!N21</f>
        <v>Director</v>
      </c>
      <c r="O28" s="2689"/>
      <c r="P28" s="2689"/>
      <c r="Q28" s="2691"/>
      <c r="R28" s="2691"/>
      <c r="S28" s="2691"/>
      <c r="Z28" s="2697">
        <v>21</v>
      </c>
    </row>
    <row r="29" spans="1:26" s="2702" customFormat="1" ht="12.75" customHeight="1">
      <c r="B29" s="2701" t="s">
        <v>1840</v>
      </c>
      <c r="F29" s="2689" t="str">
        <f>'Part I-Project Identification'!F22</f>
        <v>135 Auburn Avenue NE Suite 202</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Atlanta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303030000</v>
      </c>
      <c r="G31" s="2705"/>
      <c r="H31" s="2705"/>
      <c r="I31" s="2701" t="s">
        <v>1600</v>
      </c>
      <c r="J31" s="2706">
        <f>'Part I-Project Identification'!J24</f>
        <v>8457064788</v>
      </c>
      <c r="K31" s="2706"/>
      <c r="L31" s="2697" t="s">
        <v>1599</v>
      </c>
      <c r="M31" s="2707">
        <f>'Part I-Project Identification'!M24</f>
        <v>0</v>
      </c>
      <c r="N31" s="2701" t="s">
        <v>1601</v>
      </c>
      <c r="O31" s="2706">
        <f>'Part I-Project Identification'!O24</f>
        <v>0</v>
      </c>
      <c r="P31" s="2706"/>
      <c r="Q31" s="2691"/>
      <c r="R31" s="2691"/>
      <c r="S31" s="2691"/>
      <c r="Z31" s="2682">
        <v>24</v>
      </c>
    </row>
    <row r="32" spans="1:26" s="2702" customFormat="1" ht="12.75" customHeight="1">
      <c r="B32" s="2701" t="s">
        <v>1843</v>
      </c>
      <c r="F32" s="2689" t="str">
        <f>'Part I-Project Identification'!F25</f>
        <v>Mfreehill@nationalchurchresidences.org</v>
      </c>
      <c r="G32" s="2689"/>
      <c r="H32" s="2689"/>
      <c r="I32" s="2689"/>
      <c r="J32" s="2689"/>
      <c r="K32" s="2689"/>
      <c r="N32" s="2701" t="s">
        <v>1838</v>
      </c>
      <c r="O32" s="2706">
        <f>'Part I-Project Identification'!O25</f>
        <v>8457064788</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4"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4" customHeight="1">
      <c r="B36" s="2681" t="s">
        <v>574</v>
      </c>
      <c r="F36" s="2689" t="str">
        <f>'Part I-Project Identification'!F29</f>
        <v>Villa Rica Senior</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Villa Rica</v>
      </c>
      <c r="G37" s="2689"/>
      <c r="H37" s="2689"/>
      <c r="I37" s="2712" t="s">
        <v>576</v>
      </c>
      <c r="J37" s="2689" t="str">
        <f>'Part I-Project Identification'!J30</f>
        <v>Carroll</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City Limits</v>
      </c>
      <c r="G38" s="2689"/>
      <c r="H38" s="2689"/>
      <c r="I38" s="2682"/>
      <c r="J38" s="499" t="s">
        <v>6729</v>
      </c>
      <c r="K38" s="2682"/>
      <c r="M38" s="2701" t="s">
        <v>6675</v>
      </c>
      <c r="N38" s="2702"/>
      <c r="O38" s="2689">
        <f>'Part I-Project Identification'!O31</f>
        <v>3.2909999999999999</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6662</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6661</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5"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5">
      <c r="A52" s="2722" t="str">
        <f>'Part I-Project Identification'!A45</f>
        <v>Villa Rica Senior is a planned new construction development within the Avemore Planned Community Development in Villa Rica, GA. The
proposed property will be a 60-unit, elevator serviced building.
National Church Residences, leveraging its nearly 60 years of experience, is the nation's largest not-for-profit provider of affordable housing for
seniors. National Church Residences will create an inviting and supportive community for its residents by employing accessible and adaptable
features, large community spaces that promote socialization, Wi-Fi connection through out the community to provide connectivity with family, and enhanced service coordination to promote resident stability</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5" customHeight="1">
      <c r="A56" s="2681" t="str">
        <f>CONCATENATE("PART TWO - DEVELOPMENT TEAM INFORMATION","  -  ",'Part I-Project Identification'!$O$7," ",'Part I-Project Identification'!$F$29,", ",'Part I-Project Identification'!F84,", ",'Part I-Project Identification'!J84," County")</f>
        <v>PART TWO - DEVELOPMENT TEAM INFORMATION  -  2022-0 Villa Rica Senior, ,  County</v>
      </c>
      <c r="Z56" s="2682">
        <v>2</v>
      </c>
    </row>
    <row r="57" spans="1:26" s="2693" customFormat="1" ht="12" customHeight="1">
      <c r="A57" s="2694" t="s">
        <v>3661</v>
      </c>
      <c r="Z57" s="2682">
        <v>3</v>
      </c>
    </row>
    <row r="58" spans="1:26" s="2681" customFormat="1" ht="13.4"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5"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6795</v>
      </c>
      <c r="O65" s="2689"/>
      <c r="P65" s="2689"/>
      <c r="Q65" s="2707"/>
      <c r="R65" s="2689"/>
      <c r="S65" s="2689"/>
      <c r="T65" s="2689"/>
      <c r="Z65" s="2682">
        <v>11</v>
      </c>
    </row>
    <row r="66" spans="2:26" s="2681" customFormat="1" ht="4.4000000000000004"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4000000000000004"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4000000000000004"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4000000000000004"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4000000000000004"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4000000000000004"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4"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5"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5"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5"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4"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5"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5"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5"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5"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6753</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6822</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ht="13">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ht="13">
      <c r="H177" s="2733"/>
      <c r="I177" s="2733"/>
      <c r="J177" s="2733"/>
      <c r="K177" s="2733"/>
      <c r="L177" s="2733"/>
      <c r="M177" s="2733"/>
      <c r="N177" s="2733"/>
      <c r="O177" s="2733"/>
      <c r="P177" s="2733"/>
      <c r="Q177" s="2733"/>
      <c r="R177" s="2733"/>
      <c r="S177" s="2733"/>
      <c r="Z177" s="2682">
        <v>123</v>
      </c>
    </row>
    <row r="178" spans="3:26" s="2681" customFormat="1" ht="13">
      <c r="C178" s="2737"/>
      <c r="D178" s="2681" t="s">
        <v>6823</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ht="13">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ht="13">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ht="13">
      <c r="H181" s="2733"/>
      <c r="I181" s="2733"/>
      <c r="J181" s="2733"/>
      <c r="K181" s="2733"/>
      <c r="L181" s="2733"/>
      <c r="M181" s="2733"/>
      <c r="N181" s="2733"/>
      <c r="O181" s="2733"/>
      <c r="P181" s="2733"/>
      <c r="Q181" s="2733"/>
      <c r="R181" s="2733"/>
      <c r="S181" s="2733"/>
      <c r="Z181" s="2697">
        <v>127</v>
      </c>
    </row>
    <row r="182" spans="3:26" s="2681" customFormat="1" ht="13">
      <c r="C182" s="2737"/>
      <c r="D182" s="2681" t="s">
        <v>6796</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ht="13">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ht="13">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ht="13">
      <c r="H185" s="2733"/>
      <c r="I185" s="2733"/>
      <c r="J185" s="2733"/>
      <c r="K185" s="2733"/>
      <c r="L185" s="2733"/>
      <c r="M185" s="2733"/>
      <c r="N185" s="2733"/>
      <c r="O185" s="2733"/>
      <c r="P185" s="2733"/>
      <c r="Q185" s="2733"/>
      <c r="R185" s="2733"/>
      <c r="S185" s="2733"/>
      <c r="Z185" s="2682">
        <v>131</v>
      </c>
    </row>
    <row r="186" spans="3:26" s="2681" customFormat="1" ht="13">
      <c r="C186" s="2737"/>
      <c r="D186" s="2681" t="s">
        <v>6824</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ht="13">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ht="13">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ht="13">
      <c r="H189" s="2733"/>
      <c r="I189" s="2733"/>
      <c r="J189" s="2733"/>
      <c r="K189" s="2733"/>
      <c r="L189" s="2733"/>
      <c r="M189" s="2733"/>
      <c r="N189" s="2733"/>
      <c r="O189" s="2733"/>
      <c r="P189" s="2733"/>
      <c r="Q189" s="2733"/>
      <c r="R189" s="2733"/>
      <c r="S189" s="2733"/>
      <c r="Z189" s="2682">
        <v>135</v>
      </c>
    </row>
    <row r="190" spans="3:26" s="2681" customFormat="1" ht="13">
      <c r="C190" s="2737"/>
      <c r="D190" s="2681" t="s">
        <v>6797</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ht="13">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ht="13">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ht="13">
      <c r="H193" s="2733"/>
      <c r="I193" s="2733"/>
      <c r="J193" s="2733"/>
      <c r="K193" s="2733"/>
      <c r="L193" s="2733"/>
      <c r="M193" s="2733"/>
      <c r="N193" s="2733"/>
      <c r="O193" s="2733"/>
      <c r="P193" s="2733"/>
      <c r="Q193" s="2733"/>
      <c r="R193" s="2733"/>
      <c r="S193" s="2733"/>
      <c r="Z193" s="2682">
        <v>139</v>
      </c>
    </row>
    <row r="194" spans="1:26" s="2681" customFormat="1" ht="13">
      <c r="C194" s="2737"/>
      <c r="D194" s="2681" t="s">
        <v>6825</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ht="13">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ht="13">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ht="13">
      <c r="H197" s="2733"/>
      <c r="I197" s="2733"/>
      <c r="J197" s="2733"/>
      <c r="K197" s="2733"/>
      <c r="L197" s="2733"/>
      <c r="M197" s="2733"/>
      <c r="N197" s="2733"/>
      <c r="O197" s="2733"/>
      <c r="P197" s="2733"/>
      <c r="Q197" s="2733"/>
      <c r="R197" s="2733"/>
      <c r="S197" s="2733"/>
      <c r="Z197" s="2682">
        <v>143</v>
      </c>
    </row>
    <row r="198" spans="1:26" s="2681" customFormat="1" ht="13">
      <c r="C198" s="2737" t="s">
        <v>1847</v>
      </c>
      <c r="D198" s="2681" t="s">
        <v>6798</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6799</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ht="13">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6800</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6524</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4" customHeight="1">
      <c r="A217" s="2681" t="s">
        <v>1667</v>
      </c>
      <c r="B217" s="2681" t="s">
        <v>6826</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4" customHeight="1">
      <c r="B219" s="2681" t="s">
        <v>698</v>
      </c>
      <c r="C219" s="2681" t="s">
        <v>6801</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6754</v>
      </c>
      <c r="L220" s="2741" t="s">
        <v>6755</v>
      </c>
      <c r="M220" s="2746" t="s">
        <v>6756</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6827</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ht="13">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ht="13">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ht="13">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ht="13">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ht="13">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ht="13">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ht="13">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5" customHeight="1">
      <c r="A244" s="2681" t="str">
        <f>CONCATENATE("PART TWO - SOURCES OF FUNDS (Proposed)","  -  ",'Part I-Project Identification'!$O$7," ",'Part I-Project Identification'!$F$29,", ",'Part I-Project Identification'!$F$30,", ",'Part I-Project Identification'!$J$30," County")</f>
        <v>PART TWO - SOURCES OF FUNDS (Proposed)  -  2022-0 Villa Rica Senior, Villa Rica, Carroll County</v>
      </c>
      <c r="B244" s="2681"/>
      <c r="C244" s="2681"/>
      <c r="D244" s="2681"/>
      <c r="E244" s="2681"/>
      <c r="F244" s="2681"/>
      <c r="G244" s="2681"/>
      <c r="H244" s="2681"/>
      <c r="I244" s="2681"/>
      <c r="J244" s="2681"/>
      <c r="K244" s="2681"/>
      <c r="L244" s="2681"/>
      <c r="M244" s="2681"/>
      <c r="N244" s="2681"/>
      <c r="O244" s="2681"/>
      <c r="P244" s="2681"/>
      <c r="Q244" s="2681"/>
      <c r="S244" s="2719" t="str">
        <f>$A$2</f>
        <v>Villa Rica Senior</v>
      </c>
      <c r="Y244" s="2752"/>
      <c r="Z244" s="2682">
        <v>2</v>
      </c>
      <c r="AZ244" s="2752"/>
    </row>
    <row r="245" spans="1:52" s="2753" customFormat="1" ht="17.5" customHeight="1">
      <c r="A245" s="2693"/>
      <c r="B245" s="2693"/>
      <c r="C245" s="2693"/>
      <c r="D245" s="2693"/>
      <c r="E245" s="2693"/>
      <c r="F245" s="2693"/>
      <c r="G245" s="2550"/>
      <c r="H245" s="2550"/>
      <c r="I245" s="2550"/>
      <c r="J245" s="2550"/>
      <c r="K245" s="2550"/>
      <c r="L245" s="2550"/>
      <c r="Y245" s="2752"/>
      <c r="Z245" s="2682">
        <v>3</v>
      </c>
      <c r="AZ245" s="2752"/>
    </row>
    <row r="246" spans="1:52" s="2719" customFormat="1" ht="13.4"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6084</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6669</v>
      </c>
      <c r="F250" s="2719" t="s">
        <v>6672</v>
      </c>
      <c r="H250" s="2698" t="str">
        <f>'Part II-Sources of Funds'!H8</f>
        <v>Specify Other HOME Source here</v>
      </c>
      <c r="I250" s="2698"/>
      <c r="J250" s="2698"/>
      <c r="L250" s="2707" t="str">
        <f>'Part II-Sources of Funds'!L8</f>
        <v>No</v>
      </c>
      <c r="M250" s="2686" t="s">
        <v>6674</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6671</v>
      </c>
      <c r="E255" s="2707" t="str">
        <f>'Part II-Sources of Funds'!E13</f>
        <v>No</v>
      </c>
      <c r="F255" s="2686" t="s">
        <v>6673</v>
      </c>
      <c r="H255" s="2698" t="str">
        <f>'Part II-Sources of Funds'!H13</f>
        <v>Specify Other PBRA Source here</v>
      </c>
      <c r="I255" s="2698"/>
      <c r="J255" s="2698"/>
      <c r="L255" s="2707" t="str">
        <f>'Part II-Sources of Funds'!L13</f>
        <v>No</v>
      </c>
      <c r="M255" s="2719" t="s">
        <v>6083</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3302</v>
      </c>
      <c r="L256" s="2707" t="str">
        <f>'Part II-Sources of Funds'!L14</f>
        <v>No</v>
      </c>
      <c r="M256" s="2719" t="s">
        <v>6718</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6086</v>
      </c>
      <c r="L257" s="2707" t="str">
        <f>'Part II-Sources of Funds'!L15</f>
        <v>No</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t="str">
        <f>'Part II-Sources of Funds'!L16</f>
        <v>No</v>
      </c>
      <c r="M258" s="2759" t="s">
        <v>6082</v>
      </c>
      <c r="Y258" s="2752"/>
      <c r="Z258" s="2682">
        <v>16</v>
      </c>
      <c r="AZ258" s="2752"/>
    </row>
    <row r="259" spans="1:52" s="2719" customFormat="1" ht="17.149999999999999"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49999999999999"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Key Bank Construction Loan</v>
      </c>
      <c r="I264" s="2739"/>
      <c r="J264" s="2739"/>
      <c r="K264" s="2739"/>
      <c r="L264" s="2762">
        <f>'Part II-Sources of Funds'!L22</f>
        <v>13148434</v>
      </c>
      <c r="M264" s="2762"/>
      <c r="N264" s="2763">
        <f>'Part II-Sources of Funds'!N22</f>
        <v>3.5000000000000003E-2</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National Equity Fund</v>
      </c>
      <c r="I270" s="2739"/>
      <c r="J270" s="2739"/>
      <c r="K270" s="2739"/>
      <c r="L270" s="2762">
        <f>'Part II-Sources of Funds'!L28</f>
        <v>1349866.9349549999</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t="str">
        <f>'Part II-Sources of Funds'!H29</f>
        <v>National Equity Fund</v>
      </c>
      <c r="I271" s="2739"/>
      <c r="J271" s="2739"/>
      <c r="K271" s="2739"/>
      <c r="L271" s="2762">
        <f>'Part II-Sources of Funds'!L29</f>
        <v>824998.06504500005</v>
      </c>
      <c r="M271" s="2762"/>
      <c r="N271" s="2681"/>
      <c r="Q271" s="2681"/>
      <c r="S271" s="2723"/>
      <c r="T271" s="2723"/>
      <c r="Y271" s="2752" t="s">
        <v>6355</v>
      </c>
      <c r="Z271" s="2682">
        <v>29</v>
      </c>
      <c r="AZ271" s="2752" t="s">
        <v>6356</v>
      </c>
    </row>
    <row r="272" spans="1:52" s="2719" customFormat="1" ht="15.75" customHeight="1">
      <c r="A272" s="2681"/>
      <c r="B272" s="2681" t="s">
        <v>232</v>
      </c>
      <c r="C272" s="2681"/>
      <c r="D272" s="2739" t="str">
        <f>'Part II-Sources of Funds'!D30</f>
        <v>GP Equity</v>
      </c>
      <c r="E272" s="2739"/>
      <c r="F272" s="2739"/>
      <c r="G272" s="2739"/>
      <c r="H272" s="2739" t="str">
        <f>'Part II-Sources of Funds'!H30</f>
        <v>National Church Residences</v>
      </c>
      <c r="I272" s="2739"/>
      <c r="J272" s="2739"/>
      <c r="K272" s="2739"/>
      <c r="L272" s="2762">
        <f>'Part II-Sources of Funds'!L30</f>
        <v>100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15323399</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15323398.5</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0.5</v>
      </c>
      <c r="M277" s="2769"/>
      <c r="N277" s="2768"/>
      <c r="S277" s="2723"/>
      <c r="T277" s="2723"/>
      <c r="Y277" s="2752"/>
      <c r="Z277" s="2697">
        <v>35</v>
      </c>
      <c r="AZ277" s="2770"/>
    </row>
    <row r="278" spans="1:52" s="2753" customFormat="1" ht="9.65"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5"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4"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4"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6359</v>
      </c>
    </row>
    <row r="282" spans="1:52" s="2719" customFormat="1" ht="15" customHeight="1">
      <c r="A282" s="2681"/>
      <c r="B282" s="2681" t="s">
        <v>2403</v>
      </c>
      <c r="C282" s="2681"/>
      <c r="D282" s="2681"/>
      <c r="E282" s="2739" t="str">
        <f>'Part II-Sources of Funds'!E40</f>
        <v>Key Bank Permanent Loan</v>
      </c>
      <c r="F282" s="2739"/>
      <c r="G282" s="2739"/>
      <c r="H282" s="2739"/>
      <c r="I282" s="2762">
        <f>'Part II-Sources of Funds'!I40</f>
        <v>2210000</v>
      </c>
      <c r="J282" s="2689"/>
      <c r="K282" s="2763">
        <f>'Part II-Sources of Funds'!K40</f>
        <v>5.5E-2</v>
      </c>
      <c r="L282" s="2707">
        <f>'Part II-Sources of Funds'!L40</f>
        <v>17</v>
      </c>
      <c r="M282" s="2707">
        <f>'Part II-Sources of Funds'!M40</f>
        <v>40</v>
      </c>
      <c r="N282" s="2689" t="str">
        <f>'Part II-Sources of Funds'!N40</f>
        <v>Amortizing</v>
      </c>
      <c r="O282" s="2689"/>
      <c r="P282" s="2767">
        <f>'Part II-Sources of Funds'!P40</f>
        <v>136782.27860706521</v>
      </c>
      <c r="Q282" s="2767"/>
      <c r="S282" s="2723"/>
      <c r="T282" s="2723"/>
      <c r="Y282" s="2752" t="s">
        <v>6359</v>
      </c>
      <c r="Z282" s="2682">
        <v>40</v>
      </c>
      <c r="AZ282" s="2752" t="s">
        <v>6360</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0.20958119122257055</v>
      </c>
      <c r="E287" s="2739" t="str">
        <f>'Part II-Sources of Funds'!E45</f>
        <v>National Church Residences</v>
      </c>
      <c r="F287" s="2739"/>
      <c r="G287" s="2739"/>
      <c r="H287" s="2739"/>
      <c r="I287" s="2762">
        <f>'Part II-Sources of Funds'!I45</f>
        <v>334282</v>
      </c>
      <c r="J287" s="2760"/>
      <c r="K287" s="2763">
        <f>'Part II-Sources of Funds'!K45</f>
        <v>0.06</v>
      </c>
      <c r="L287" s="2707">
        <f>'Part II-Sources of Funds'!L45</f>
        <v>15</v>
      </c>
      <c r="M287" s="2707">
        <f>'Part II-Sources of Funds'!M45</f>
        <v>15</v>
      </c>
      <c r="N287" s="2689" t="str">
        <f>'Part II-Sources of Funds'!N45</f>
        <v>Cash Flow</v>
      </c>
      <c r="O287" s="2689"/>
      <c r="P287" s="2767">
        <f>'Part II-Sources of Funds'!P45</f>
        <v>0</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614564.29209816048</v>
      </c>
      <c r="H289" s="2780" t="s">
        <v>3407</v>
      </c>
      <c r="I289" s="2779">
        <f>'Part II-Sources of Funds'!I47</f>
        <v>399484.61962626688</v>
      </c>
      <c r="K289" s="2780" t="s">
        <v>3409</v>
      </c>
      <c r="L289" s="2781">
        <f>'Part II-Sources of Funds'!L47</f>
        <v>0.65002901203778318</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National Equity Fund</v>
      </c>
      <c r="F293" s="2739"/>
      <c r="G293" s="2739"/>
      <c r="H293" s="2739"/>
      <c r="I293" s="2762">
        <f>'Part II-Sources of Funds'!I51</f>
        <v>8999100</v>
      </c>
      <c r="J293" s="2772"/>
      <c r="L293" s="2786">
        <f>'Part III-A-Uses of Funds'!$J$191*10*'Part III-A-Uses of Funds'!$N$182</f>
        <v>9000000</v>
      </c>
      <c r="M293" s="2786"/>
      <c r="N293" s="2787">
        <f>I293-L293</f>
        <v>-900</v>
      </c>
      <c r="O293" s="2787"/>
      <c r="P293" s="2788">
        <f>I293/I303</f>
        <v>0.52800831801882731</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National Equity Fund</v>
      </c>
      <c r="F294" s="2739"/>
      <c r="G294" s="2739"/>
      <c r="H294" s="2739"/>
      <c r="I294" s="2762">
        <f>'Part II-Sources of Funds'!I52</f>
        <v>5500000</v>
      </c>
      <c r="J294" s="2772"/>
      <c r="L294" s="2786">
        <f>'Part III-A-Uses of Funds'!$J$191*10*'Part III-A-Uses of Funds'!$Q$182</f>
        <v>5500000</v>
      </c>
      <c r="M294" s="2786"/>
      <c r="N294" s="2787">
        <f>I294-L294</f>
        <v>0</v>
      </c>
      <c r="O294" s="2787"/>
      <c r="P294" s="2788">
        <f>I294/I303</f>
        <v>0.32270402030242473</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0.85071233832125204</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t="str">
        <f>'Part II-Sources of Funds'!C57</f>
        <v>GP Equity</v>
      </c>
      <c r="D299" s="2739"/>
      <c r="E299" s="2739" t="str">
        <f>'Part II-Sources of Funds'!E57</f>
        <v>National Church Residences</v>
      </c>
      <c r="F299" s="2739"/>
      <c r="G299" s="2739"/>
      <c r="H299" s="2739"/>
      <c r="I299" s="2762">
        <f>'Part II-Sources of Funds'!I57</f>
        <v>100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2049</v>
      </c>
      <c r="C302" s="2681"/>
      <c r="D302" s="2681"/>
      <c r="E302" s="2681"/>
      <c r="F302" s="2681"/>
      <c r="G302" s="2681"/>
      <c r="I302" s="2766">
        <f>SUM(I282:J287)+SUM(I291:J301)</f>
        <v>17043482</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17043481.5</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0.5</v>
      </c>
      <c r="J304" s="2769"/>
      <c r="K304" s="2681"/>
      <c r="L304" s="2682"/>
      <c r="M304" s="2683"/>
      <c r="N304" s="2683"/>
      <c r="O304" s="2683"/>
      <c r="P304" s="2683"/>
      <c r="Q304" s="2681"/>
      <c r="S304" s="2723"/>
      <c r="T304" s="2723"/>
      <c r="Y304" s="2752"/>
      <c r="Z304" s="2682">
        <v>62</v>
      </c>
      <c r="AZ304" s="2752"/>
    </row>
    <row r="305" spans="1:53" s="2719" customFormat="1" ht="13.4"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5">
      <c r="A308" s="2722" t="str">
        <f>'Part II-Sources of Funds'!A66</f>
        <v>During the construction period, this project will be financed with a 24-month construction loan from Wells Fargo. At construction loan maturity, a forward committed permanent loan, also from Key Bank, will be funded. The Key Bank permanent loan and LP equity funded at construction loan maturity will be utilized to pay-ff the construction loan.
$1 in over-sourcing appears to be a roundign issue within the spreadsheet formulas.</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Villa Rica Senior, ,  County</v>
      </c>
      <c r="W312" s="2681" t="str">
        <f>A312</f>
        <v>PART THREE (A):  USES OF FUNDS  -  2022-0 Villa Rica Senior,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5"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20000</v>
      </c>
      <c r="H319" s="2762"/>
      <c r="J319" s="2762">
        <f>'Part III-A-Uses of Funds'!J9</f>
        <v>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20000</v>
      </c>
      <c r="H320" s="2762"/>
      <c r="J320" s="2762">
        <f>'Part III-A-Uses of Funds'!J10</f>
        <v>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20000</v>
      </c>
      <c r="H321" s="2762"/>
      <c r="J321" s="2762">
        <f>'Part III-A-Uses of Funds'!J11</f>
        <v>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0</v>
      </c>
      <c r="H322" s="2762"/>
      <c r="J322" s="2762">
        <f>'Part III-A-Uses of Funds'!J12</f>
        <v>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5000</v>
      </c>
      <c r="H323" s="2762"/>
      <c r="J323" s="2762">
        <f>'Part III-A-Uses of Funds'!J13</f>
        <v>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5" customHeight="1">
      <c r="F328" s="2800" t="s">
        <v>184</v>
      </c>
      <c r="G328" s="2792">
        <f>SUM(G319:G327)</f>
        <v>65000</v>
      </c>
      <c r="H328" s="2792"/>
      <c r="J328" s="2792">
        <f>SUM(J319:J327)</f>
        <v>0</v>
      </c>
      <c r="K328" s="2792"/>
      <c r="L328" s="2795"/>
      <c r="M328" s="2792">
        <f>SUM(M319:M327)</f>
        <v>0</v>
      </c>
      <c r="N328" s="2792"/>
      <c r="P328" s="2792">
        <f>SUM(P319:P327)</f>
        <v>0</v>
      </c>
      <c r="Q328" s="2792"/>
      <c r="S328" s="2792">
        <f>SUM(S319:S327)</f>
        <v>0</v>
      </c>
      <c r="T328" s="2792"/>
      <c r="V328" s="2796">
        <f>SUM(V319:V327)</f>
        <v>0</v>
      </c>
      <c r="W328" s="2797"/>
      <c r="X328" s="2797"/>
      <c r="AZ328" s="2702" t="s">
        <v>6376</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303859.00941962929</v>
      </c>
      <c r="G330" s="2762">
        <f>'Part III-A-Uses of Funds'!G20</f>
        <v>1000000</v>
      </c>
      <c r="H330" s="2762"/>
      <c r="J330" s="2795"/>
      <c r="K330" s="2792"/>
      <c r="L330" s="2795"/>
      <c r="M330" s="2795"/>
      <c r="N330" s="2792"/>
      <c r="P330" s="2795"/>
      <c r="Q330" s="2792"/>
      <c r="S330" s="2762">
        <f>'Part III-A-Uses of Funds'!S20</f>
        <v>1000000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5" customHeight="1">
      <c r="F334" s="2800" t="s">
        <v>184</v>
      </c>
      <c r="G334" s="2792">
        <f>SUM(G330:G333)</f>
        <v>1000000</v>
      </c>
      <c r="H334" s="2792"/>
      <c r="J334" s="2795"/>
      <c r="K334" s="2792"/>
      <c r="L334" s="2795"/>
      <c r="M334" s="2792">
        <f>SUM(M332:M333)</f>
        <v>0</v>
      </c>
      <c r="N334" s="2792"/>
      <c r="P334" s="2795"/>
      <c r="Q334" s="2792"/>
      <c r="S334" s="2792">
        <f>SUM(S330:S333)</f>
        <v>1000000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197508.35612275905</v>
      </c>
      <c r="G336" s="2762">
        <f>'Part III-A-Uses of Funds'!G26</f>
        <v>650000</v>
      </c>
      <c r="H336" s="2762"/>
      <c r="J336" s="2762">
        <f>'Part III-A-Uses of Funds'!J26</f>
        <v>650000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5" customHeight="1">
      <c r="F338" s="2800" t="s">
        <v>184</v>
      </c>
      <c r="G338" s="2792">
        <f>SUM(G336:G337)</f>
        <v>650000</v>
      </c>
      <c r="H338" s="2792"/>
      <c r="J338" s="2792">
        <f>SUM(J336:J337)</f>
        <v>650000</v>
      </c>
      <c r="K338" s="2792"/>
      <c r="L338" s="2795"/>
      <c r="M338" s="2792">
        <f>M336</f>
        <v>0</v>
      </c>
      <c r="N338" s="2792"/>
      <c r="P338" s="2792">
        <f>P336</f>
        <v>0</v>
      </c>
      <c r="Q338" s="2792"/>
      <c r="S338" s="2792">
        <f>SUM(S336:S337)</f>
        <v>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8911842</v>
      </c>
      <c r="H340" s="2762"/>
      <c r="J340" s="2762">
        <f>'Part III-A-Uses of Funds'!J30</f>
        <v>8911842</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5" customHeight="1">
      <c r="C346" s="2805"/>
      <c r="D346" s="2805"/>
      <c r="E346" s="2806"/>
      <c r="F346" s="2800" t="s">
        <v>184</v>
      </c>
      <c r="G346" s="2792">
        <f>SUM(G340:G345)</f>
        <v>8911842</v>
      </c>
      <c r="H346" s="2792"/>
      <c r="J346" s="2792">
        <f>SUM(J340:J345)</f>
        <v>8911842</v>
      </c>
      <c r="K346" s="2792"/>
      <c r="L346" s="2795"/>
      <c r="M346" s="2792">
        <f>SUM(M340:M345)</f>
        <v>0</v>
      </c>
      <c r="N346" s="2792"/>
      <c r="P346" s="2792">
        <f>SUM(P340:P345)</f>
        <v>0</v>
      </c>
      <c r="Q346" s="2792"/>
      <c r="S346" s="2792">
        <f>SUM(S340:S345)</f>
        <v>0</v>
      </c>
      <c r="T346" s="2792"/>
      <c r="V346" s="2796">
        <f>SUM(V340:V345)</f>
        <v>0</v>
      </c>
      <c r="W346" s="2797"/>
      <c r="X346" s="2797"/>
      <c r="AZ346" s="2702" t="s">
        <v>6379</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573710</v>
      </c>
      <c r="F348" s="2807">
        <f>IF(($G$28+$G$36)=0,0,G348/($G$28+$G$36))</f>
        <v>0</v>
      </c>
      <c r="G348" s="2762">
        <f>'Part III-A-Uses of Funds'!G38</f>
        <v>573710</v>
      </c>
      <c r="H348" s="2762"/>
      <c r="J348" s="2762">
        <f>'Part III-A-Uses of Funds'!J38</f>
        <v>573710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191236</v>
      </c>
      <c r="F349" s="2807">
        <f>IF(($G$28+$G$36)=0,0,G349/($G$28+$G$36))</f>
        <v>0</v>
      </c>
      <c r="G349" s="2762">
        <f>'Part III-A-Uses of Funds'!G39</f>
        <v>191236</v>
      </c>
      <c r="H349" s="2762"/>
      <c r="I349" s="2693"/>
      <c r="J349" s="2762">
        <f>'Part III-A-Uses of Funds'!J39</f>
        <v>191236</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573710</v>
      </c>
      <c r="F350" s="2807">
        <f>IF(($G$28+$G$36)=0,0,G350/($G$28+$G$36))</f>
        <v>0</v>
      </c>
      <c r="G350" s="2762">
        <f>'Part III-A-Uses of Funds'!G40</f>
        <v>573710</v>
      </c>
      <c r="H350" s="2762"/>
      <c r="I350" s="2693"/>
      <c r="J350" s="2762">
        <f>'Part III-A-Uses of Funds'!J40</f>
        <v>573710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5" customHeight="1">
      <c r="B351" s="2692" t="s">
        <v>3228</v>
      </c>
      <c r="D351" s="2807">
        <f>SUM(D348:D350)</f>
        <v>0.14000000000000001</v>
      </c>
      <c r="E351" s="2809">
        <f>SUM(E348:E350)</f>
        <v>1338656</v>
      </c>
      <c r="F351" s="2800" t="s">
        <v>184</v>
      </c>
      <c r="G351" s="2792">
        <f>SUM(G348:G350)</f>
        <v>1338656</v>
      </c>
      <c r="H351" s="2792"/>
      <c r="J351" s="2792">
        <f>SUM(J348:J350)</f>
        <v>1338656</v>
      </c>
      <c r="K351" s="2792"/>
      <c r="L351" s="2795"/>
      <c r="M351" s="2792">
        <f>SUM(M348:M350)</f>
        <v>0</v>
      </c>
      <c r="N351" s="2792"/>
      <c r="P351" s="2792">
        <f>SUM(P348:P350)</f>
        <v>0</v>
      </c>
      <c r="Q351" s="2792"/>
      <c r="S351" s="2792">
        <f>SUM(S348:S350)</f>
        <v>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ht="13">
      <c r="A353" s="2682"/>
      <c r="C353" s="2810" t="s">
        <v>6495</v>
      </c>
      <c r="E353" s="2682"/>
      <c r="F353" s="2682"/>
      <c r="G353" s="2811">
        <f>G338+G346+G351</f>
        <v>10900498</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6828</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5" customHeight="1">
      <c r="B358" s="2813" t="s">
        <v>6829</v>
      </c>
      <c r="C358" s="2814"/>
      <c r="E358" s="2683" t="s">
        <v>2480</v>
      </c>
      <c r="F358" s="2815">
        <f>C359/'Part V-Revenues &amp; Expenses'!$P$65</f>
        <v>181674.96666666667</v>
      </c>
      <c r="G358" s="2816" t="s">
        <v>6830</v>
      </c>
      <c r="J358" s="2817">
        <f>C359/'Part V-Revenues &amp; Expenses'!$P$67</f>
        <v>181674.96666666667</v>
      </c>
      <c r="K358" s="2817"/>
      <c r="M358" s="2818" t="s">
        <v>6481</v>
      </c>
      <c r="N358" s="2818"/>
      <c r="P358" s="2817">
        <f>C359/'Part V-Revenues &amp; Expenses'!$K$175</f>
        <v>214.99996055226825</v>
      </c>
      <c r="Q358" s="2817"/>
      <c r="S358" s="2819" t="s">
        <v>6483</v>
      </c>
      <c r="T358" s="2819"/>
      <c r="V358" s="2801"/>
      <c r="W358" s="2797"/>
      <c r="X358" s="2797"/>
      <c r="AZ358" s="2702"/>
      <c r="BA358" s="2682">
        <v>48</v>
      </c>
    </row>
    <row r="359" spans="1:53" s="2681" customFormat="1" ht="12.65" customHeight="1">
      <c r="B359" s="2820" t="s">
        <v>6494</v>
      </c>
      <c r="C359" s="2821">
        <f>G338+G346+G351+G356</f>
        <v>10900498</v>
      </c>
      <c r="E359" s="2683"/>
      <c r="F359" s="2815">
        <f>C359/'Part V-Revenues &amp; Expenses'!$P$166</f>
        <v>279.49994871794871</v>
      </c>
      <c r="G359" s="2819" t="s">
        <v>6831</v>
      </c>
      <c r="J359" s="2817">
        <f>C359/'Part V-Revenues &amp; Expenses'!$P$168</f>
        <v>279.49994871794871</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6832</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545024.9</v>
      </c>
      <c r="F365" s="2774">
        <f>G365/C359</f>
        <v>4.9999963304428845E-2</v>
      </c>
      <c r="G365" s="2762">
        <f>'Part III-A-Uses of Funds'!G55</f>
        <v>545024.5</v>
      </c>
      <c r="H365" s="2762"/>
      <c r="I365" s="2681"/>
      <c r="J365" s="2762">
        <f>'Part III-A-Uses of Funds'!J55</f>
        <v>545024.5</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5" customHeight="1">
      <c r="B367" s="2824" t="s">
        <v>6305</v>
      </c>
      <c r="C367" s="2814"/>
      <c r="E367" s="2683" t="s">
        <v>6306</v>
      </c>
      <c r="F367" s="2815">
        <f>B368/'Part V-Revenues &amp; Expenses'!$P$65</f>
        <v>190758.70833333334</v>
      </c>
      <c r="G367" s="2816" t="s">
        <v>6830</v>
      </c>
      <c r="J367" s="2817">
        <f>B368/'Part V-Revenues &amp; Expenses'!$P$67</f>
        <v>190758.70833333334</v>
      </c>
      <c r="K367" s="2817"/>
      <c r="M367" s="2818" t="s">
        <v>6481</v>
      </c>
      <c r="N367" s="2818"/>
      <c r="P367" s="2817">
        <f>B368/'Part V-Revenues &amp; Expenses'!$K$175</f>
        <v>225.74995069033531</v>
      </c>
      <c r="Q367" s="2817"/>
      <c r="S367" s="2819" t="s">
        <v>6483</v>
      </c>
      <c r="T367" s="2819"/>
      <c r="V367" s="2801"/>
      <c r="W367" s="2797"/>
      <c r="X367" s="2797"/>
      <c r="AZ367" s="2702"/>
      <c r="BA367" s="2682">
        <v>54</v>
      </c>
    </row>
    <row r="368" spans="1:53" s="2681" customFormat="1" ht="12.65" customHeight="1">
      <c r="B368" s="2821">
        <f>C359+G365</f>
        <v>11445522.5</v>
      </c>
      <c r="C368" s="2821"/>
      <c r="E368" s="2683"/>
      <c r="F368" s="2815">
        <f>B368/'Part V-Revenues &amp; Expenses'!$P$166</f>
        <v>293.4749358974359</v>
      </c>
      <c r="G368" s="2819" t="s">
        <v>6831</v>
      </c>
      <c r="J368" s="2817">
        <f>B368/'Part V-Revenues &amp; Expenses'!$P$168</f>
        <v>293.4749358974359</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66859</v>
      </c>
      <c r="H373" s="2762"/>
      <c r="J373" s="2762">
        <f>'Part III-A-Uses of Funds'!J63</f>
        <v>66859</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558903</v>
      </c>
      <c r="H374" s="2762"/>
      <c r="J374" s="2762">
        <f>'Part III-A-Uses of Funds'!J64</f>
        <v>186301</v>
      </c>
      <c r="K374" s="2762"/>
      <c r="L374" s="2795"/>
      <c r="M374" s="2762">
        <f>'Part III-A-Uses of Funds'!M64</f>
        <v>0</v>
      </c>
      <c r="N374" s="2762"/>
      <c r="P374" s="2762">
        <f>'Part III-A-Uses of Funds'!P64</f>
        <v>0</v>
      </c>
      <c r="Q374" s="2762"/>
      <c r="S374" s="2762">
        <f>'Part III-A-Uses of Funds'!S64</f>
        <v>372602</v>
      </c>
      <c r="T374" s="2762"/>
      <c r="V374" s="2796"/>
      <c r="W374" s="2797"/>
      <c r="X374" s="2797"/>
      <c r="AZ374" s="2702"/>
      <c r="BA374" s="2682">
        <v>64</v>
      </c>
    </row>
    <row r="375" spans="1:53" s="2681" customFormat="1" ht="12" customHeight="1">
      <c r="B375" s="2681" t="s">
        <v>2169</v>
      </c>
      <c r="G375" s="2762">
        <f>'Part III-A-Uses of Funds'!G65</f>
        <v>35000</v>
      </c>
      <c r="H375" s="2762"/>
      <c r="J375" s="2762">
        <f>'Part III-A-Uses of Funds'!J65</f>
        <v>35000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6383</v>
      </c>
      <c r="BA375" s="2682">
        <v>65</v>
      </c>
    </row>
    <row r="376" spans="1:53" s="2681" customFormat="1" ht="12" customHeight="1">
      <c r="B376" s="2681" t="s">
        <v>2451</v>
      </c>
      <c r="G376" s="2762">
        <f>'Part III-A-Uses of Funds'!G66</f>
        <v>15000</v>
      </c>
      <c r="H376" s="2762"/>
      <c r="J376" s="2762">
        <f>'Part III-A-Uses of Funds'!J66</f>
        <v>15000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6384</v>
      </c>
      <c r="BA376" s="2682">
        <v>66</v>
      </c>
    </row>
    <row r="377" spans="1:53" s="2681" customFormat="1" ht="12" customHeight="1">
      <c r="B377" s="2681" t="s">
        <v>676</v>
      </c>
      <c r="G377" s="2762">
        <f>'Part III-A-Uses of Funds'!G67</f>
        <v>5000</v>
      </c>
      <c r="H377" s="2762"/>
      <c r="J377" s="2762">
        <f>'Part III-A-Uses of Funds'!J67</f>
        <v>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6385</v>
      </c>
      <c r="BA377" s="2682">
        <v>67</v>
      </c>
    </row>
    <row r="378" spans="1:53" s="2681" customFormat="1" ht="12" customHeight="1">
      <c r="B378" s="2681" t="s">
        <v>2170</v>
      </c>
      <c r="G378" s="2762">
        <f>'Part III-A-Uses of Funds'!G68</f>
        <v>60829</v>
      </c>
      <c r="H378" s="2762"/>
      <c r="J378" s="2762">
        <f>'Part III-A-Uses of Funds'!J68</f>
        <v>60829</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60000</v>
      </c>
      <c r="H379" s="2762"/>
      <c r="J379" s="2762">
        <f>'Part III-A-Uses of Funds'!J69</f>
        <v>40000</v>
      </c>
      <c r="K379" s="2762"/>
      <c r="L379" s="2795"/>
      <c r="M379" s="2762">
        <f>'Part III-A-Uses of Funds'!M69</f>
        <v>0</v>
      </c>
      <c r="N379" s="2762"/>
      <c r="P379" s="2762">
        <f>'Part III-A-Uses of Funds'!P69</f>
        <v>0</v>
      </c>
      <c r="Q379" s="2762"/>
      <c r="S379" s="2762">
        <f>'Part III-A-Uses of Funds'!S69</f>
        <v>20000</v>
      </c>
      <c r="T379" s="2762"/>
      <c r="V379" s="2796"/>
      <c r="W379" s="2797"/>
      <c r="X379" s="2797"/>
      <c r="AZ379" s="2702"/>
      <c r="BA379" s="2682">
        <v>69</v>
      </c>
    </row>
    <row r="380" spans="1:53" s="2681" customFormat="1" ht="12" customHeight="1">
      <c r="B380" s="2825" t="s">
        <v>1086</v>
      </c>
      <c r="D380" s="2826"/>
      <c r="E380" s="2826"/>
      <c r="F380" s="2827"/>
      <c r="G380" s="2762">
        <f>'Part III-A-Uses of Funds'!G70</f>
        <v>58863</v>
      </c>
      <c r="H380" s="2762"/>
      <c r="J380" s="2762">
        <f>'Part III-A-Uses of Funds'!J70</f>
        <v>58863</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f>'Part III-A-Uses of Funds'!C71</f>
        <v>0</v>
      </c>
      <c r="D381" s="2799"/>
      <c r="E381" s="2799"/>
      <c r="F381" s="2799"/>
      <c r="G381" s="2762">
        <f>'Part III-A-Uses of Funds'!G71</f>
        <v>0</v>
      </c>
      <c r="H381" s="2762"/>
      <c r="J381" s="2762">
        <f>'Part III-A-Uses of Funds'!J71</f>
        <v>15000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860454</v>
      </c>
      <c r="H383" s="2792"/>
      <c r="J383" s="2792">
        <f>SUM(J371:J382)</f>
        <v>482852</v>
      </c>
      <c r="K383" s="2792"/>
      <c r="L383" s="2795"/>
      <c r="M383" s="2792">
        <f>SUM(M371:M382)</f>
        <v>0</v>
      </c>
      <c r="N383" s="2792"/>
      <c r="P383" s="2792">
        <f>SUM(P371:P382)</f>
        <v>0</v>
      </c>
      <c r="Q383" s="2792"/>
      <c r="S383" s="2792">
        <f>SUM(S371:S382)</f>
        <v>392602</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545025</v>
      </c>
      <c r="H385" s="2762"/>
      <c r="J385" s="2762">
        <f>'Part III-A-Uses of Funds'!J75</f>
        <v>545025</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163508</v>
      </c>
      <c r="H386" s="2762"/>
      <c r="J386" s="2762">
        <f>'Part III-A-Uses of Funds'!J76</f>
        <v>163508</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0</v>
      </c>
      <c r="H387" s="2762"/>
      <c r="J387" s="2762">
        <f>'Part III-A-Uses of Funds'!J77</f>
        <v>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47500</v>
      </c>
      <c r="H388" s="2762"/>
      <c r="J388" s="2762">
        <f>'Part III-A-Uses of Funds'!J78</f>
        <v>47500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47500</v>
      </c>
      <c r="H389" s="2762"/>
      <c r="J389" s="2762">
        <f>'Part III-A-Uses of Funds'!J79</f>
        <v>47500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37500</v>
      </c>
      <c r="H390" s="2762"/>
      <c r="J390" s="2762">
        <f>'Part III-A-Uses of Funds'!J80</f>
        <v>30000</v>
      </c>
      <c r="K390" s="2762"/>
      <c r="L390" s="2795"/>
      <c r="M390" s="2762">
        <f>'Part III-A-Uses of Funds'!M80</f>
        <v>0</v>
      </c>
      <c r="N390" s="2762"/>
      <c r="P390" s="2762">
        <f>'Part III-A-Uses of Funds'!P80</f>
        <v>0</v>
      </c>
      <c r="Q390" s="2762"/>
      <c r="S390" s="2762">
        <f>'Part III-A-Uses of Funds'!S80</f>
        <v>7500</v>
      </c>
      <c r="T390" s="2762"/>
      <c r="V390" s="2796"/>
      <c r="W390" s="2797"/>
      <c r="X390" s="2797"/>
      <c r="AZ390" s="2702" t="s">
        <v>6387</v>
      </c>
      <c r="BA390" s="2682">
        <v>80</v>
      </c>
    </row>
    <row r="391" spans="1:53" s="2681" customFormat="1" ht="12" customHeight="1">
      <c r="B391" s="2681" t="s">
        <v>452</v>
      </c>
      <c r="G391" s="2762">
        <f>'Part III-A-Uses of Funds'!G81</f>
        <v>35000</v>
      </c>
      <c r="H391" s="2762"/>
      <c r="J391" s="2762">
        <f>'Part III-A-Uses of Funds'!J81</f>
        <v>35000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115000</v>
      </c>
      <c r="H392" s="2762"/>
      <c r="J392" s="2762">
        <f>'Part III-A-Uses of Funds'!J82</f>
        <v>115000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16000</v>
      </c>
      <c r="H393" s="2762"/>
      <c r="J393" s="2762">
        <f>'Part III-A-Uses of Funds'!J83</f>
        <v>0</v>
      </c>
      <c r="K393" s="2762"/>
      <c r="L393" s="2795"/>
      <c r="M393" s="2762">
        <f>'Part III-A-Uses of Funds'!M83</f>
        <v>0</v>
      </c>
      <c r="N393" s="2762"/>
      <c r="P393" s="2762">
        <f>'Part III-A-Uses of Funds'!P83</f>
        <v>0</v>
      </c>
      <c r="Q393" s="2762"/>
      <c r="S393" s="2762">
        <f>'Part III-A-Uses of Funds'!S83</f>
        <v>16000</v>
      </c>
      <c r="T393" s="2762"/>
      <c r="V393" s="2796"/>
      <c r="W393" s="2797"/>
      <c r="X393" s="2797"/>
      <c r="AZ393" s="2702"/>
      <c r="BA393" s="2682">
        <v>83</v>
      </c>
    </row>
    <row r="394" spans="1:53" s="2681" customFormat="1" ht="12" customHeight="1">
      <c r="B394" s="2681" t="s">
        <v>1202</v>
      </c>
      <c r="G394" s="2762">
        <f>'Part III-A-Uses of Funds'!G84</f>
        <v>15000</v>
      </c>
      <c r="H394" s="2762"/>
      <c r="J394" s="2762">
        <f>'Part III-A-Uses of Funds'!J84</f>
        <v>15000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f>'Part III-A-Uses of Funds'!C85</f>
        <v>0</v>
      </c>
      <c r="D395" s="2799"/>
      <c r="E395" s="2799"/>
      <c r="F395" s="2799"/>
      <c r="G395" s="2762">
        <f>'Part III-A-Uses of Funds'!G85</f>
        <v>0</v>
      </c>
      <c r="H395" s="2762"/>
      <c r="J395" s="2762">
        <f>'Part III-A-Uses of Funds'!J85</f>
        <v>40000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1022033</v>
      </c>
      <c r="H396" s="2792"/>
      <c r="J396" s="2792">
        <f>SUM(J385:J395)</f>
        <v>1038533</v>
      </c>
      <c r="K396" s="2792"/>
      <c r="L396" s="2795"/>
      <c r="M396" s="2792">
        <f>SUM(M385:M395)</f>
        <v>0</v>
      </c>
      <c r="N396" s="2792"/>
      <c r="P396" s="2792">
        <f>SUM(P385:P395)</f>
        <v>0</v>
      </c>
      <c r="Q396" s="2792"/>
      <c r="S396" s="2792">
        <f>SUM(S385:S395)</f>
        <v>23500</v>
      </c>
      <c r="T396" s="2792"/>
      <c r="V396" s="2796">
        <f>SUM(V385:V395)</f>
        <v>0</v>
      </c>
      <c r="W396" s="2797"/>
      <c r="X396" s="2797"/>
      <c r="AZ396" s="2702" t="s">
        <v>6388</v>
      </c>
      <c r="BA396" s="2682">
        <v>86</v>
      </c>
    </row>
    <row r="397" spans="1:53" s="2693" customFormat="1" ht="12" customHeight="1">
      <c r="A397" s="2681"/>
      <c r="B397" s="2681" t="s">
        <v>1194</v>
      </c>
      <c r="C397" s="2681"/>
      <c r="D397" s="2829" t="s">
        <v>3231</v>
      </c>
      <c r="E397" s="2830">
        <f>G402/'Part V-Revenues &amp; Expenses'!$P$67</f>
        <v>2795.4</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34324</v>
      </c>
      <c r="H398" s="2762"/>
      <c r="J398" s="2762">
        <f>'Part III-A-Uses of Funds'!J88</f>
        <v>34324</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30000</v>
      </c>
      <c r="H399" s="2762"/>
      <c r="J399" s="2762">
        <f>'Part III-A-Uses of Funds'!J89</f>
        <v>30000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f>'Part III-A-Uses of Funds'!E90</f>
        <v>0</v>
      </c>
      <c r="G400" s="2762">
        <f>'Part III-A-Uses of Funds'!G90</f>
        <v>30000</v>
      </c>
      <c r="H400" s="2762"/>
      <c r="J400" s="2762">
        <f>'Part III-A-Uses of Funds'!J90</f>
        <v>30000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f>'Part III-A-Uses of Funds'!E91</f>
        <v>0</v>
      </c>
      <c r="G401" s="2762">
        <f>'Part III-A-Uses of Funds'!G91</f>
        <v>73400</v>
      </c>
      <c r="H401" s="2762"/>
      <c r="J401" s="2762">
        <f>'Part III-A-Uses of Funds'!J91</f>
        <v>73400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167724</v>
      </c>
      <c r="H402" s="2792"/>
      <c r="J402" s="2792">
        <f>SUM(J398:J401)</f>
        <v>167724</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6833</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25500</v>
      </c>
      <c r="H407" s="2762"/>
      <c r="J407" s="2792"/>
      <c r="K407" s="2792"/>
      <c r="L407" s="2795"/>
      <c r="M407" s="2792"/>
      <c r="N407" s="2792"/>
      <c r="P407" s="2792"/>
      <c r="Q407" s="2792"/>
      <c r="S407" s="2762">
        <f>'Part III-A-Uses of Funds'!S97</f>
        <v>25500</v>
      </c>
      <c r="T407" s="2762"/>
      <c r="V407" s="2796"/>
      <c r="W407" s="2797"/>
      <c r="X407" s="2797"/>
      <c r="AZ407" s="2702" t="s">
        <v>6390</v>
      </c>
      <c r="BA407" s="2682">
        <v>97</v>
      </c>
    </row>
    <row r="408" spans="1:53" s="2681" customFormat="1" ht="12" customHeight="1">
      <c r="B408" s="2681" t="s">
        <v>1200</v>
      </c>
      <c r="G408" s="2762">
        <f>'Part III-A-Uses of Funds'!G98</f>
        <v>50000</v>
      </c>
      <c r="H408" s="2762"/>
      <c r="J408" s="2792"/>
      <c r="K408" s="2792"/>
      <c r="L408" s="2795"/>
      <c r="M408" s="2792"/>
      <c r="N408" s="2792"/>
      <c r="P408" s="2792"/>
      <c r="Q408" s="2792"/>
      <c r="S408" s="2762">
        <f>'Part III-A-Uses of Funds'!S98</f>
        <v>50000</v>
      </c>
      <c r="T408" s="2762"/>
      <c r="V408" s="2796"/>
      <c r="W408" s="2797"/>
      <c r="X408" s="2797"/>
      <c r="AZ408" s="2702"/>
      <c r="BA408" s="2682">
        <v>98</v>
      </c>
    </row>
    <row r="409" spans="1:53" s="2681" customFormat="1" ht="12" customHeight="1">
      <c r="B409" s="2681" t="s">
        <v>1201</v>
      </c>
      <c r="G409" s="2762">
        <f>'Part III-A-Uses of Funds'!G99</f>
        <v>0</v>
      </c>
      <c r="H409" s="2762"/>
      <c r="J409" s="2792"/>
      <c r="K409" s="2792"/>
      <c r="L409" s="2795"/>
      <c r="M409" s="2792"/>
      <c r="N409" s="2792"/>
      <c r="P409" s="2792"/>
      <c r="Q409" s="2792"/>
      <c r="S409" s="2762">
        <f>'Part III-A-Uses of Funds'!S99</f>
        <v>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f>'Part III-A-Uses of Funds'!C102</f>
        <v>0</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75500</v>
      </c>
      <c r="H413" s="2792"/>
      <c r="J413" s="2792"/>
      <c r="K413" s="2792"/>
      <c r="L413" s="2795"/>
      <c r="M413" s="2792"/>
      <c r="N413" s="2792"/>
      <c r="P413" s="2792"/>
      <c r="Q413" s="2792"/>
      <c r="S413" s="2792">
        <f>SUM(S407:S412)</f>
        <v>75500</v>
      </c>
      <c r="T413" s="2792"/>
      <c r="V413" s="2796">
        <f>SUM(V407:V412)</f>
        <v>0</v>
      </c>
      <c r="W413" s="2797"/>
      <c r="X413" s="2797"/>
      <c r="AZ413" s="2702"/>
      <c r="BA413" s="2682">
        <v>103</v>
      </c>
    </row>
    <row r="414" spans="1:53" s="2681" customFormat="1" ht="13.4"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5"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6711</v>
      </c>
      <c r="AA415" s="2833" t="s">
        <v>6654</v>
      </c>
      <c r="AB415" s="2692"/>
      <c r="AC415" s="2692"/>
      <c r="AD415" s="2834" t="str">
        <f>'Part V-Revenues &amp; Expenses'!$O$53</f>
        <v>40% of Units at 60% of AMI</v>
      </c>
      <c r="AE415" s="2835"/>
      <c r="AF415" s="2835"/>
      <c r="AZ415" s="2702"/>
      <c r="BA415" s="2682">
        <v>105</v>
      </c>
    </row>
    <row r="416" spans="1:53" s="2681" customFormat="1" ht="12.65" customHeight="1">
      <c r="B416" s="2681" t="str">
        <f>CONCATENATE("Tax Credit Application Fee ($",'DCA Underwriting Assumptions'!$Q$48, " ForProf/JntVent, $",'DCA Underwriting Assumptions'!$Q$49, " NonProf)")</f>
        <v>Tax Credit Application Fee ($6500 ForProf/JntVent, $5500 NonProf)</v>
      </c>
      <c r="G416" s="2762">
        <f>'Part III-A-Uses of Funds'!G106</f>
        <v>5500</v>
      </c>
      <c r="H416" s="2762"/>
      <c r="J416" s="2795"/>
      <c r="K416" s="2795"/>
      <c r="L416" s="2836"/>
      <c r="M416" s="2795"/>
      <c r="N416" s="2795"/>
      <c r="P416" s="2795"/>
      <c r="Q416" s="2795"/>
      <c r="S416" s="2762">
        <f>'Part III-A-Uses of Funds'!S106</f>
        <v>5500</v>
      </c>
      <c r="T416" s="2762"/>
      <c r="V416" s="2796"/>
      <c r="W416" s="2797"/>
      <c r="X416" s="2797"/>
      <c r="Y416" s="2683"/>
      <c r="AA416" s="2819" t="s">
        <v>3154</v>
      </c>
      <c r="AB416" s="2819"/>
      <c r="AC416" s="2819"/>
      <c r="AD416" s="2837">
        <f>'Part V-Revenues &amp; Expenses'!$P$67</f>
        <v>60</v>
      </c>
      <c r="AZ416" s="2702" t="s">
        <v>6391</v>
      </c>
      <c r="BA416" s="2682">
        <v>106</v>
      </c>
    </row>
    <row r="417" spans="1:53" s="2681" customFormat="1" ht="12.65" customHeight="1">
      <c r="B417" s="2681" t="s">
        <v>3321</v>
      </c>
      <c r="G417" s="2762">
        <f>'Part III-A-Uses of Funds'!G107</f>
        <v>0</v>
      </c>
      <c r="H417" s="2762"/>
      <c r="J417" s="2795"/>
      <c r="K417" s="2795"/>
      <c r="L417" s="2836"/>
      <c r="M417" s="2795"/>
      <c r="N417" s="2795"/>
      <c r="P417" s="2795"/>
      <c r="Q417" s="2795"/>
      <c r="S417" s="2762">
        <f>'Part III-A-Uses of Funds'!S107</f>
        <v>0</v>
      </c>
      <c r="T417" s="2762"/>
      <c r="V417" s="2796"/>
      <c r="W417" s="2797"/>
      <c r="X417" s="2797"/>
      <c r="Y417" s="2683"/>
      <c r="Z417" s="2683"/>
      <c r="AA417" s="2838" t="s">
        <v>6716</v>
      </c>
      <c r="AB417" s="2692"/>
      <c r="AC417" s="2692"/>
      <c r="AD417" s="2692"/>
      <c r="AF417" s="2839" t="s">
        <v>6717</v>
      </c>
      <c r="AZ417" s="2702" t="s">
        <v>6392</v>
      </c>
      <c r="BA417" s="2682">
        <v>107</v>
      </c>
    </row>
    <row r="418" spans="1:53" s="2681" customFormat="1" ht="12.65" customHeight="1">
      <c r="B418" s="2681" t="s">
        <v>486</v>
      </c>
      <c r="E418" s="2840">
        <f>ROUNDUP('DCA Underwriting Assumptions'!$Q$53*J501,0)</f>
        <v>80000</v>
      </c>
      <c r="F418" s="2840"/>
      <c r="G418" s="2762">
        <f>'Part III-A-Uses of Funds'!G108</f>
        <v>83000</v>
      </c>
      <c r="H418" s="2762"/>
      <c r="J418" s="2841" t="str">
        <f>IF(E418&gt;G418,"WARNING!  LIHTC Allocation Fee proposed is below minimum required.","")</f>
        <v/>
      </c>
      <c r="K418" s="2795"/>
      <c r="L418" s="2795"/>
      <c r="M418" s="2795"/>
      <c r="N418" s="2795"/>
      <c r="P418" s="2795"/>
      <c r="Q418" s="2795"/>
      <c r="S418" s="2762">
        <f>'Part III-A-Uses of Funds'!S108</f>
        <v>83000</v>
      </c>
      <c r="T418" s="2762"/>
      <c r="V418" s="2796"/>
      <c r="W418" s="2797"/>
      <c r="X418" s="2797"/>
      <c r="Y418" s="2683"/>
      <c r="Z418" s="2683"/>
      <c r="AA418" s="2692" t="s">
        <v>6712</v>
      </c>
      <c r="AB418" s="2692"/>
      <c r="AC418" s="2692"/>
      <c r="AD418" s="2842">
        <f>'Part V-Revenues &amp; Expenses'!P446+'Part V-Revenues &amp; Expenses'!P447</f>
        <v>0</v>
      </c>
      <c r="AF418" s="2843">
        <f>AD418*'DCA Underwriting Assumptions'!$Q$60</f>
        <v>0</v>
      </c>
      <c r="AZ418" s="2702" t="s">
        <v>6393</v>
      </c>
      <c r="BA418" s="2682">
        <v>108</v>
      </c>
    </row>
    <row r="419" spans="1:53" s="2681" customFormat="1" ht="12.65" customHeight="1">
      <c r="B419" s="2681" t="s">
        <v>702</v>
      </c>
      <c r="E419" s="2840">
        <f>AF421+AF425</f>
        <v>48000</v>
      </c>
      <c r="F419" s="2840"/>
      <c r="G419" s="2762">
        <f>'Part III-A-Uses of Funds'!G109</f>
        <v>48000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48000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5" customHeight="1">
      <c r="B420" s="2681" t="s">
        <v>3452</v>
      </c>
      <c r="F420" s="2845"/>
      <c r="G420" s="2762">
        <f>'Part III-A-Uses of Funds'!G110</f>
        <v>15000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6713</v>
      </c>
      <c r="AB420" s="2692"/>
      <c r="AC420" s="2692"/>
      <c r="AD420" s="2842">
        <f>'Part V-Revenues &amp; Expenses'!$P$142+'Part V-Revenues &amp; Expenses'!$P$143</f>
        <v>0</v>
      </c>
      <c r="AF420" s="2843">
        <f>AD420*'DCA Underwriting Assumptions'!$Q$60</f>
        <v>0</v>
      </c>
      <c r="AZ420" s="2702"/>
      <c r="BA420" s="2682">
        <v>110</v>
      </c>
    </row>
    <row r="421" spans="1:53" s="2681" customFormat="1" ht="12.65"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0</v>
      </c>
      <c r="T421" s="2762"/>
      <c r="V421" s="2796"/>
      <c r="W421" s="2797"/>
      <c r="X421" s="2797"/>
      <c r="AA421" s="2692"/>
      <c r="AB421" s="2692" t="s">
        <v>6714</v>
      </c>
      <c r="AC421" s="2692"/>
      <c r="AD421" s="2842">
        <f>SUM(AD418:AD420)</f>
        <v>0</v>
      </c>
      <c r="AF421" s="2843">
        <f>SUM(AF418:AF420)</f>
        <v>0</v>
      </c>
      <c r="AZ421" s="2702"/>
      <c r="BA421" s="2682">
        <v>111</v>
      </c>
    </row>
    <row r="422" spans="1:53" s="2681" customFormat="1" ht="12.65"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6715</v>
      </c>
      <c r="AB422" s="2692"/>
      <c r="AC422" s="2822"/>
      <c r="AD422" s="2692"/>
      <c r="AF422" s="2843"/>
      <c r="AZ422" s="2702"/>
      <c r="BA422" s="2697">
        <v>112</v>
      </c>
    </row>
    <row r="423" spans="1:53" s="2681" customFormat="1" ht="12.65"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60</v>
      </c>
      <c r="AF423" s="2843">
        <f>IF($AD$105="Income Averaging",AD423*'DCA Underwriting Assumptions'!$Q$58,AD423*'DCA Underwriting Assumptions'!$Q$57)</f>
        <v>48000</v>
      </c>
      <c r="AZ423" s="2702" t="s">
        <v>6394</v>
      </c>
      <c r="BA423" s="2682">
        <v>113</v>
      </c>
    </row>
    <row r="424" spans="1:53" s="2681" customFormat="1" ht="12.65" customHeight="1">
      <c r="F424" s="2800" t="s">
        <v>184</v>
      </c>
      <c r="G424" s="2792">
        <f>SUM(G415:G423)</f>
        <v>154500</v>
      </c>
      <c r="H424" s="2792"/>
      <c r="J424" s="2795"/>
      <c r="K424" s="2795"/>
      <c r="L424" s="2795"/>
      <c r="M424" s="2795"/>
      <c r="N424" s="2795"/>
      <c r="P424" s="2795"/>
      <c r="Q424" s="2795"/>
      <c r="S424" s="2792">
        <f>SUM(S415:S423)</f>
        <v>136500</v>
      </c>
      <c r="T424" s="2792"/>
      <c r="V424" s="2796">
        <f>SUM(V415:V423)</f>
        <v>0</v>
      </c>
      <c r="W424" s="2846"/>
      <c r="X424" s="2846"/>
      <c r="AA424" s="2692" t="s">
        <v>6487</v>
      </c>
      <c r="AB424" s="2692"/>
      <c r="AC424" s="2847"/>
      <c r="AD424" s="2842">
        <f>'Part V-Revenues &amp; Expenses'!$P$138+'Part V-Revenues &amp; Expenses'!$P$139</f>
        <v>0</v>
      </c>
      <c r="AF424" s="2843">
        <f>IF($AD$105="Income Averaging",AD424*'DCA Underwriting Assumptions'!$Q$58,AD424*'DCA Underwriting Assumptions'!$Q$57)</f>
        <v>0</v>
      </c>
      <c r="AZ424" s="2702" t="s">
        <v>6395</v>
      </c>
      <c r="BA424" s="2682">
        <v>114</v>
      </c>
    </row>
    <row r="425" spans="1:53" s="2681" customFormat="1" ht="13.4"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6714</v>
      </c>
      <c r="AC425" s="2692"/>
      <c r="AD425" s="2842">
        <f>SUM(AD423:AD424)</f>
        <v>60</v>
      </c>
      <c r="AF425" s="2843">
        <f>SUM(AF423:AF424)</f>
        <v>48000</v>
      </c>
      <c r="AZ425" s="2751"/>
      <c r="BA425" s="2682">
        <v>115</v>
      </c>
    </row>
    <row r="426" spans="1:53" s="2681" customFormat="1" ht="12.65" customHeight="1">
      <c r="B426" s="2681" t="s">
        <v>267</v>
      </c>
      <c r="G426" s="2762">
        <f>'Part III-A-Uses of Funds'!G116</f>
        <v>2500</v>
      </c>
      <c r="H426" s="2762"/>
      <c r="J426" s="2792"/>
      <c r="K426" s="2792"/>
      <c r="L426" s="2795"/>
      <c r="M426" s="2792"/>
      <c r="N426" s="2792"/>
      <c r="P426" s="2792"/>
      <c r="Q426" s="2792"/>
      <c r="S426" s="2762">
        <f>'Part III-A-Uses of Funds'!S116</f>
        <v>2500</v>
      </c>
      <c r="T426" s="2762"/>
      <c r="V426" s="2796"/>
      <c r="W426" s="2797"/>
      <c r="X426" s="2797"/>
      <c r="AZ426" s="2751"/>
      <c r="BA426" s="2682">
        <v>116</v>
      </c>
    </row>
    <row r="427" spans="1:53" s="2681" customFormat="1" ht="12.65" customHeight="1">
      <c r="B427" s="2681" t="s">
        <v>268</v>
      </c>
      <c r="G427" s="2762">
        <f>'Part III-A-Uses of Funds'!G117</f>
        <v>55000</v>
      </c>
      <c r="H427" s="2762"/>
      <c r="J427" s="2792"/>
      <c r="K427" s="2792"/>
      <c r="L427" s="2795"/>
      <c r="M427" s="2792"/>
      <c r="N427" s="2792"/>
      <c r="P427" s="2792"/>
      <c r="Q427" s="2792"/>
      <c r="S427" s="2762">
        <f>'Part III-A-Uses of Funds'!S117</f>
        <v>55000</v>
      </c>
      <c r="T427" s="2762"/>
      <c r="V427" s="2796"/>
      <c r="W427" s="2797"/>
      <c r="X427" s="2797"/>
      <c r="AZ427" s="2751"/>
      <c r="BA427" s="2682">
        <v>117</v>
      </c>
    </row>
    <row r="428" spans="1:53" s="2681" customFormat="1" ht="12.65"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5"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5" customHeight="1">
      <c r="F430" s="2800" t="s">
        <v>184</v>
      </c>
      <c r="G430" s="2792">
        <f>SUM(G426:G429)</f>
        <v>57500</v>
      </c>
      <c r="H430" s="2792"/>
      <c r="J430" s="2792"/>
      <c r="K430" s="2792"/>
      <c r="L430" s="2795"/>
      <c r="M430" s="2792"/>
      <c r="N430" s="2792"/>
      <c r="P430" s="2792"/>
      <c r="Q430" s="2792"/>
      <c r="S430" s="2792">
        <f>SUM(S426:S429)</f>
        <v>57500</v>
      </c>
      <c r="T430" s="2792"/>
      <c r="V430" s="2796">
        <f>SUM(V426:V429)</f>
        <v>0</v>
      </c>
      <c r="W430" s="2797"/>
      <c r="X430" s="2797"/>
      <c r="AC430" s="2848" t="s">
        <v>3927</v>
      </c>
      <c r="AD430" s="2848" t="s">
        <v>3928</v>
      </c>
      <c r="AE430" s="2848" t="s">
        <v>3931</v>
      </c>
      <c r="AF430" s="2849" t="s">
        <v>3929</v>
      </c>
      <c r="AG430" s="2848" t="s">
        <v>3920</v>
      </c>
      <c r="AH430" s="2848" t="s">
        <v>6748</v>
      </c>
      <c r="AI430" s="2848"/>
      <c r="AZ430" s="2751"/>
      <c r="BA430" s="2682">
        <v>120</v>
      </c>
    </row>
    <row r="431" spans="1:53" s="2681" customFormat="1" ht="13.4"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6396</v>
      </c>
      <c r="BA431" s="2697">
        <v>121</v>
      </c>
    </row>
    <row r="432" spans="1:53" s="2681" customFormat="1" ht="12.65" customHeight="1">
      <c r="B432" s="2681" t="s">
        <v>1724</v>
      </c>
      <c r="F432" s="2773">
        <f>IF($G$127=0,0,G432/$G$127)</f>
        <v>0</v>
      </c>
      <c r="G432" s="2762">
        <f>'Part III-A-Uses of Funds'!G122</f>
        <v>167002</v>
      </c>
      <c r="H432" s="2762"/>
      <c r="J432" s="2762">
        <f>'Part III-A-Uses of Funds'!J122</f>
        <v>167002</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5" customHeight="1">
      <c r="B433" s="2681" t="s">
        <v>3414</v>
      </c>
      <c r="F433" s="2856"/>
      <c r="G433" s="2847" t="s">
        <v>6728</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5"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5"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5" customHeight="1">
      <c r="B436" s="2681" t="s">
        <v>1717</v>
      </c>
      <c r="F436" s="2773">
        <f>IF($G$127=0,0,G436/$G$127)</f>
        <v>0</v>
      </c>
      <c r="G436" s="2762">
        <f>'Part III-A-Uses of Funds'!G126</f>
        <v>1427998</v>
      </c>
      <c r="H436" s="2762"/>
      <c r="J436" s="2762">
        <f>'Part III-A-Uses of Funds'!J126</f>
        <v>1427998</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5" customHeight="1">
      <c r="A437" s="2686" t="str">
        <f>IF(G437&gt;E437,"DF over limit!  Round down/Enter nbr.","")</f>
        <v/>
      </c>
      <c r="B437" s="2858"/>
      <c r="D437" s="2780" t="s">
        <v>3926</v>
      </c>
      <c r="E437" s="2859" t="str">
        <f>IF(E431="9%",AH432,IF(E431="4%",AH435,"Select App Type!"))</f>
        <v>Select App Type!</v>
      </c>
      <c r="F437" s="2800" t="s">
        <v>184</v>
      </c>
      <c r="G437" s="2792">
        <f>SUM(G432:G436)</f>
        <v>1595000</v>
      </c>
      <c r="H437" s="2792"/>
      <c r="J437" s="2792">
        <f>SUM(J432:J436)</f>
        <v>1595000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4"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5" customHeight="1">
      <c r="B439" s="2681" t="s">
        <v>241</v>
      </c>
      <c r="G439" s="2762">
        <f>'Part III-A-Uses of Funds'!G129</f>
        <v>25000</v>
      </c>
      <c r="H439" s="2762"/>
      <c r="J439" s="2836"/>
      <c r="K439" s="2836"/>
      <c r="L439" s="2836"/>
      <c r="M439" s="2836"/>
      <c r="N439" s="2836"/>
      <c r="P439" s="2836"/>
      <c r="Q439" s="2836"/>
      <c r="S439" s="2762">
        <f>'Part III-A-Uses of Funds'!S129</f>
        <v>25000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5" customHeight="1">
      <c r="B440" s="2681" t="s">
        <v>1437</v>
      </c>
      <c r="F440" s="2803">
        <f>+'Part V-Revenues &amp; Expenses'!$Q$228*('DCA Underwriting Assumptions'!$Q$87/12)</f>
        <v>108952.25</v>
      </c>
      <c r="G440" s="2762">
        <f>'Part III-A-Uses of Funds'!G130</f>
        <v>108952</v>
      </c>
      <c r="H440" s="2762"/>
      <c r="J440" s="2861" t="str">
        <f>IF(E440&gt;G440,"WARNING! Rent-Up Reserves proposed is below minimum - add comment.","")</f>
        <v/>
      </c>
      <c r="K440" s="2861"/>
      <c r="L440" s="2795"/>
      <c r="M440" s="2792"/>
      <c r="N440" s="2792"/>
      <c r="P440" s="2792"/>
      <c r="Q440" s="2792"/>
      <c r="S440" s="2762">
        <f>'Part III-A-Uses of Funds'!S130</f>
        <v>124520</v>
      </c>
      <c r="T440" s="2762"/>
      <c r="V440" s="2796"/>
      <c r="W440" s="2797"/>
      <c r="X440" s="2797"/>
      <c r="Y440" s="652"/>
      <c r="Z440" s="2852"/>
      <c r="AB440" s="2850"/>
      <c r="AD440" s="2751"/>
      <c r="AG440" s="2751"/>
      <c r="AH440" s="2751"/>
      <c r="AI440" s="2751"/>
      <c r="AZ440" s="2702"/>
      <c r="BA440" s="2697">
        <v>130</v>
      </c>
    </row>
    <row r="441" spans="1:53" s="2681" customFormat="1" ht="12.65" customHeight="1">
      <c r="B441" s="2681" t="s">
        <v>632</v>
      </c>
      <c r="F441" s="2803">
        <f>'Part V-Revenues &amp; Expenses'!$Q$228*('DCA Underwriting Assumptions'!$Q$86/12)+('Part VI-Pro Forma'!$B$26+'Part VI-Pro Forma'!$B$27+'Part VI-Pro Forma'!$B$28+'Part VI-Pro Forma'!$B$29)*'DCA Underwriting Assumptions'!$Q$85/(-12)</f>
        <v>286295.6393035326</v>
      </c>
      <c r="G441" s="2762">
        <f>'Part III-A-Uses of Funds'!G131</f>
        <v>286296</v>
      </c>
      <c r="H441" s="2762"/>
      <c r="J441" s="2861" t="str">
        <f>IF(E441&gt;G441,"WARNING! ODR proposed is below minimum - add comment.","")</f>
        <v/>
      </c>
      <c r="K441" s="2836"/>
      <c r="L441" s="2836"/>
      <c r="M441" s="2836"/>
      <c r="N441" s="2836"/>
      <c r="P441" s="2836"/>
      <c r="Q441" s="2836"/>
      <c r="S441" s="2762">
        <f>'Part III-A-Uses of Funds'!S131</f>
        <v>314000</v>
      </c>
      <c r="T441" s="2762"/>
      <c r="V441" s="2796"/>
      <c r="W441" s="2797"/>
      <c r="X441" s="2797"/>
      <c r="Y441" s="652"/>
      <c r="Z441" s="2852"/>
      <c r="AB441" s="2850"/>
      <c r="AD441" s="2751"/>
      <c r="AG441" s="2751"/>
      <c r="AH441" s="2751"/>
      <c r="AI441" s="2751"/>
      <c r="AZ441" s="2702"/>
      <c r="BA441" s="2682">
        <v>131</v>
      </c>
    </row>
    <row r="442" spans="1:53" s="2681" customFormat="1" ht="12.65"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6399</v>
      </c>
      <c r="BA442" s="2682">
        <v>132</v>
      </c>
    </row>
    <row r="443" spans="1:53" s="2681" customFormat="1" ht="12.65" customHeight="1">
      <c r="B443" s="2681" t="s">
        <v>1172</v>
      </c>
      <c r="E443" s="2802" t="s">
        <v>3140</v>
      </c>
      <c r="F443" s="2803">
        <f>IF('Part V-Revenues &amp; Expenses'!$P$67=0,0,G443/'Part V-Revenues &amp; Expenses'!$P$67)</f>
        <v>3000</v>
      </c>
      <c r="G443" s="2762">
        <f>'Part III-A-Uses of Funds'!G133</f>
        <v>180000</v>
      </c>
      <c r="H443" s="2762"/>
      <c r="J443" s="2762">
        <f>'Part III-A-Uses of Funds'!J133</f>
        <v>180000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6400</v>
      </c>
      <c r="BA443" s="2682">
        <v>133</v>
      </c>
    </row>
    <row r="444" spans="1:53" s="2681" customFormat="1" ht="12.65" customHeight="1">
      <c r="A444" s="2798" t="str">
        <f>IF(AND(G444&gt;0,OR(C444="",C444="&lt;Enter detailed description here; use Comments section if needed&gt;")),"X","")</f>
        <v/>
      </c>
      <c r="B444" s="2692" t="s">
        <v>6283</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5" customHeight="1">
      <c r="B445" s="2862"/>
      <c r="F445" s="2800" t="s">
        <v>184</v>
      </c>
      <c r="G445" s="2792">
        <f>SUM(G439:G444)</f>
        <v>600248</v>
      </c>
      <c r="H445" s="2792"/>
      <c r="J445" s="2792">
        <f>SUM(J443:J444)</f>
        <v>180000</v>
      </c>
      <c r="K445" s="2792"/>
      <c r="L445" s="2795"/>
      <c r="M445" s="2792">
        <f>SUM(M443:M444)</f>
        <v>0</v>
      </c>
      <c r="N445" s="2792"/>
      <c r="P445" s="2792">
        <f>SUM(P443:P444)</f>
        <v>0</v>
      </c>
      <c r="Q445" s="2792"/>
      <c r="S445" s="2792">
        <f>SUM(S439:S444)</f>
        <v>463520</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5"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6833</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4"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5"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5"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5"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6834</v>
      </c>
      <c r="E456" s="2802"/>
      <c r="F456" s="2867"/>
      <c r="G456" s="2792">
        <f>G328+G334+G338+G346+G351+G356+G365+G383+G396+G402+G413+G424+G430+G437+G445+G454</f>
        <v>17043481.5</v>
      </c>
      <c r="H456" s="2792"/>
      <c r="J456" s="2792">
        <f>J328+J334+J338+J346+J351+J356+J365+J383+J396+J402+J413+J424+J430+J437+J445+J454</f>
        <v>14909631.5</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2149122</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5" customHeight="1">
      <c r="B458" s="2810" t="s">
        <v>6757</v>
      </c>
      <c r="C458" s="2814"/>
      <c r="D458" s="2868">
        <f>IF('Part V-Revenues &amp; Expenses'!$P$67=0,0,G456/'Part V-Revenues &amp; Expenses'!$P$67)</f>
        <v>284058.02500000002</v>
      </c>
      <c r="E458" s="2868"/>
      <c r="F458" s="2862" t="s">
        <v>2489</v>
      </c>
      <c r="G458" s="2868">
        <f>IF('Part V-Revenues &amp; Expenses'!$K$175=0,0,G456/'Part V-Revenues &amp; Expenses'!$K$175)</f>
        <v>336.16334319526629</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5"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5"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5"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5"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5"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5"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5"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5"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5" customHeight="1">
      <c r="B472" s="2681" t="s">
        <v>1666</v>
      </c>
      <c r="J472" s="2769">
        <f>J456</f>
        <v>14909631.5</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5"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5" customHeight="1">
      <c r="B474" s="2681" t="s">
        <v>2054</v>
      </c>
      <c r="J474" s="2769">
        <f>J472-J473</f>
        <v>14909631.5</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5"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5" customHeight="1">
      <c r="B476" s="2681" t="s">
        <v>1904</v>
      </c>
      <c r="J476" s="2769">
        <f>J474*J475</f>
        <v>14909631.5</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5" customHeight="1">
      <c r="B477" s="2681" t="s">
        <v>2340</v>
      </c>
      <c r="J477" s="2874">
        <f>MIN('Part V-Revenues &amp; Expenses'!$P$63/'Part V-Revenues &amp; Expenses'!$P$65,'Part V-Revenues &amp; Expenses'!$P$164/'Part V-Revenues &amp; Expenses'!$P$166)</f>
        <v>0.8666666666666667</v>
      </c>
      <c r="K477" s="2874"/>
      <c r="M477" s="2874">
        <f>MIN('Part V-Revenues &amp; Expenses'!$P$63/'Part V-Revenues &amp; Expenses'!$P$65,'Part V-Revenues &amp; Expenses'!$P$164/'Part V-Revenues &amp; Expenses'!$P$166)</f>
        <v>0.8666666666666667</v>
      </c>
      <c r="N477" s="2874"/>
      <c r="P477" s="2874">
        <f>MIN('Part V-Revenues &amp; Expenses'!$P$63/'Part V-Revenues &amp; Expenses'!$P$65,'Part V-Revenues &amp; Expenses'!$P$164/'Part V-Revenues &amp; Expenses'!$P$166)</f>
        <v>0.8666666666666667</v>
      </c>
      <c r="Q477" s="2874"/>
      <c r="R477" s="2875"/>
      <c r="S477" s="2875"/>
      <c r="T477" s="2875"/>
      <c r="V477" s="2796"/>
      <c r="W477" s="2797"/>
      <c r="X477" s="2797"/>
      <c r="AZ477" s="2702"/>
      <c r="BA477" s="2682">
        <v>167</v>
      </c>
    </row>
    <row r="478" spans="2:53" s="2681" customFormat="1" ht="14.15" customHeight="1">
      <c r="B478" s="2681" t="s">
        <v>1896</v>
      </c>
      <c r="J478" s="2769">
        <f>J476*J477</f>
        <v>12921680.633333335</v>
      </c>
      <c r="K478" s="2769"/>
      <c r="M478" s="2769">
        <f>M476*M477</f>
        <v>0</v>
      </c>
      <c r="N478" s="2769"/>
      <c r="P478" s="2769">
        <f>P476*P477</f>
        <v>0</v>
      </c>
      <c r="Q478" s="2769"/>
      <c r="V478" s="2796"/>
      <c r="W478" s="2797"/>
      <c r="X478" s="2797"/>
      <c r="AZ478" s="2702"/>
      <c r="BA478" s="2682">
        <v>168</v>
      </c>
    </row>
    <row r="479" spans="2:53" s="2681" customFormat="1" ht="14.15"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5" customHeight="1">
      <c r="B480" s="2681" t="s">
        <v>2341</v>
      </c>
      <c r="J480" s="2769">
        <f>J478*J479</f>
        <v>1162951.257</v>
      </c>
      <c r="K480" s="2769"/>
      <c r="M480" s="2769">
        <f>M478*M479</f>
        <v>0</v>
      </c>
      <c r="N480" s="2769"/>
      <c r="P480" s="2769">
        <f>P478*P479</f>
        <v>0</v>
      </c>
      <c r="Q480" s="2769"/>
      <c r="V480" s="2796"/>
      <c r="W480" s="2797"/>
      <c r="X480" s="2797"/>
      <c r="AZ480" s="2702"/>
      <c r="BA480" s="2682">
        <v>170</v>
      </c>
    </row>
    <row r="481" spans="1:53" s="2681" customFormat="1" ht="14.15" customHeight="1">
      <c r="B481" s="2681" t="s">
        <v>1340</v>
      </c>
      <c r="J481" s="2769">
        <f>ROUNDDOWN(J480+M480+P480,0)</f>
        <v>1162951</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5"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6835</v>
      </c>
      <c r="C486" s="2702"/>
      <c r="J486" s="2769">
        <f>G456</f>
        <v>17043481.5</v>
      </c>
      <c r="K486" s="2769"/>
      <c r="L486" s="2769"/>
      <c r="N486" s="2872" t="s">
        <v>6722</v>
      </c>
      <c r="O486" s="2872"/>
      <c r="P486" s="2872"/>
      <c r="Q486" s="2872"/>
      <c r="S486" s="2849" t="s">
        <v>3190</v>
      </c>
      <c r="T486" s="2849"/>
      <c r="V486" s="2796"/>
      <c r="W486" s="2797"/>
      <c r="X486" s="2797"/>
      <c r="AZ486" s="2702"/>
      <c r="BA486" s="2682">
        <v>176</v>
      </c>
    </row>
    <row r="487" spans="1:53" s="2681" customFormat="1" ht="14.15" customHeight="1">
      <c r="B487" s="2681" t="s">
        <v>252</v>
      </c>
      <c r="J487" s="2769">
        <f>'Part II-Sources of Funds'!$I$60-'Part II-Sources of Funds'!$I$44-'Part II-Sources of Funds'!$I$45-'Part II-Sources of Funds'!$I$51-'Part II-Sources of Funds'!$I$52</f>
        <v>2210100</v>
      </c>
      <c r="K487" s="2769"/>
      <c r="L487" s="2769"/>
      <c r="M487" s="2872"/>
      <c r="N487" s="2872"/>
      <c r="O487" s="2872"/>
      <c r="P487" s="2872"/>
      <c r="Q487" s="2872"/>
      <c r="S487" s="2849"/>
      <c r="T487" s="2849"/>
      <c r="V487" s="2796"/>
      <c r="W487" s="2797"/>
      <c r="X487" s="2797"/>
      <c r="AZ487" s="2702"/>
      <c r="BA487" s="2682">
        <v>177</v>
      </c>
    </row>
    <row r="488" spans="1:53" s="2681" customFormat="1" ht="14.15" customHeight="1">
      <c r="B488" s="2681" t="s">
        <v>2065</v>
      </c>
      <c r="J488" s="2769">
        <f>+J486-J487</f>
        <v>14833381.5</v>
      </c>
      <c r="K488" s="2769"/>
      <c r="L488" s="2769"/>
      <c r="M488" s="2872"/>
      <c r="N488" s="2872"/>
      <c r="O488" s="2872"/>
      <c r="P488" s="2872"/>
      <c r="Q488" s="2872"/>
      <c r="S488" s="2849"/>
      <c r="T488" s="2849"/>
      <c r="V488" s="2796"/>
      <c r="W488" s="2797"/>
      <c r="X488" s="2797"/>
      <c r="AZ488" s="2702"/>
      <c r="BA488" s="2682">
        <v>178</v>
      </c>
    </row>
    <row r="489" spans="1:53" s="2681" customFormat="1" ht="14.15"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5" customHeight="1">
      <c r="B490" s="2681" t="s">
        <v>1211</v>
      </c>
      <c r="J490" s="2769">
        <f>J488/10</f>
        <v>1483338.15</v>
      </c>
      <c r="K490" s="2769"/>
      <c r="L490" s="2769"/>
      <c r="N490" s="2880"/>
      <c r="O490" s="2880"/>
      <c r="P490" s="2880"/>
      <c r="Q490" s="2880"/>
      <c r="R490" s="2880"/>
      <c r="V490" s="2796"/>
      <c r="W490" s="2797"/>
      <c r="X490" s="2797"/>
      <c r="AZ490" s="2702"/>
      <c r="BA490" s="2682">
        <v>180</v>
      </c>
    </row>
    <row r="491" spans="1:53" s="2681" customFormat="1" ht="14.15" customHeight="1">
      <c r="M491" s="2693"/>
      <c r="N491" s="2681" t="s">
        <v>1212</v>
      </c>
      <c r="Q491" s="2681" t="s">
        <v>1672</v>
      </c>
      <c r="V491" s="2796"/>
      <c r="W491" s="2797"/>
      <c r="X491" s="2797"/>
      <c r="Z491" s="2681" t="s">
        <v>1647</v>
      </c>
      <c r="AZ491" s="2702"/>
      <c r="BA491" s="2682">
        <v>181</v>
      </c>
    </row>
    <row r="492" spans="1:53" s="2681" customFormat="1" ht="14.15" customHeight="1">
      <c r="B492" s="2681" t="s">
        <v>6758</v>
      </c>
      <c r="J492" s="2881">
        <f>N492+Q492</f>
        <v>1.4500000000000002</v>
      </c>
      <c r="K492" s="2881"/>
      <c r="L492" s="2881"/>
      <c r="M492" s="2682" t="s">
        <v>1213</v>
      </c>
      <c r="N492" s="2882">
        <f>'Part III-A-Uses of Funds'!N182</f>
        <v>0.9</v>
      </c>
      <c r="O492" s="2882"/>
      <c r="P492" s="2682" t="s">
        <v>570</v>
      </c>
      <c r="Q492" s="2882">
        <f>'Part III-A-Uses of Funds'!Q182</f>
        <v>0.55000000000000004</v>
      </c>
      <c r="R492" s="2882"/>
      <c r="V492" s="2796"/>
      <c r="W492" s="2797"/>
      <c r="X492" s="2797"/>
      <c r="Z492" s="2782">
        <f>'DCA Underwriting Assumptions'!Q423</f>
        <v>0</v>
      </c>
      <c r="AZ492" s="2702"/>
      <c r="BA492" s="2682">
        <v>182</v>
      </c>
    </row>
    <row r="493" spans="1:53" s="2681" customFormat="1" ht="14.15" customHeight="1">
      <c r="B493" s="2681" t="s">
        <v>1341</v>
      </c>
      <c r="J493" s="2769">
        <f>ROUNDDOWN(IF(J492=0,"",J490/J492),0)</f>
        <v>1022991</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5"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99999999999999" customHeight="1">
      <c r="B497" s="2681" t="s">
        <v>6836</v>
      </c>
      <c r="J497" s="2772">
        <f>'Part III-A-Uses of Funds'!J187</f>
        <v>1000000</v>
      </c>
      <c r="K497" s="2772"/>
      <c r="L497" s="2772"/>
      <c r="Q497" s="2692" t="s">
        <v>6255</v>
      </c>
      <c r="R497" s="2692"/>
      <c r="S497" s="2692" t="str">
        <f>'Part VIII Scoring Criteria'!$M$59</f>
        <v>Rural</v>
      </c>
      <c r="T497" s="2692"/>
      <c r="U497" s="2682" t="e">
        <f>IF(OR(S497="Atlanta Metro", "Other Metro"), "Metro", IF(S497="Rural","Rural",""))</f>
        <v>#VALUE!</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99999999999999" customHeight="1">
      <c r="B499" s="2681" t="s">
        <v>6759</v>
      </c>
      <c r="J499" s="2772">
        <f>'Part III-A-Uses of Funds'!J189</f>
        <v>1000000</v>
      </c>
      <c r="K499" s="2772"/>
      <c r="L499" s="2772"/>
      <c r="M499" s="2745" t="str">
        <f>IF(J497=0,"",IF(J499&gt;J497,"Request can't exceed Maximum - REVISE (Try Round Down)!",""))</f>
        <v/>
      </c>
      <c r="N499" s="2745"/>
      <c r="O499" s="2745"/>
      <c r="P499" s="2745"/>
      <c r="Q499" s="2847" t="s">
        <v>6552</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99999999999999" customHeight="1">
      <c r="A501" s="2794"/>
      <c r="B501" s="2794" t="s">
        <v>6837</v>
      </c>
      <c r="D501" s="2693"/>
      <c r="E501" s="2693"/>
      <c r="F501" s="2694"/>
      <c r="J501" s="2769">
        <f>IF(J499="",0,+MIN(J497,J499))</f>
        <v>1000000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5">
      <c r="A505" s="2722" t="str">
        <f>'Part III-A-Uses of Funds'!A195</f>
        <v>Owner FFE includes Wifi. Building Permit estimates are provided by the City of Villa Rica. Acquisition Value is validated by the Option Contract.</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5">
      <c r="A508" s="2886" t="str">
        <f>CONCATENATE("PART THREE (B) -  OTHER COSTS","  -  ",'Part I-Project Identification'!$O$7," - ",'Part I-Project Identification'!$F$29,"  -  ",'Part I-Project Identification'!$F$30,"  -  ",'Part I-Project Identification'!$J$30,",  ","County")</f>
        <v>PART THREE (B) -  OTHER COSTS  -  2022-0 - Villa Rica Senior  -  Villa Rica  -  Carroll,  County</v>
      </c>
      <c r="B508" s="2886"/>
      <c r="C508" s="2886"/>
      <c r="D508" s="2886"/>
      <c r="E508" s="2886"/>
      <c r="F508" s="2886"/>
      <c r="G508" s="2886"/>
      <c r="H508" s="2886"/>
      <c r="I508" s="2887"/>
      <c r="J508" s="2887"/>
      <c r="K508" s="2887"/>
      <c r="L508" s="2887"/>
      <c r="M508" s="2887"/>
      <c r="N508" s="2887"/>
    </row>
    <row r="509" spans="1:53" s="2888" customFormat="1"/>
    <row r="510" spans="1:53" s="2888" customFormat="1" ht="14">
      <c r="A510" s="2889" t="s">
        <v>3217</v>
      </c>
      <c r="B510" s="2889"/>
      <c r="C510" s="2889"/>
      <c r="D510" s="2889"/>
      <c r="E510" s="2889"/>
      <c r="F510" s="2889"/>
      <c r="G510" s="2889"/>
      <c r="H510" s="2889"/>
    </row>
    <row r="511" spans="1:53" s="2888" customFormat="1"/>
    <row r="512" spans="1:53" s="2888" customFormat="1" ht="17.5">
      <c r="A512" s="2890" t="s">
        <v>6760</v>
      </c>
      <c r="B512" s="2890"/>
      <c r="C512" s="2890"/>
      <c r="D512" s="2890"/>
      <c r="F512" s="2891" t="s">
        <v>3209</v>
      </c>
      <c r="G512" s="2887"/>
      <c r="H512" s="2891" t="s">
        <v>3210</v>
      </c>
    </row>
    <row r="513" spans="1:8" s="2888" customFormat="1">
      <c r="A513" s="2887"/>
      <c r="B513" s="2887"/>
      <c r="C513" s="2887"/>
      <c r="D513" s="2887"/>
    </row>
    <row r="514" spans="1:8" s="2893" customFormat="1" ht="10.5">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1.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1.5">
      <c r="A517" s="2895"/>
      <c r="B517" s="2895"/>
      <c r="C517" s="2895"/>
      <c r="D517" s="2895"/>
      <c r="F517" s="2896"/>
      <c r="G517" s="2894"/>
      <c r="H517" s="2896"/>
    </row>
    <row r="518" spans="1:8" s="2893" customFormat="1" ht="10.5">
      <c r="F518" s="2896"/>
      <c r="G518" s="2894"/>
      <c r="H518" s="2896"/>
    </row>
    <row r="519" spans="1:8" s="2893" customFormat="1" ht="10.5">
      <c r="A519" s="2897" t="s">
        <v>3212</v>
      </c>
      <c r="B519" s="2898">
        <f>'Part III-A-Uses of Funds'!$G$15</f>
        <v>0</v>
      </c>
      <c r="C519" s="2897" t="s">
        <v>1666</v>
      </c>
      <c r="D519" s="2898">
        <f>'Part III-A-Uses of Funds'!$J$15+'Part III-A-Uses of Funds'!$M$15+'Part III-A-Uses of Funds'!$P$15</f>
        <v>0</v>
      </c>
      <c r="F519" s="2896"/>
      <c r="G519" s="2894"/>
      <c r="H519" s="2896"/>
    </row>
    <row r="520" spans="1:8" s="2893" customFormat="1" ht="10.5">
      <c r="A520" s="2894"/>
      <c r="B520" s="2899"/>
      <c r="C520" s="2894"/>
      <c r="D520" s="2894"/>
      <c r="F520" s="2896"/>
      <c r="G520" s="2900"/>
      <c r="H520" s="2896"/>
    </row>
    <row r="521" spans="1:8" s="2893" customFormat="1" ht="11.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1.5">
      <c r="A522" s="2895"/>
      <c r="B522" s="2895"/>
      <c r="C522" s="2895"/>
      <c r="D522" s="2895"/>
      <c r="F522" s="2896"/>
      <c r="G522" s="2894"/>
      <c r="H522" s="2896"/>
    </row>
    <row r="523" spans="1:8" s="2893" customFormat="1" ht="10.5">
      <c r="F523" s="2896"/>
      <c r="G523" s="2894"/>
      <c r="H523" s="2896"/>
    </row>
    <row r="524" spans="1:8" s="2893" customFormat="1" ht="10.5">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ht="10.5">
      <c r="A525" s="2894"/>
      <c r="B525" s="2899"/>
      <c r="C525" s="2894"/>
      <c r="D525" s="2894"/>
      <c r="F525" s="2896"/>
      <c r="G525" s="2900"/>
      <c r="H525" s="2896"/>
    </row>
    <row r="526" spans="1:8" s="2893" customFormat="1" ht="11.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1.5">
      <c r="A527" s="2895"/>
      <c r="B527" s="2895"/>
      <c r="C527" s="2895"/>
      <c r="D527" s="2895"/>
      <c r="F527" s="2896"/>
      <c r="G527" s="2894"/>
      <c r="H527" s="2896"/>
    </row>
    <row r="528" spans="1:8" s="2893" customFormat="1" ht="10.5">
      <c r="F528" s="2896"/>
      <c r="G528" s="2894"/>
      <c r="H528" s="2896"/>
    </row>
    <row r="529" spans="1:8" s="2893" customFormat="1" ht="10.5">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ht="10.5">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1.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1.5">
      <c r="A533" s="2895"/>
      <c r="B533" s="2895"/>
      <c r="C533" s="2895"/>
      <c r="D533" s="2895"/>
      <c r="E533" s="2894"/>
      <c r="F533" s="2896"/>
      <c r="G533" s="2894"/>
      <c r="H533" s="2896"/>
    </row>
    <row r="534" spans="1:8" s="2893" customFormat="1" ht="10.5">
      <c r="A534" s="2894"/>
      <c r="B534" s="2894"/>
      <c r="C534" s="2894"/>
      <c r="D534" s="2894"/>
      <c r="E534" s="2894"/>
      <c r="F534" s="2896"/>
      <c r="G534" s="2894"/>
      <c r="H534" s="2896"/>
    </row>
    <row r="535" spans="1:8" s="2893" customFormat="1" ht="10.5">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ht="10.5">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1.5">
      <c r="A538" s="2895">
        <f>'Part III-A-Uses of Funds'!$C$71</f>
        <v>0</v>
      </c>
      <c r="B538" s="2895"/>
      <c r="C538" s="2895"/>
      <c r="D538" s="2895"/>
      <c r="E538" s="2894"/>
      <c r="F538" s="2896">
        <f>'Part III-B-Other Items'!F31</f>
        <v>0</v>
      </c>
      <c r="G538" s="2894"/>
      <c r="H538" s="2896">
        <f>'Part III-B-Other Items'!H31</f>
        <v>0</v>
      </c>
    </row>
    <row r="539" spans="1:8" s="2893" customFormat="1" ht="11.5">
      <c r="A539" s="2895"/>
      <c r="B539" s="2895"/>
      <c r="C539" s="2895"/>
      <c r="D539" s="2895"/>
      <c r="E539" s="2894"/>
      <c r="F539" s="2896"/>
      <c r="G539" s="2894"/>
      <c r="H539" s="2896"/>
    </row>
    <row r="540" spans="1:8" s="2893" customFormat="1" ht="10.5">
      <c r="A540" s="2894"/>
      <c r="B540" s="2894"/>
      <c r="C540" s="2894"/>
      <c r="D540" s="2894"/>
      <c r="E540" s="2894"/>
      <c r="F540" s="2896"/>
      <c r="G540" s="2894"/>
      <c r="H540" s="2896"/>
    </row>
    <row r="541" spans="1:8" s="2893" customFormat="1" ht="10.5">
      <c r="A541" s="2897" t="s">
        <v>3212</v>
      </c>
      <c r="B541" s="2898">
        <f>'Part III-A-Uses of Funds'!$G$71</f>
        <v>0</v>
      </c>
      <c r="C541" s="2897" t="s">
        <v>1666</v>
      </c>
      <c r="D541" s="2898">
        <f>'Part III-A-Uses of Funds'!$J$71+'Part III-A-Uses of Funds'!$M$71+'Part III-A-Uses of Funds'!$P$71</f>
        <v>15000</v>
      </c>
      <c r="E541" s="2894"/>
      <c r="F541" s="2896"/>
      <c r="G541" s="2894"/>
      <c r="H541" s="2896"/>
    </row>
    <row r="542" spans="1:8" s="2893" customFormat="1" ht="10.5">
      <c r="D542" s="2894"/>
      <c r="E542" s="2894"/>
      <c r="F542" s="2896"/>
      <c r="G542" s="2900"/>
      <c r="H542" s="2896"/>
    </row>
    <row r="543" spans="1:8" s="2893" customFormat="1" ht="11.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1.5">
      <c r="A544" s="2895"/>
      <c r="B544" s="2895"/>
      <c r="C544" s="2895"/>
      <c r="D544" s="2895"/>
      <c r="E544" s="2894"/>
      <c r="F544" s="2896"/>
      <c r="G544" s="2894"/>
      <c r="H544" s="2896"/>
    </row>
    <row r="545" spans="1:8" s="2893" customFormat="1" ht="10.5">
      <c r="A545" s="2894"/>
      <c r="B545" s="2894"/>
      <c r="C545" s="2894"/>
      <c r="D545" s="2894"/>
      <c r="E545" s="2894"/>
      <c r="F545" s="2896"/>
      <c r="G545" s="2894"/>
      <c r="H545" s="2896"/>
    </row>
    <row r="546" spans="1:8" s="2893" customFormat="1" ht="10.5">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ht="10.5">
      <c r="D547" s="2894"/>
      <c r="E547" s="2894"/>
      <c r="F547" s="2896"/>
      <c r="G547" s="2900"/>
      <c r="H547" s="2896"/>
    </row>
    <row r="548" spans="1:8" s="2893" customFormat="1">
      <c r="A548" s="2887" t="s">
        <v>449</v>
      </c>
      <c r="B548" s="2894"/>
      <c r="C548" s="2894"/>
      <c r="D548" s="2894"/>
      <c r="E548" s="2861"/>
      <c r="F548" s="2861"/>
      <c r="G548" s="2894"/>
    </row>
    <row r="549" spans="1:8" s="2893" customFormat="1" ht="11.5">
      <c r="A549" s="2895">
        <f>'Part III-A-Uses of Funds'!$C$85</f>
        <v>0</v>
      </c>
      <c r="B549" s="2895"/>
      <c r="C549" s="2895"/>
      <c r="D549" s="2895"/>
      <c r="F549" s="2896">
        <f>'Part III-B-Other Items'!F42</f>
        <v>0</v>
      </c>
      <c r="G549" s="2894"/>
      <c r="H549" s="2896">
        <f>'Part III-B-Other Items'!H42</f>
        <v>0</v>
      </c>
    </row>
    <row r="550" spans="1:8" s="2893" customFormat="1" ht="11.5">
      <c r="A550" s="2895"/>
      <c r="B550" s="2895"/>
      <c r="C550" s="2895"/>
      <c r="D550" s="2895"/>
      <c r="E550" s="2894"/>
      <c r="F550" s="2896"/>
      <c r="G550" s="2894"/>
      <c r="H550" s="2896"/>
    </row>
    <row r="551" spans="1:8" s="2893" customFormat="1" ht="10.5">
      <c r="A551" s="2894"/>
      <c r="B551" s="2894"/>
      <c r="C551" s="2894"/>
      <c r="D551" s="2894"/>
      <c r="E551" s="2894"/>
      <c r="F551" s="2896"/>
      <c r="G551" s="2894"/>
      <c r="H551" s="2896"/>
    </row>
    <row r="552" spans="1:8" s="2893" customFormat="1" ht="10.5">
      <c r="A552" s="2897" t="s">
        <v>3212</v>
      </c>
      <c r="B552" s="2898">
        <f>'Part III-A-Uses of Funds'!$G$85</f>
        <v>0</v>
      </c>
      <c r="C552" s="2897" t="s">
        <v>1666</v>
      </c>
      <c r="D552" s="2898">
        <f>'Part III-A-Uses of Funds'!$J$85+'Part III-A-Uses of Funds'!$M$85+'Part III-A-Uses of Funds'!$P$85</f>
        <v>40000</v>
      </c>
      <c r="E552" s="2894"/>
      <c r="F552" s="2896"/>
      <c r="G552" s="2894"/>
      <c r="H552" s="2896"/>
    </row>
    <row r="553" spans="1:8" s="2893" customFormat="1" ht="10.5">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1.5">
      <c r="A555" s="2895">
        <f>'Part III-A-Uses of Funds'!$C$102</f>
        <v>0</v>
      </c>
      <c r="B555" s="2895"/>
      <c r="C555" s="2895"/>
      <c r="D555" s="2895"/>
      <c r="F555" s="2896">
        <f>'Part III-B-Other Items'!F48</f>
        <v>0</v>
      </c>
      <c r="G555" s="2894"/>
    </row>
    <row r="556" spans="1:8" s="2893" customFormat="1" ht="11.5">
      <c r="A556" s="2895"/>
      <c r="B556" s="2895"/>
      <c r="C556" s="2895"/>
      <c r="D556" s="2895"/>
      <c r="E556" s="2894"/>
      <c r="F556" s="2896"/>
      <c r="G556" s="2894"/>
    </row>
    <row r="557" spans="1:8" s="2893" customFormat="1" ht="10.5">
      <c r="A557" s="2894"/>
      <c r="B557" s="2894"/>
      <c r="C557" s="2894"/>
      <c r="D557" s="2894"/>
      <c r="E557" s="2894"/>
      <c r="F557" s="2896"/>
      <c r="G557" s="2894"/>
    </row>
    <row r="558" spans="1:8" s="2893" customFormat="1" ht="10.5">
      <c r="A558" s="2897" t="s">
        <v>3212</v>
      </c>
      <c r="B558" s="2898">
        <f>'Part III-A-Uses of Funds'!$G$102</f>
        <v>0</v>
      </c>
      <c r="C558" s="2901"/>
      <c r="D558" s="2901"/>
      <c r="E558" s="2894"/>
      <c r="F558" s="2896"/>
      <c r="G558" s="2894"/>
    </row>
    <row r="559" spans="1:8" s="2893" customFormat="1" ht="10.5">
      <c r="A559" s="2894"/>
      <c r="B559" s="2894"/>
      <c r="C559" s="2894"/>
      <c r="D559" s="2894"/>
      <c r="E559" s="2894"/>
      <c r="F559" s="2896"/>
      <c r="G559" s="2900"/>
    </row>
    <row r="560" spans="1:8" s="2893" customFormat="1">
      <c r="A560" s="2887" t="s">
        <v>6761</v>
      </c>
      <c r="B560" s="2894"/>
      <c r="C560" s="2894"/>
      <c r="D560" s="2894"/>
      <c r="E560" s="2894"/>
      <c r="F560" s="2894"/>
      <c r="G560" s="2894"/>
    </row>
    <row r="561" spans="1:7" s="2893" customFormat="1" ht="11.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1.5">
      <c r="A562" s="2895"/>
      <c r="B562" s="2895"/>
      <c r="C562" s="2895"/>
      <c r="D562" s="2895"/>
      <c r="E562" s="2894"/>
      <c r="F562" s="2896"/>
      <c r="G562" s="2894"/>
    </row>
    <row r="563" spans="1:7" s="2893" customFormat="1" ht="10.5">
      <c r="A563" s="2894"/>
      <c r="B563" s="2894"/>
      <c r="C563" s="2894"/>
      <c r="D563" s="2894"/>
      <c r="E563" s="2894"/>
      <c r="F563" s="2896"/>
      <c r="G563" s="2894"/>
    </row>
    <row r="564" spans="1:7" s="2893" customFormat="1" ht="10.5">
      <c r="A564" s="2897" t="s">
        <v>3212</v>
      </c>
      <c r="B564" s="2898">
        <f>'Part III-A-Uses of Funds'!$G$112</f>
        <v>0</v>
      </c>
      <c r="C564" s="2901"/>
      <c r="D564" s="2901"/>
      <c r="E564" s="2894"/>
      <c r="F564" s="2896"/>
      <c r="G564" s="2894"/>
    </row>
    <row r="565" spans="1:7" s="2893" customFormat="1" ht="10.5">
      <c r="A565" s="2892"/>
      <c r="B565" s="2892"/>
      <c r="C565" s="2892"/>
      <c r="D565" s="2892"/>
      <c r="E565" s="2892"/>
      <c r="F565" s="2896"/>
      <c r="G565" s="2900"/>
    </row>
    <row r="566" spans="1:7" s="2893" customFormat="1" ht="11.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1.5">
      <c r="A567" s="2895"/>
      <c r="B567" s="2895"/>
      <c r="C567" s="2895"/>
      <c r="D567" s="2895"/>
      <c r="E567" s="2894"/>
      <c r="F567" s="2896"/>
      <c r="G567" s="2894"/>
    </row>
    <row r="568" spans="1:7" s="2893" customFormat="1" ht="10.5">
      <c r="A568" s="2894"/>
      <c r="B568" s="2894"/>
      <c r="C568" s="2894"/>
      <c r="D568" s="2894"/>
      <c r="E568" s="2894"/>
      <c r="F568" s="2896"/>
      <c r="G568" s="2894"/>
    </row>
    <row r="569" spans="1:7" s="2893" customFormat="1" ht="10.5">
      <c r="A569" s="2897" t="s">
        <v>3212</v>
      </c>
      <c r="B569" s="2898">
        <f>'Part III-A-Uses of Funds'!$G$113</f>
        <v>0</v>
      </c>
      <c r="C569" s="2901"/>
      <c r="D569" s="2901"/>
      <c r="E569" s="2894"/>
      <c r="F569" s="2896"/>
      <c r="G569" s="2894"/>
    </row>
    <row r="570" spans="1:7" s="2893" customFormat="1" ht="10.5">
      <c r="A570" s="2892"/>
      <c r="B570" s="2892"/>
      <c r="C570" s="2892"/>
      <c r="D570" s="2892"/>
      <c r="E570" s="2892"/>
      <c r="F570" s="2896"/>
      <c r="G570" s="2900"/>
    </row>
    <row r="571" spans="1:7" s="2893" customFormat="1">
      <c r="A571" s="2887" t="s">
        <v>6762</v>
      </c>
      <c r="B571" s="2894"/>
      <c r="C571" s="2894"/>
      <c r="D571" s="2894"/>
      <c r="E571" s="2894"/>
      <c r="F571" s="2894"/>
      <c r="G571" s="2894"/>
    </row>
    <row r="572" spans="1:7" s="2893" customFormat="1" ht="11.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1.5">
      <c r="A573" s="2895"/>
      <c r="B573" s="2895"/>
      <c r="C573" s="2895"/>
      <c r="D573" s="2895"/>
      <c r="E573" s="2894"/>
      <c r="F573" s="2896"/>
      <c r="G573" s="2894"/>
    </row>
    <row r="574" spans="1:7" s="2893" customFormat="1" ht="10.5">
      <c r="A574" s="2894"/>
      <c r="B574" s="2894"/>
      <c r="C574" s="2894"/>
      <c r="D574" s="2894"/>
      <c r="E574" s="2894"/>
      <c r="F574" s="2896"/>
      <c r="G574" s="2894"/>
    </row>
    <row r="575" spans="1:7" s="2893" customFormat="1" ht="10.5">
      <c r="A575" s="2897" t="s">
        <v>3212</v>
      </c>
      <c r="B575" s="2898">
        <f>'Part III-A-Uses of Funds'!$G$119</f>
        <v>0</v>
      </c>
      <c r="C575" s="2901"/>
      <c r="D575" s="2901"/>
      <c r="E575" s="2894"/>
      <c r="F575" s="2896"/>
      <c r="G575" s="2894"/>
    </row>
    <row r="576" spans="1:7" s="2893" customFormat="1" ht="10.5">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1.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1.5">
      <c r="A579" s="2895"/>
      <c r="B579" s="2895"/>
      <c r="C579" s="2895"/>
      <c r="D579" s="2895"/>
      <c r="E579" s="2894"/>
      <c r="F579" s="2896"/>
      <c r="G579" s="2894"/>
      <c r="H579" s="2896"/>
    </row>
    <row r="580" spans="1:17" s="2893" customFormat="1" ht="10.5">
      <c r="A580" s="2894"/>
      <c r="B580" s="2894"/>
      <c r="C580" s="2894"/>
      <c r="D580" s="2894"/>
      <c r="E580" s="2894"/>
      <c r="F580" s="2896"/>
      <c r="G580" s="2894"/>
      <c r="H580" s="2896"/>
    </row>
    <row r="581" spans="1:17" s="2893" customFormat="1" ht="10.5">
      <c r="A581" s="2897" t="s">
        <v>3212</v>
      </c>
      <c r="B581" s="2898">
        <f>'Part III-A-Uses of Funds'!$G$134</f>
        <v>0</v>
      </c>
      <c r="C581" s="2897" t="s">
        <v>1666</v>
      </c>
      <c r="D581" s="2898">
        <f>'Part III-A-Uses of Funds'!$J$134+'Part III-A-Uses of Funds'!$M$134+'Part III-A-Uses of Funds'!$P$134</f>
        <v>0</v>
      </c>
      <c r="E581" s="2894"/>
      <c r="F581" s="2896"/>
      <c r="G581" s="2894"/>
      <c r="H581" s="2896"/>
    </row>
    <row r="582" spans="1:17" s="2893" customFormat="1" ht="10.5">
      <c r="A582" s="2894"/>
      <c r="B582" s="2899"/>
      <c r="C582" s="2894"/>
      <c r="D582" s="2894"/>
      <c r="E582" s="2894"/>
      <c r="F582" s="2896"/>
      <c r="G582" s="2900"/>
      <c r="H582" s="2896"/>
    </row>
    <row r="583" spans="1:17" s="2893" customFormat="1">
      <c r="A583" s="2887" t="s">
        <v>6763</v>
      </c>
      <c r="B583" s="2899"/>
      <c r="C583" s="2894"/>
      <c r="D583" s="2894"/>
      <c r="E583" s="2894"/>
      <c r="F583" s="2894"/>
      <c r="G583" s="2900"/>
    </row>
    <row r="584" spans="1:17" s="2893" customFormat="1" ht="11.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1.5">
      <c r="A585" s="2895"/>
      <c r="B585" s="2895"/>
      <c r="C585" s="2895"/>
      <c r="D585" s="2895"/>
      <c r="E585" s="2894"/>
      <c r="F585" s="2896"/>
      <c r="G585" s="2894"/>
      <c r="H585" s="2896"/>
    </row>
    <row r="586" spans="1:17" s="2893" customFormat="1" ht="10.5">
      <c r="A586" s="2894"/>
      <c r="B586" s="2894"/>
      <c r="C586" s="2894"/>
      <c r="D586" s="2894"/>
      <c r="E586" s="2894"/>
      <c r="F586" s="2896"/>
      <c r="G586" s="2894"/>
      <c r="H586" s="2896"/>
    </row>
    <row r="587" spans="1:17" s="2893" customFormat="1" ht="10.5">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0.5">
      <c r="D588" s="2902"/>
      <c r="E588" s="2903"/>
      <c r="F588" s="2896"/>
      <c r="G588" s="2900"/>
      <c r="H588" s="2896"/>
    </row>
    <row r="589" spans="1:17" s="2904" customFormat="1"/>
    <row r="592" spans="1:17" s="652" customFormat="1" ht="14.15" customHeight="1">
      <c r="A592" s="2550" t="str">
        <f>CONCATENATE("PART FOUR - UTILITY ALLOWANCES","  -  ",'Part I-Project Identification'!$O$7," ",'Part I-Project Identification'!$F$29,", ",'Part I-Project Identification'!F621,", ",'Part I-Project Identification'!J621," County")</f>
        <v>PART FOUR - UTILITY ALLOWANCES  -  2022-0 Villa Rica Senior,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6743</v>
      </c>
      <c r="I594" s="2906" t="str">
        <f>VLOOKUP('Part I-Project Identification'!$J$30,'DCA Underwriting Assumptions'!$G$136:$H$295,2)</f>
        <v>North</v>
      </c>
    </row>
    <row r="595" spans="1:25" s="652" customFormat="1" ht="6" customHeight="1"/>
    <row r="596" spans="1:25" s="652" customFormat="1" ht="13">
      <c r="A596" s="2907" t="s">
        <v>6838</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f>'Part IV-Utility Allowances'!I7</f>
        <v>0</v>
      </c>
      <c r="J598" s="2908"/>
      <c r="K598" s="2908"/>
      <c r="L598" s="2908"/>
      <c r="M598" s="2908"/>
      <c r="O598" s="2683"/>
      <c r="P598" s="2683"/>
      <c r="Q598" s="2683"/>
      <c r="R598" s="2683"/>
      <c r="S598" s="2683"/>
      <c r="T598" s="2683"/>
      <c r="U598" s="2683"/>
      <c r="V598" s="2681"/>
      <c r="W598" s="2681"/>
      <c r="X598" s="2681"/>
      <c r="Y598" s="2681"/>
    </row>
    <row r="599" spans="1:25" s="652" customFormat="1" ht="13.4" customHeight="1">
      <c r="F599" s="2550" t="s">
        <v>593</v>
      </c>
      <c r="G599" s="2550"/>
      <c r="H599" s="2550"/>
      <c r="I599" s="2909">
        <f>'Part IV-Utility Allowances'!I8</f>
        <v>0</v>
      </c>
      <c r="J599" s="2909"/>
      <c r="K599" s="2910" t="s">
        <v>505</v>
      </c>
      <c r="L599" s="2757">
        <f>'Part IV-Utility Allowances'!L8</f>
        <v>0</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v>
      </c>
      <c r="E603" s="2757"/>
      <c r="F603" s="2911">
        <f>'Part IV-Utility Allowances'!F12</f>
        <v>0</v>
      </c>
      <c r="G603" s="2911" t="str">
        <f>'Part IV-Utility Allowances'!G12</f>
        <v>X</v>
      </c>
      <c r="I603" s="2912">
        <f>'Part IV-Utility Allowances'!I12</f>
        <v>0</v>
      </c>
      <c r="J603" s="2912">
        <f>'Part IV-Utility Allowances'!J12</f>
        <v>0</v>
      </c>
      <c r="K603" s="2912">
        <f>'Part IV-Utility Allowances'!K12</f>
        <v>0</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f>'Part IV-Utility Allowances'!F13</f>
        <v>0</v>
      </c>
      <c r="G604" s="2911" t="str">
        <f>'Part IV-Utility Allowances'!G13</f>
        <v>X</v>
      </c>
      <c r="I604" s="2912">
        <f>'Part IV-Utility Allowances'!I13</f>
        <v>0</v>
      </c>
      <c r="J604" s="2912">
        <f>'Part IV-Utility Allowances'!J13</f>
        <v>0</v>
      </c>
      <c r="K604" s="2912">
        <f>'Part IV-Utility Allowances'!K13</f>
        <v>0</v>
      </c>
      <c r="L604" s="2912">
        <f>'Part IV-Utility Allowances'!L13</f>
        <v>0</v>
      </c>
      <c r="M604" s="2912">
        <f>'Part IV-Utility Allowances'!M13</f>
        <v>0</v>
      </c>
      <c r="O604" s="2688" t="s">
        <v>6764</v>
      </c>
      <c r="P604" s="2688"/>
      <c r="Q604" s="2688"/>
    </row>
    <row r="605" spans="1:25" s="652" customFormat="1" ht="12" customHeight="1">
      <c r="B605" s="2550" t="s">
        <v>1494</v>
      </c>
      <c r="C605" s="2550"/>
      <c r="D605" s="2757" t="str">
        <f>'Part IV-Utility Allowances'!D14</f>
        <v>Electric</v>
      </c>
      <c r="E605" s="2757"/>
      <c r="F605" s="2911">
        <f>'Part IV-Utility Allowances'!F14</f>
        <v>0</v>
      </c>
      <c r="G605" s="2911" t="str">
        <f>'Part IV-Utility Allowances'!G14</f>
        <v>X</v>
      </c>
      <c r="I605" s="2912">
        <f>'Part IV-Utility Allowances'!I14</f>
        <v>0</v>
      </c>
      <c r="J605" s="2912">
        <f>'Part IV-Utility Allowances'!J14</f>
        <v>0</v>
      </c>
      <c r="K605" s="2912">
        <f>'Part IV-Utility Allowances'!K14</f>
        <v>0</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f>'Part IV-Utility Allowances'!F15</f>
        <v>0</v>
      </c>
      <c r="G606" s="2911" t="str">
        <f>'Part IV-Utility Allowances'!G15</f>
        <v>X</v>
      </c>
      <c r="I606" s="2912">
        <f>'Part IV-Utility Allowances'!I15</f>
        <v>0</v>
      </c>
      <c r="J606" s="2912">
        <f>'Part IV-Utility Allowances'!J15</f>
        <v>0</v>
      </c>
      <c r="K606" s="2912">
        <f>'Part IV-Utility Allowances'!K15</f>
        <v>0</v>
      </c>
      <c r="L606" s="2912">
        <f>'Part IV-Utility Allowances'!L15</f>
        <v>0</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f>'Part IV-Utility Allowances'!F18</f>
        <v>0</v>
      </c>
      <c r="G609" s="2911" t="str">
        <f>'Part IV-Utility Allowances'!G18</f>
        <v>X</v>
      </c>
      <c r="I609" s="2912">
        <f>'Part IV-Utility Allowances'!I18</f>
        <v>0</v>
      </c>
      <c r="J609" s="2912">
        <f>'Part IV-Utility Allowances'!J18</f>
        <v>0</v>
      </c>
      <c r="K609" s="2912">
        <f>'Part IV-Utility Allowances'!K18</f>
        <v>0</v>
      </c>
      <c r="L609" s="2912">
        <f>'Part IV-Utility Allowances'!L18</f>
        <v>0</v>
      </c>
      <c r="M609" s="2912">
        <f>'Part IV-Utility Allowances'!M18</f>
        <v>0</v>
      </c>
      <c r="O609" s="2688"/>
      <c r="P609" s="2688"/>
      <c r="Q609" s="2688"/>
    </row>
    <row r="610" spans="1:25" s="652" customFormat="1" ht="12" customHeight="1">
      <c r="B610" s="2550" t="s">
        <v>1293</v>
      </c>
      <c r="C610" s="2550"/>
      <c r="D610" s="2550" t="s">
        <v>6802</v>
      </c>
      <c r="E610" s="2912" t="str">
        <f>'Part IV-Utility Allowances'!E19</f>
        <v>No</v>
      </c>
      <c r="F610" s="2911">
        <f>'Part IV-Utility Allowances'!F19</f>
        <v>0</v>
      </c>
      <c r="G610" s="2911" t="str">
        <f>'Part IV-Utility Allowances'!G19</f>
        <v>X</v>
      </c>
      <c r="I610" s="2912">
        <f>'Part IV-Utility Allowances'!I19</f>
        <v>0</v>
      </c>
      <c r="J610" s="2912">
        <f>'Part IV-Utility Allowances'!J19</f>
        <v>0</v>
      </c>
      <c r="K610" s="2912">
        <f>'Part IV-Utility Allowances'!K19</f>
        <v>0</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0</v>
      </c>
      <c r="K613" s="2910">
        <f>IF(SUM(K603:K612)=0,0,IF(OR($D603="&lt;&lt;Select Fuel &gt;&gt;",$D604="&lt;&lt;Select Fuel &gt;&gt;",$D605="&lt;&lt;Select Fuel &gt;&gt;"),"Select Fuel",IF($E610="&lt;Select&gt;","Submeter?",SUM(K603:K612))))</f>
        <v>0</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4"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ht="13">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ht="13">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6764</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6802</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6803</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Owner will pay all utilties.</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5" customHeight="1">
      <c r="A640" s="2550" t="str">
        <f>CONCATENATE("PART FOUR - PROJECTED REVENUES &amp; EXPENSES","  -  ",'Part I-Project Identification'!$O$7," ",'Part I-Project Identification'!$F$29,", ",'Part I-Project Identification'!F668,", ",'Part I-Project Identification'!J668," County")</f>
        <v>PART FOUR - PROJECTED REVENUES &amp; EXPENSES  -  2022-0 Villa Rica Senior, ,  County</v>
      </c>
      <c r="T640" s="2550" t="str">
        <f>A640</f>
        <v>PART FOUR - PROJECTED REVENUES &amp; EXPENSES  -  2022-0 Villa Rica Senior,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5" customHeight="1">
      <c r="A642" s="2550" t="s">
        <v>573</v>
      </c>
      <c r="B642" s="2550" t="s">
        <v>2184</v>
      </c>
      <c r="D642" s="2749" t="s">
        <v>6098</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6839</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5" customHeight="1">
      <c r="A644" s="2920" t="str">
        <f>IF(A687&gt;0,"Finish Row!","")</f>
        <v/>
      </c>
      <c r="B644" s="2135" t="s">
        <v>6840</v>
      </c>
      <c r="D644" s="2749"/>
      <c r="E644" s="2749"/>
      <c r="F644" s="2749"/>
      <c r="G644" s="2912" t="str">
        <f>'Part V-Revenues &amp; Expenses'!G6</f>
        <v>&lt;Select&gt;</v>
      </c>
      <c r="H644" s="2921" t="s">
        <v>6101</v>
      </c>
      <c r="I644" s="2921"/>
      <c r="J644" s="2921"/>
      <c r="K644" s="2917" t="s">
        <v>3138</v>
      </c>
      <c r="L644" s="2922" t="str">
        <f>'Part I-Project Identification'!$A$6</f>
        <v>May 12 2022 Core Application</v>
      </c>
      <c r="M644" s="2922"/>
      <c r="N644" s="2922"/>
      <c r="O644" s="2923" t="s">
        <v>6765</v>
      </c>
      <c r="P644" s="2924">
        <f>'Part V-Revenues &amp; Expenses'!P6</f>
        <v>86200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6288</v>
      </c>
      <c r="MQ644" s="2918" t="s">
        <v>6289</v>
      </c>
      <c r="MR644" s="2918" t="s">
        <v>6290</v>
      </c>
      <c r="MS644" s="2918" t="s">
        <v>6291</v>
      </c>
      <c r="MT644" s="2918" t="s">
        <v>6292</v>
      </c>
      <c r="NP644" s="2914"/>
    </row>
    <row r="645" spans="1:380" s="2550" customFormat="1" ht="12.65" customHeight="1">
      <c r="A645" s="2920"/>
      <c r="B645" s="2926" t="s">
        <v>6100</v>
      </c>
      <c r="G645" s="2912" t="str">
        <f>'Part V-Revenues &amp; Expenses'!G7</f>
        <v>No</v>
      </c>
      <c r="I645" s="2925" t="s">
        <v>4075</v>
      </c>
      <c r="J645" s="2917" t="s">
        <v>742</v>
      </c>
      <c r="K645" s="2917" t="s">
        <v>3185</v>
      </c>
      <c r="L645" s="2922"/>
      <c r="M645" s="2922"/>
      <c r="N645" s="2922"/>
      <c r="O645" s="2927" t="s">
        <v>6080</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5" customHeight="1">
      <c r="A646" s="2920"/>
      <c r="B646" s="2929" t="s">
        <v>3766</v>
      </c>
      <c r="I646" s="2925"/>
      <c r="J646" s="2917" t="s">
        <v>743</v>
      </c>
      <c r="K646" s="2917" t="s">
        <v>3186</v>
      </c>
      <c r="L646" s="2688"/>
      <c r="M646" s="2688"/>
      <c r="N646" s="2930" t="s">
        <v>6485</v>
      </c>
      <c r="O646" s="2931" t="str">
        <f>'Part V-Revenues &amp; Expenses'!O8</f>
        <v>Novogradac</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6096</v>
      </c>
      <c r="H647" s="2919" t="s">
        <v>3304</v>
      </c>
      <c r="I647" s="2925"/>
      <c r="J647" s="2933" t="s">
        <v>6090</v>
      </c>
      <c r="K647" s="2917" t="s">
        <v>6841</v>
      </c>
      <c r="L647" s="2135" t="s">
        <v>139</v>
      </c>
      <c r="M647" s="2135"/>
      <c r="N647" s="2917" t="s">
        <v>2185</v>
      </c>
      <c r="O647" s="2917" t="s">
        <v>6488</v>
      </c>
      <c r="P647" s="2918" t="s">
        <v>6842</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6489</v>
      </c>
      <c r="JY647" s="2918" t="s">
        <v>6489</v>
      </c>
      <c r="JZ647" s="2918" t="s">
        <v>6489</v>
      </c>
      <c r="KA647" s="2918" t="s">
        <v>6489</v>
      </c>
      <c r="KB647" s="2918" t="s">
        <v>6489</v>
      </c>
      <c r="KC647" s="2918" t="s">
        <v>6766</v>
      </c>
      <c r="KD647" s="2918" t="s">
        <v>6766</v>
      </c>
      <c r="KE647" s="2918" t="s">
        <v>6766</v>
      </c>
      <c r="KF647" s="2918" t="s">
        <v>6766</v>
      </c>
      <c r="KG647" s="2918" t="s">
        <v>6766</v>
      </c>
      <c r="KH647" s="2918" t="s">
        <v>6767</v>
      </c>
      <c r="KI647" s="2918" t="s">
        <v>6767</v>
      </c>
      <c r="KJ647" s="2918" t="s">
        <v>6767</v>
      </c>
      <c r="KK647" s="2918" t="s">
        <v>6767</v>
      </c>
      <c r="KL647" s="2918" t="s">
        <v>6767</v>
      </c>
      <c r="KM647" s="2918" t="s">
        <v>6300</v>
      </c>
      <c r="KN647" s="2918" t="s">
        <v>6300</v>
      </c>
      <c r="KO647" s="2918" t="s">
        <v>6300</v>
      </c>
      <c r="KP647" s="2918" t="s">
        <v>6300</v>
      </c>
      <c r="KQ647" s="2918" t="s">
        <v>6300</v>
      </c>
      <c r="KR647" s="2918" t="s">
        <v>6490</v>
      </c>
      <c r="KS647" s="2918" t="s">
        <v>6490</v>
      </c>
      <c r="KT647" s="2918" t="s">
        <v>6490</v>
      </c>
      <c r="KU647" s="2918" t="s">
        <v>6490</v>
      </c>
      <c r="KV647" s="2918" t="s">
        <v>6490</v>
      </c>
      <c r="KW647" s="2918" t="s">
        <v>6768</v>
      </c>
      <c r="KX647" s="2918" t="s">
        <v>6768</v>
      </c>
      <c r="KY647" s="2918" t="s">
        <v>6768</v>
      </c>
      <c r="KZ647" s="2918" t="s">
        <v>6768</v>
      </c>
      <c r="LA647" s="2918" t="s">
        <v>6768</v>
      </c>
      <c r="LB647" s="2918" t="s">
        <v>6769</v>
      </c>
      <c r="LC647" s="2918" t="s">
        <v>6769</v>
      </c>
      <c r="LD647" s="2918" t="s">
        <v>6769</v>
      </c>
      <c r="LE647" s="2918" t="s">
        <v>6769</v>
      </c>
      <c r="LF647" s="2918" t="s">
        <v>6769</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6502</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 customHeight="1">
      <c r="A655" s="2910" t="str">
        <f t="shared" si="0"/>
        <v/>
      </c>
      <c r="B655" s="2938" t="str">
        <f>'Part V-Revenues &amp; Expenses'!B17</f>
        <v>Unrestricted</v>
      </c>
      <c r="C655" s="2939">
        <f>'Part V-Revenues &amp; Expenses'!C17</f>
        <v>1</v>
      </c>
      <c r="D655" s="2940">
        <f>'Part V-Revenues &amp; Expenses'!D17</f>
        <v>1</v>
      </c>
      <c r="E655" s="2941">
        <f>'Part V-Revenues &amp; Expenses'!E17</f>
        <v>8</v>
      </c>
      <c r="F655" s="2941">
        <f>'Part V-Revenues &amp; Expenses'!F17</f>
        <v>650</v>
      </c>
      <c r="G655" s="2941" t="str">
        <f>'Part V-Revenues &amp; Expenses'!G17</f>
        <v>NA</v>
      </c>
      <c r="H655" s="2941">
        <f>'Part V-Revenues &amp; Expenses'!H17</f>
        <v>1150</v>
      </c>
      <c r="I655" s="2941">
        <f>'Part V-Revenues &amp; Expenses'!I17</f>
        <v>0</v>
      </c>
      <c r="J655" s="2941">
        <f>'Part V-Revenues &amp; Expenses'!J17</f>
        <v>0</v>
      </c>
      <c r="K655" s="2942">
        <f>'Part V-Revenues &amp; Expenses'!K17</f>
        <v>0</v>
      </c>
      <c r="L655" s="2943">
        <f t="shared" ref="L655:L662" si="340">MAX(0,H655-I655-J655)</f>
        <v>1150</v>
      </c>
      <c r="M655" s="2943">
        <f t="shared" ref="M655:M662" si="341">MAX(0,E655*L655)</f>
        <v>9200</v>
      </c>
      <c r="N655" s="2775" t="str">
        <f>'Part V-Revenues &amp; Expenses'!N17</f>
        <v>No</v>
      </c>
      <c r="O655" s="2944" t="str">
        <f>'Part V-Revenues &amp; Expenses'!O17</f>
        <v>Low-Rise Elevator</v>
      </c>
      <c r="P655" s="2775" t="str">
        <f>'Part V-Revenues &amp; Expenses'!P17</f>
        <v>New Construction</v>
      </c>
      <c r="Q655" s="2945" t="str">
        <f>'Part V-Revenues &amp; Expenses'!Q17</f>
        <v>No</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f t="shared" si="39"/>
        <v>8</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f t="shared" si="154"/>
        <v>5200</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f t="shared" si="174"/>
        <v>8</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f t="shared" si="214"/>
        <v>8</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f t="shared" si="264"/>
        <v>8</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8</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20</v>
      </c>
      <c r="F656" s="2941">
        <f>'Part V-Revenues &amp; Expenses'!F18</f>
        <v>650</v>
      </c>
      <c r="G656" s="2941">
        <f>'Part V-Revenues &amp; Expenses'!G18</f>
        <v>808</v>
      </c>
      <c r="H656" s="2941">
        <f>'Part V-Revenues &amp; Expenses'!H18</f>
        <v>808</v>
      </c>
      <c r="I656" s="2941">
        <f>'Part V-Revenues &amp; Expenses'!I18</f>
        <v>0</v>
      </c>
      <c r="J656" s="2941">
        <f>'Part V-Revenues &amp; Expenses'!J18</f>
        <v>0</v>
      </c>
      <c r="K656" s="2942">
        <f>'Part V-Revenues &amp; Expenses'!K18</f>
        <v>0</v>
      </c>
      <c r="L656" s="2943">
        <f t="shared" si="340"/>
        <v>808</v>
      </c>
      <c r="M656" s="2943">
        <f t="shared" si="341"/>
        <v>16160</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20</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13000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20</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20</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20</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20</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 customHeight="1">
      <c r="A657" s="2910" t="str">
        <f t="shared" si="0"/>
        <v/>
      </c>
      <c r="B657" s="2949">
        <f>'Part V-Revenues &amp; Expenses'!B19</f>
        <v>60</v>
      </c>
      <c r="C657" s="2939">
        <f>'Part V-Revenues &amp; Expenses'!C19</f>
        <v>1</v>
      </c>
      <c r="D657" s="2940">
        <f>'Part V-Revenues &amp; Expenses'!D19</f>
        <v>1</v>
      </c>
      <c r="E657" s="2941">
        <f>'Part V-Revenues &amp; Expenses'!E19</f>
        <v>32</v>
      </c>
      <c r="F657" s="2941">
        <f>'Part V-Revenues &amp; Expenses'!F19</f>
        <v>650</v>
      </c>
      <c r="G657" s="2941">
        <f>'Part V-Revenues &amp; Expenses'!G19</f>
        <v>970</v>
      </c>
      <c r="H657" s="2941">
        <f>'Part V-Revenues &amp; Expenses'!H19</f>
        <v>970</v>
      </c>
      <c r="I657" s="2941">
        <f>'Part V-Revenues &amp; Expenses'!I19</f>
        <v>0</v>
      </c>
      <c r="J657" s="2941">
        <f>'Part V-Revenues &amp; Expenses'!J19</f>
        <v>0</v>
      </c>
      <c r="K657" s="2942">
        <f>'Part V-Revenues &amp; Expenses'!K19</f>
        <v>0</v>
      </c>
      <c r="L657" s="2943">
        <f t="shared" si="340"/>
        <v>970</v>
      </c>
      <c r="M657" s="2943">
        <f t="shared" si="341"/>
        <v>31040</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32</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20800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32</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32</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32</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32</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 customHeight="1">
      <c r="A658" s="2910" t="str">
        <f t="shared" si="0"/>
        <v/>
      </c>
      <c r="B658" s="2949">
        <f>'Part V-Revenues &amp; Expenses'!B20</f>
        <v>0</v>
      </c>
      <c r="C658" s="2939">
        <f>'Part V-Revenues &amp; Expenses'!C20</f>
        <v>0</v>
      </c>
      <c r="D658" s="2940">
        <f>'Part V-Revenues &amp; Expenses'!D20</f>
        <v>0</v>
      </c>
      <c r="E658" s="2941">
        <f>'Part V-Revenues &amp; Expenses'!E20</f>
        <v>0</v>
      </c>
      <c r="F658" s="2941">
        <f>'Part V-Revenues &amp; Expenses'!F20</f>
        <v>0</v>
      </c>
      <c r="G658" s="2941">
        <f>'Part V-Revenues &amp; Expenses'!G20</f>
        <v>0</v>
      </c>
      <c r="H658" s="2941">
        <f>'Part V-Revenues &amp; Expenses'!H20</f>
        <v>0</v>
      </c>
      <c r="I658" s="2941">
        <f>'Part V-Revenues &amp; Expenses'!I20</f>
        <v>0</v>
      </c>
      <c r="J658" s="2941">
        <f>'Part V-Revenues &amp; Expenses'!J20</f>
        <v>0</v>
      </c>
      <c r="K658" s="2942">
        <f>'Part V-Revenues &amp; Expenses'!K20</f>
        <v>0</v>
      </c>
      <c r="L658" s="2943">
        <f t="shared" si="340"/>
        <v>0</v>
      </c>
      <c r="M658" s="2943">
        <f t="shared" si="341"/>
        <v>0</v>
      </c>
      <c r="N658" s="2775">
        <f>'Part V-Revenues &amp; Expenses'!N20</f>
        <v>0</v>
      </c>
      <c r="O658" s="2944">
        <f>'Part V-Revenues &amp; Expenses'!O20</f>
        <v>0</v>
      </c>
      <c r="P658" s="2775">
        <f>'Part V-Revenues &amp; Expenses'!P20</f>
        <v>0</v>
      </c>
      <c r="Q658" s="2945">
        <f>'Part V-Revenues &amp; Expenses'!Q20</f>
        <v>0</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 customHeight="1">
      <c r="A659" s="2910" t="str">
        <f t="shared" si="0"/>
        <v/>
      </c>
      <c r="B659" s="2949">
        <f>'Part V-Revenues &amp; Expenses'!B21</f>
        <v>0</v>
      </c>
      <c r="C659" s="2939">
        <f>'Part V-Revenues &amp; Expenses'!C21</f>
        <v>0</v>
      </c>
      <c r="D659" s="2940">
        <f>'Part V-Revenues &amp; Expenses'!D21</f>
        <v>0</v>
      </c>
      <c r="E659" s="2941">
        <f>'Part V-Revenues &amp; Expenses'!E21</f>
        <v>0</v>
      </c>
      <c r="F659" s="2941">
        <f>'Part V-Revenues &amp; Expenses'!F21</f>
        <v>0</v>
      </c>
      <c r="G659" s="2941">
        <f>'Part V-Revenues &amp; Expenses'!G21</f>
        <v>0</v>
      </c>
      <c r="H659" s="2941">
        <f>'Part V-Revenues &amp; Expenses'!H21</f>
        <v>0</v>
      </c>
      <c r="I659" s="2941">
        <f>'Part V-Revenues &amp; Expenses'!I21</f>
        <v>0</v>
      </c>
      <c r="J659" s="2941">
        <f>'Part V-Revenues &amp; Expenses'!J21</f>
        <v>0</v>
      </c>
      <c r="K659" s="2942">
        <f>'Part V-Revenues &amp; Expenses'!K21</f>
        <v>0</v>
      </c>
      <c r="L659" s="2943">
        <f t="shared" si="340"/>
        <v>0</v>
      </c>
      <c r="M659" s="2943">
        <f t="shared" si="341"/>
        <v>0</v>
      </c>
      <c r="N659" s="2775">
        <f>'Part V-Revenues &amp; Expenses'!N21</f>
        <v>0</v>
      </c>
      <c r="O659" s="2944">
        <f>'Part V-Revenues &amp; Expenses'!O21</f>
        <v>0</v>
      </c>
      <c r="P659" s="2775">
        <f>'Part V-Revenues &amp; Expenses'!P21</f>
        <v>0</v>
      </c>
      <c r="Q659" s="2945">
        <f>'Part V-Revenues &amp; Expenses'!Q21</f>
        <v>0</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 customHeight="1">
      <c r="A660" s="2910" t="str">
        <f t="shared" si="0"/>
        <v/>
      </c>
      <c r="B660" s="2949">
        <f>'Part V-Revenues &amp; Expenses'!B22</f>
        <v>0</v>
      </c>
      <c r="C660" s="2939">
        <f>'Part V-Revenues &amp; Expenses'!C22</f>
        <v>0</v>
      </c>
      <c r="D660" s="2940">
        <f>'Part V-Revenues &amp; Expenses'!D22</f>
        <v>0</v>
      </c>
      <c r="E660" s="2941">
        <f>'Part V-Revenues &amp; Expenses'!E22</f>
        <v>0</v>
      </c>
      <c r="F660" s="2941">
        <f>'Part V-Revenues &amp; Expenses'!F22</f>
        <v>0</v>
      </c>
      <c r="G660" s="2941">
        <f>'Part V-Revenues &amp; Expenses'!G22</f>
        <v>0</v>
      </c>
      <c r="H660" s="2941">
        <f>'Part V-Revenues &amp; Expenses'!H22</f>
        <v>0</v>
      </c>
      <c r="I660" s="2941">
        <f>'Part V-Revenues &amp; Expenses'!I22</f>
        <v>0</v>
      </c>
      <c r="J660" s="2941">
        <f>'Part V-Revenues &amp; Expenses'!J22</f>
        <v>0</v>
      </c>
      <c r="K660" s="2942">
        <f>'Part V-Revenues &amp; Expenses'!K22</f>
        <v>0</v>
      </c>
      <c r="L660" s="2943">
        <f t="shared" si="340"/>
        <v>0</v>
      </c>
      <c r="M660" s="2943">
        <f t="shared" si="341"/>
        <v>0</v>
      </c>
      <c r="N660" s="2775">
        <f>'Part V-Revenues &amp; Expenses'!N22</f>
        <v>0</v>
      </c>
      <c r="O660" s="2944">
        <f>'Part V-Revenues &amp; Expenses'!O22</f>
        <v>0</v>
      </c>
      <c r="P660" s="2775">
        <f>'Part V-Revenues &amp; Expenses'!P22</f>
        <v>0</v>
      </c>
      <c r="Q660" s="2945">
        <f>'Part V-Revenues &amp; Expenses'!Q22</f>
        <v>0</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 customHeight="1">
      <c r="A661" s="2910" t="str">
        <f t="shared" si="0"/>
        <v/>
      </c>
      <c r="B661" s="2949">
        <f>'Part V-Revenues &amp; Expenses'!B23</f>
        <v>0</v>
      </c>
      <c r="C661" s="2939">
        <f>'Part V-Revenues &amp; Expenses'!C23</f>
        <v>0</v>
      </c>
      <c r="D661" s="2940">
        <f>'Part V-Revenues &amp; Expenses'!D23</f>
        <v>0</v>
      </c>
      <c r="E661" s="2941">
        <f>'Part V-Revenues &amp; Expenses'!E23</f>
        <v>0</v>
      </c>
      <c r="F661" s="2941">
        <f>'Part V-Revenues &amp; Expenses'!F23</f>
        <v>0</v>
      </c>
      <c r="G661" s="2941">
        <f>'Part V-Revenues &amp; Expenses'!G23</f>
        <v>0</v>
      </c>
      <c r="H661" s="2941">
        <f>'Part V-Revenues &amp; Expenses'!H23</f>
        <v>0</v>
      </c>
      <c r="I661" s="2941">
        <f>'Part V-Revenues &amp; Expenses'!I23</f>
        <v>0</v>
      </c>
      <c r="J661" s="2941">
        <f>'Part V-Revenues &amp; Expenses'!J23</f>
        <v>0</v>
      </c>
      <c r="K661" s="2942">
        <f>'Part V-Revenues &amp; Expenses'!K23</f>
        <v>0</v>
      </c>
      <c r="L661" s="2943">
        <f t="shared" si="340"/>
        <v>0</v>
      </c>
      <c r="M661" s="2943">
        <f t="shared" si="341"/>
        <v>0</v>
      </c>
      <c r="N661" s="2775">
        <f>'Part V-Revenues &amp; Expenses'!N23</f>
        <v>0</v>
      </c>
      <c r="O661" s="2944">
        <f>'Part V-Revenues &amp; Expenses'!O23</f>
        <v>0</v>
      </c>
      <c r="P661" s="2775">
        <f>'Part V-Revenues &amp; Expenses'!P23</f>
        <v>0</v>
      </c>
      <c r="Q661" s="2945">
        <f>'Part V-Revenues &amp; Expenses'!Q23</f>
        <v>0</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60</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39000</v>
      </c>
      <c r="H687" s="2953" t="s">
        <v>3768</v>
      </c>
      <c r="I687" s="2954" t="s">
        <v>3769</v>
      </c>
      <c r="J687" s="2955" t="str">
        <f>IF(P705=0,"",IF(SUM(P696:P700)/P705&gt;=0.4,"Pass","Fail"))</f>
        <v>Pass</v>
      </c>
      <c r="K687" s="475"/>
      <c r="L687" s="2950" t="s">
        <v>1226</v>
      </c>
      <c r="M687" s="2956">
        <f>SUM(M649:M686)</f>
        <v>56400</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32</v>
      </c>
      <c r="AJ687" s="2948">
        <f t="shared" si="344"/>
        <v>0</v>
      </c>
      <c r="AK687" s="2948">
        <f t="shared" si="344"/>
        <v>0</v>
      </c>
      <c r="AL687" s="2948">
        <f t="shared" si="344"/>
        <v>0</v>
      </c>
      <c r="AM687" s="2948">
        <f>SUM(AM649:AM686)</f>
        <v>0</v>
      </c>
      <c r="AN687" s="2948">
        <f>SUM(AN649:AN686)</f>
        <v>20</v>
      </c>
      <c r="AO687" s="2948">
        <f>SUM(AO649:AO686)</f>
        <v>0</v>
      </c>
      <c r="AP687" s="2948">
        <f>SUM(AP649:AP686)</f>
        <v>0</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8</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20800</v>
      </c>
      <c r="EU687" s="2948">
        <f t="shared" si="344"/>
        <v>0</v>
      </c>
      <c r="EV687" s="2948">
        <f t="shared" si="344"/>
        <v>0</v>
      </c>
      <c r="EW687" s="2948">
        <f t="shared" si="344"/>
        <v>0</v>
      </c>
      <c r="EX687" s="2948">
        <f t="shared" si="344"/>
        <v>0</v>
      </c>
      <c r="EY687" s="2948">
        <f t="shared" si="344"/>
        <v>13000</v>
      </c>
      <c r="EZ687" s="2948">
        <f t="shared" si="344"/>
        <v>0</v>
      </c>
      <c r="FA687" s="2948">
        <f t="shared" si="344"/>
        <v>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5200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52</v>
      </c>
      <c r="GI687" s="2948">
        <f t="shared" si="346"/>
        <v>0</v>
      </c>
      <c r="GJ687" s="2948">
        <f t="shared" si="346"/>
        <v>0</v>
      </c>
      <c r="GK687" s="2948">
        <f t="shared" si="346"/>
        <v>0</v>
      </c>
      <c r="GL687" s="2948">
        <f t="shared" si="346"/>
        <v>0</v>
      </c>
      <c r="GM687" s="2948">
        <f t="shared" si="346"/>
        <v>8</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60</v>
      </c>
      <c r="IB687" s="2948">
        <f t="shared" si="347"/>
        <v>0</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60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60</v>
      </c>
      <c r="MM687" s="2948">
        <f t="shared" si="348"/>
        <v>0</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56.153846153846153</v>
      </c>
      <c r="C688" s="2957"/>
      <c r="D688" s="2910" t="s">
        <v>3678</v>
      </c>
      <c r="E688" s="2951">
        <f>SUM(E656:E686)</f>
        <v>52</v>
      </c>
      <c r="F688" s="2952">
        <f>(E656*F656+E657*F657+E658*F658+E659*F659+E660*F660+E661*F661+E662*F662+E663*F663+E664*F664+E665*F665+E666*F666+E667*F667+E668*F668+E669*F669+E670*F670+E671*F671+E672*F672+E673*F673+E674*F674+E675*F675+E676*F676+E677*F677+E678*F678+E679*F679+E680*F680+E681*F681+E682*F682+E683*F683+E684*F684+E685*F685+E686*F686)</f>
        <v>33800</v>
      </c>
      <c r="H688" s="2953"/>
      <c r="I688" s="2954" t="s">
        <v>3770</v>
      </c>
      <c r="J688" s="2955" t="str">
        <f>IF(P705=0,"",IF(SUM(P697:P700)/P705&gt;=0.2,"Pass","Fail"))</f>
        <v>Pass</v>
      </c>
      <c r="K688" s="475"/>
      <c r="L688" s="2950" t="s">
        <v>757</v>
      </c>
      <c r="M688" s="2956">
        <f>M687*12</f>
        <v>676800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6843</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5" customHeight="1">
      <c r="A691" s="652" t="s">
        <v>689</v>
      </c>
      <c r="B691" s="652" t="s">
        <v>499</v>
      </c>
      <c r="K691" s="2959" t="s">
        <v>6650</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6652</v>
      </c>
      <c r="O692" s="2689" t="str">
        <f>'Part V-Revenues &amp; Expenses'!O54</f>
        <v>No</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5" customHeight="1">
      <c r="B693" s="652" t="s">
        <v>6499</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32</v>
      </c>
      <c r="M696" s="2962">
        <f>AJ687</f>
        <v>0</v>
      </c>
      <c r="N696" s="2962">
        <f>AK687</f>
        <v>0</v>
      </c>
      <c r="O696" s="2962">
        <f>AL687</f>
        <v>0</v>
      </c>
      <c r="P696" s="2962">
        <f t="shared" si="349"/>
        <v>32</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20</v>
      </c>
      <c r="M697" s="2962">
        <f>AO687</f>
        <v>0</v>
      </c>
      <c r="N697" s="2962">
        <f>AP687</f>
        <v>0</v>
      </c>
      <c r="O697" s="2962">
        <f>AQ687</f>
        <v>0</v>
      </c>
      <c r="P697" s="2962">
        <f t="shared" si="349"/>
        <v>20</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52</v>
      </c>
      <c r="M701" s="2962">
        <f>SUM(M694:M700)</f>
        <v>0</v>
      </c>
      <c r="N701" s="2962">
        <f>SUM(N694:N700)</f>
        <v>0</v>
      </c>
      <c r="O701" s="2962">
        <f>SUM(O694:O700)</f>
        <v>0</v>
      </c>
      <c r="P701" s="2962">
        <f t="shared" si="349"/>
        <v>52</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8</v>
      </c>
      <c r="M702" s="2962">
        <f>BI687</f>
        <v>0</v>
      </c>
      <c r="N702" s="2962">
        <f>BJ687</f>
        <v>0</v>
      </c>
      <c r="O702" s="2962">
        <f>BK687</f>
        <v>0</v>
      </c>
      <c r="P702" s="2962">
        <f t="shared" si="349"/>
        <v>8</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60</v>
      </c>
      <c r="M703" s="2968">
        <f>SUM(M701:M702)</f>
        <v>0</v>
      </c>
      <c r="N703" s="2968">
        <f>SUM(N701:N702)</f>
        <v>0</v>
      </c>
      <c r="O703" s="2968">
        <f>SUM(O701:O702)</f>
        <v>0</v>
      </c>
      <c r="P703" s="2968">
        <f t="shared" si="349"/>
        <v>60</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60</v>
      </c>
      <c r="M705" s="2962">
        <f>SUM(M703:M704)</f>
        <v>0</v>
      </c>
      <c r="N705" s="2962">
        <f>SUM(N703:N704)</f>
        <v>0</v>
      </c>
      <c r="O705" s="2962">
        <f>SUM(O703:O704)</f>
        <v>0</v>
      </c>
      <c r="P705" s="2962">
        <f t="shared" si="349"/>
        <v>60</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6844</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6845</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6846</v>
      </c>
      <c r="E711" s="2974"/>
      <c r="F711" s="2974"/>
      <c r="G711" s="652"/>
      <c r="H711" s="2970" t="s">
        <v>3680</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6844</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6845</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0.53333333333333333</v>
      </c>
      <c r="M714" s="2973" t="str">
        <f t="shared" si="354"/>
        <v/>
      </c>
      <c r="N714" s="2973" t="str">
        <f t="shared" si="354"/>
        <v/>
      </c>
      <c r="O714" s="2973" t="str">
        <f t="shared" si="354"/>
        <v/>
      </c>
      <c r="P714" s="2973">
        <f t="shared" si="354"/>
        <v>0.53333333333333333</v>
      </c>
      <c r="S714" s="2846"/>
      <c r="T714" s="2846"/>
      <c r="U714" s="2846"/>
      <c r="V714" s="2846"/>
      <c r="W714" s="2846"/>
    </row>
    <row r="715" spans="1:380" ht="15.75" customHeight="1">
      <c r="C715" s="2977"/>
      <c r="D715" s="2974"/>
      <c r="E715" s="2974"/>
      <c r="F715" s="2974"/>
      <c r="G715" s="652"/>
      <c r="H715" s="2970" t="s">
        <v>6844</v>
      </c>
      <c r="I715" s="2971"/>
      <c r="J715" s="2550"/>
      <c r="K715" s="2975" t="str">
        <f>IF(OR(K696=0,P714="",K705=0),"",P714*K705)</f>
        <v/>
      </c>
      <c r="L715" s="2975">
        <f>IF(OR(L696=0,P714="",L705=0),"",P714*L705)</f>
        <v>32</v>
      </c>
      <c r="M715" s="2975" t="str">
        <f>IF(OR(M696=0,P714="",M705=0),"",P714*M705)</f>
        <v/>
      </c>
      <c r="N715" s="2975" t="str">
        <f>IF(OR(N696=0,P714="",N705=0),"",P714*N705)</f>
        <v/>
      </c>
      <c r="O715" s="2975" t="str">
        <f>IF(OR(O696=0,P714="",O705=0),"",P714*O705)</f>
        <v/>
      </c>
      <c r="P715" s="2975">
        <f>IF(OR(P714="",P705=0),"",P714*P705)</f>
        <v>32</v>
      </c>
      <c r="S715" s="2846"/>
      <c r="T715" s="2846"/>
      <c r="U715" s="2846"/>
      <c r="V715" s="2846"/>
      <c r="W715" s="2846"/>
    </row>
    <row r="716" spans="1:380" ht="15.75" customHeight="1">
      <c r="C716" s="2977"/>
      <c r="D716" s="2974"/>
      <c r="E716" s="2974"/>
      <c r="F716" s="2974"/>
      <c r="G716" s="2976"/>
      <c r="H716" s="2970" t="s">
        <v>6845</v>
      </c>
      <c r="I716" s="2971"/>
      <c r="J716" s="2550"/>
      <c r="K716" s="2975" t="str">
        <f t="shared" ref="K716:P716" si="355">IF(OR(K715="",K696=0),"", K696-K715)</f>
        <v/>
      </c>
      <c r="L716" s="2975">
        <f t="shared" si="355"/>
        <v>0</v>
      </c>
      <c r="M716" s="2975" t="str">
        <f t="shared" si="355"/>
        <v/>
      </c>
      <c r="N716" s="2975" t="str">
        <f t="shared" si="355"/>
        <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0.33333333333333331</v>
      </c>
      <c r="M717" s="2973" t="str">
        <f t="shared" si="356"/>
        <v/>
      </c>
      <c r="N717" s="2973" t="str">
        <f t="shared" si="356"/>
        <v/>
      </c>
      <c r="O717" s="2973" t="str">
        <f t="shared" si="356"/>
        <v/>
      </c>
      <c r="P717" s="2973">
        <f t="shared" si="356"/>
        <v>0.33333333333333331</v>
      </c>
    </row>
    <row r="718" spans="1:380">
      <c r="C718" s="2977"/>
      <c r="D718" s="2977"/>
      <c r="E718" s="2977"/>
      <c r="F718" s="652"/>
      <c r="G718" s="652"/>
      <c r="H718" s="2970" t="s">
        <v>6844</v>
      </c>
      <c r="I718" s="2971"/>
      <c r="J718" s="2550"/>
      <c r="K718" s="2975" t="str">
        <f>IF(OR(K697=0,P717="",K705=0),"",P717*K705)</f>
        <v/>
      </c>
      <c r="L718" s="2975">
        <f>IF(OR(L697=0,P717="",L705=0),"",P717*L705)</f>
        <v>20</v>
      </c>
      <c r="M718" s="2975" t="str">
        <f>IF(OR(M697=0,P717="",M705=0),"",P717*M705)</f>
        <v/>
      </c>
      <c r="N718" s="2975" t="str">
        <f>IF(OR(N697=0,P717="",N705=0),"",P717*N705)</f>
        <v/>
      </c>
      <c r="O718" s="2975" t="str">
        <f>IF(OR(O697=0,P717="",O705=0),"",P717*O705)</f>
        <v/>
      </c>
      <c r="P718" s="2975">
        <f>IF(OR(P717="",P705=0),"",P717*P705)</f>
        <v>20</v>
      </c>
    </row>
    <row r="719" spans="1:380">
      <c r="C719" s="2977"/>
      <c r="D719" s="2977"/>
      <c r="E719" s="2977"/>
      <c r="F719" s="652"/>
      <c r="G719" s="2976"/>
      <c r="H719" s="2970" t="s">
        <v>6845</v>
      </c>
      <c r="I719" s="2971"/>
      <c r="J719" s="2550"/>
      <c r="K719" s="2975" t="str">
        <f t="shared" ref="K719:P719" si="357">IF(OR(K718="",K697=0),"", K697-K718)</f>
        <v/>
      </c>
      <c r="L719" s="2975">
        <f t="shared" si="357"/>
        <v>0</v>
      </c>
      <c r="M719" s="2975" t="str">
        <f t="shared" si="357"/>
        <v/>
      </c>
      <c r="N719" s="2975" t="str">
        <f t="shared" si="357"/>
        <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6844</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6845</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6844</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6845</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6844</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6845</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5" customHeight="1">
      <c r="A740" s="652" t="s">
        <v>689</v>
      </c>
      <c r="B740" s="652" t="s">
        <v>6847</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52</v>
      </c>
      <c r="M751" s="2962">
        <f>GI687</f>
        <v>0</v>
      </c>
      <c r="N751" s="2962">
        <f>GJ687</f>
        <v>0</v>
      </c>
      <c r="O751" s="2962">
        <f>GK687</f>
        <v>0</v>
      </c>
      <c r="P751" s="2962">
        <f t="shared" ref="P751:P761" si="366">SUM(K751:O751)</f>
        <v>52</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8</v>
      </c>
      <c r="M752" s="2962">
        <f>GN687</f>
        <v>0</v>
      </c>
      <c r="N752" s="2962">
        <f>GO687</f>
        <v>0</v>
      </c>
      <c r="O752" s="2962">
        <f>GP687</f>
        <v>0</v>
      </c>
      <c r="P752" s="2962">
        <f t="shared" si="366"/>
        <v>8</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60</v>
      </c>
      <c r="M753" s="2962">
        <f>SUM(M751:M752)+GS687</f>
        <v>0</v>
      </c>
      <c r="N753" s="2962">
        <f>SUM(N751:N752)+GT687</f>
        <v>0</v>
      </c>
      <c r="O753" s="2962">
        <f>SUM(O751:O752)+GU687</f>
        <v>0</v>
      </c>
      <c r="P753" s="2962">
        <f t="shared" si="366"/>
        <v>60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6804</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6848</v>
      </c>
      <c r="D765" s="2969"/>
      <c r="E765" s="2135" t="s">
        <v>36</v>
      </c>
      <c r="F765" s="2550"/>
      <c r="G765" s="2692"/>
      <c r="H765" s="2530"/>
      <c r="K765" s="2962">
        <f t="shared" ref="K765:P765" si="367">SUM(K766:K773)</f>
        <v>0</v>
      </c>
      <c r="L765" s="2962">
        <f t="shared" si="367"/>
        <v>60</v>
      </c>
      <c r="M765" s="2962">
        <f t="shared" si="367"/>
        <v>0</v>
      </c>
      <c r="N765" s="2962">
        <f t="shared" si="367"/>
        <v>0</v>
      </c>
      <c r="O765" s="2962">
        <f t="shared" si="367"/>
        <v>0</v>
      </c>
      <c r="P765" s="2962">
        <f t="shared" si="367"/>
        <v>60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60</v>
      </c>
      <c r="M768" s="2962">
        <f>JZ687</f>
        <v>0</v>
      </c>
      <c r="N768" s="2962">
        <f>KA687</f>
        <v>0</v>
      </c>
      <c r="O768" s="2962">
        <f>KB687</f>
        <v>0</v>
      </c>
      <c r="P768" s="2962">
        <f t="shared" si="368"/>
        <v>60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5" customHeight="1">
      <c r="A783" s="652" t="s">
        <v>689</v>
      </c>
      <c r="B783" s="652" t="s">
        <v>6847</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6849</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60</v>
      </c>
      <c r="M791" s="2962">
        <f t="shared" si="372"/>
        <v>0</v>
      </c>
      <c r="N791" s="2962">
        <f t="shared" si="372"/>
        <v>0</v>
      </c>
      <c r="O791" s="2962">
        <f t="shared" si="372"/>
        <v>0</v>
      </c>
      <c r="P791" s="2962">
        <f t="shared" si="370"/>
        <v>60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6770</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20800</v>
      </c>
      <c r="M797" s="2986">
        <f>EU687</f>
        <v>0</v>
      </c>
      <c r="N797" s="2986">
        <f>EV687</f>
        <v>0</v>
      </c>
      <c r="O797" s="2986">
        <f>EW687</f>
        <v>0</v>
      </c>
      <c r="P797" s="2986">
        <f t="shared" si="373"/>
        <v>20800</v>
      </c>
      <c r="Q797" s="2987">
        <f t="shared" si="374"/>
        <v>650</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13000</v>
      </c>
      <c r="M798" s="2986">
        <f>EZ687</f>
        <v>0</v>
      </c>
      <c r="N798" s="2986">
        <f>FA687</f>
        <v>0</v>
      </c>
      <c r="O798" s="2986">
        <f>FB687</f>
        <v>0</v>
      </c>
      <c r="P798" s="2986">
        <f t="shared" si="373"/>
        <v>13000</v>
      </c>
      <c r="Q798" s="2987">
        <f t="shared" si="374"/>
        <v>650</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33800</v>
      </c>
      <c r="M802" s="2988">
        <f>SUM(M795:M801)</f>
        <v>0</v>
      </c>
      <c r="N802" s="2988">
        <f>SUM(N795:N801)</f>
        <v>0</v>
      </c>
      <c r="O802" s="2988">
        <f>SUM(O795:O801)</f>
        <v>0</v>
      </c>
      <c r="P802" s="2988">
        <f>SUM(K802:O802)</f>
        <v>33800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5200</v>
      </c>
      <c r="M803" s="2986">
        <f>FT687</f>
        <v>0</v>
      </c>
      <c r="N803" s="2986">
        <f>FU687</f>
        <v>0</v>
      </c>
      <c r="O803" s="2986">
        <f>FV687</f>
        <v>0</v>
      </c>
      <c r="P803" s="2986">
        <f>SUM(K803:O803)</f>
        <v>5200</v>
      </c>
      <c r="Q803" s="2987">
        <f>IF(OR(P702=0,P702=""),"",P803/P702)</f>
        <v>650</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39000</v>
      </c>
      <c r="M804" s="2988">
        <f>SUM(M802:M803)</f>
        <v>0</v>
      </c>
      <c r="N804" s="2988">
        <f>SUM(N802:N803)</f>
        <v>0</v>
      </c>
      <c r="O804" s="2988">
        <f>SUM(O802:O803)</f>
        <v>0</v>
      </c>
      <c r="P804" s="2988">
        <f>SUM(K804:O804)</f>
        <v>39000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39000</v>
      </c>
      <c r="M806" s="2986">
        <f>SUM(M804:M805)</f>
        <v>0</v>
      </c>
      <c r="N806" s="2986">
        <f>SUM(N804:N805)</f>
        <v>0</v>
      </c>
      <c r="O806" s="2986">
        <f>SUM(O804:O805)</f>
        <v>0</v>
      </c>
      <c r="P806" s="2986">
        <f>SUM(K806:O806)</f>
        <v>39000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5"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5"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6850</v>
      </c>
      <c r="K809" s="2989" t="str">
        <f>IF(OR(K705="",K705=0),"",K806/K705)</f>
        <v/>
      </c>
      <c r="L809" s="2989">
        <f>IF(OR(L705="",L705=0),"",L806/L705)</f>
        <v>650</v>
      </c>
      <c r="M809" s="2989" t="str">
        <f>IF(OR(M705="",M705=0),"",M806/M705)</f>
        <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5"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5" customHeight="1">
      <c r="A811" s="652" t="s">
        <v>691</v>
      </c>
      <c r="B811" s="652" t="s">
        <v>6655</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6851</v>
      </c>
      <c r="K812" s="2764">
        <f>'Part V-Revenues &amp; Expenses'!K174</f>
        <v>11700</v>
      </c>
      <c r="L812" s="2764"/>
      <c r="Z812" s="2682">
        <v>68</v>
      </c>
    </row>
    <row r="813" spans="1:380" s="2681" customFormat="1" ht="13.4" customHeight="1">
      <c r="A813" s="2682"/>
      <c r="C813" s="2693" t="s">
        <v>242</v>
      </c>
      <c r="K813" s="2990">
        <f>P806+K812</f>
        <v>50700</v>
      </c>
      <c r="L813" s="2990"/>
      <c r="Z813" s="2682">
        <v>69</v>
      </c>
    </row>
    <row r="814" spans="1:380" s="2550" customFormat="1" ht="14.15"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5" customHeight="1">
      <c r="A815" s="652" t="s">
        <v>1667</v>
      </c>
      <c r="B815" s="652" t="s">
        <v>6852</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5" customHeight="1">
      <c r="B817" s="2135" t="s">
        <v>953</v>
      </c>
      <c r="C817" s="2135"/>
      <c r="D817" s="2135"/>
      <c r="E817" s="2135"/>
      <c r="F817" s="2135"/>
      <c r="G817" s="2135"/>
      <c r="H817" s="2992">
        <f>'Part V-Revenues &amp; Expenses'!H179</f>
        <v>13536</v>
      </c>
      <c r="I817" s="2992"/>
      <c r="J817" s="2992"/>
      <c r="K817" s="2135"/>
      <c r="L817" s="2915" t="s">
        <v>6771</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5"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5"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5"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5"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5"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5"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5" customHeight="1">
      <c r="B824" s="2907" t="s">
        <v>6772</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5"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5"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5" customHeight="1">
      <c r="B827" s="2135"/>
      <c r="C827" s="2135" t="s">
        <v>6773</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5"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5"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5"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5"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5"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5" customHeight="1">
      <c r="B833" s="2907" t="s">
        <v>6772</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5"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5"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5" customHeight="1">
      <c r="B836" s="2135"/>
      <c r="C836" s="2135" t="s">
        <v>6773</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5"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5"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5"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5"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5"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5" customHeight="1">
      <c r="B842" s="2907" t="s">
        <v>6772</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5"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5"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5" customHeight="1">
      <c r="B845" s="2135"/>
      <c r="C845" s="2135" t="s">
        <v>6773</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5"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5"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5"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5"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5"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5" customHeight="1">
      <c r="B851" s="2907" t="s">
        <v>6772</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5"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5"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5" customHeight="1">
      <c r="B854" s="2135"/>
      <c r="C854" s="2135" t="s">
        <v>6773</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29316</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46500</v>
      </c>
      <c r="G859" s="3008"/>
      <c r="I859" s="2550" t="s">
        <v>1301</v>
      </c>
      <c r="L859" s="3008">
        <f>'Part V-Revenues &amp; Expenses'!L221</f>
        <v>6785</v>
      </c>
      <c r="M859" s="3008"/>
      <c r="O859" s="3009">
        <f>+Q858/(P705*0.93)</f>
        <v>525.3763440860215</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36600</v>
      </c>
      <c r="G860" s="3008"/>
      <c r="I860" s="2550" t="s">
        <v>1302</v>
      </c>
      <c r="L860" s="3008">
        <f>'Part V-Revenues &amp; Expenses'!L222</f>
        <v>0</v>
      </c>
      <c r="M860" s="3008"/>
      <c r="O860" s="3009">
        <f>+Q858/(P705*0.93)/12</f>
        <v>43.781362007168461</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22000</v>
      </c>
      <c r="G861" s="3008"/>
      <c r="K861" s="3010" t="s">
        <v>184</v>
      </c>
      <c r="L861" s="2986">
        <f>SUM(L859:M860)</f>
        <v>6785</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6640</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Office Salries</v>
      </c>
      <c r="C864" s="3000"/>
      <c r="D864" s="3000"/>
      <c r="E864" s="3000"/>
      <c r="F864" s="3008">
        <f>'Part V-Revenues &amp; Expenses'!F226</f>
        <v>5625</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110725</v>
      </c>
      <c r="G865" s="2986"/>
      <c r="I865" s="2550" t="s">
        <v>1498</v>
      </c>
      <c r="L865" s="3008">
        <f>'Part V-Revenues &amp; Expenses'!L227</f>
        <v>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16752</v>
      </c>
      <c r="M866" s="3008"/>
      <c r="N866" s="2925" t="str">
        <f>IF(Q868="","",IF(Q866&lt;Q868, "WARNING! OE below required minimum.",""))</f>
        <v/>
      </c>
      <c r="O866" s="2550" t="s">
        <v>2030</v>
      </c>
      <c r="Q866" s="2989">
        <f>F865+F874+F885+L861+L869+L879+L885+Q858</f>
        <v>435809</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3795</v>
      </c>
      <c r="M867" s="3008"/>
      <c r="N867" s="2925"/>
      <c r="O867" s="2967" t="s">
        <v>2488</v>
      </c>
      <c r="P867" s="3009">
        <f>+Q866/P705</f>
        <v>7263.4833333333336</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2000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7000</v>
      </c>
      <c r="G869" s="3008"/>
      <c r="K869" s="3010" t="s">
        <v>184</v>
      </c>
      <c r="L869" s="2989">
        <f>SUM(L865:L868)</f>
        <v>21047</v>
      </c>
      <c r="M869" s="2989"/>
      <c r="N869" s="2925"/>
      <c r="O869" s="3014" t="s">
        <v>6730</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2508</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2500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5000</v>
      </c>
      <c r="G872" s="3008"/>
      <c r="I872" s="2550" t="s">
        <v>1298</v>
      </c>
      <c r="K872" s="2682" t="s">
        <v>3888</v>
      </c>
      <c r="O872" s="2550" t="s">
        <v>3088</v>
      </c>
      <c r="Q872" s="3015">
        <f>'Part V-Revenues &amp; Expenses'!Q234</f>
        <v>15000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Dues and Subscriptions</v>
      </c>
      <c r="C873" s="3000"/>
      <c r="D873" s="3000"/>
      <c r="E873" s="3000"/>
      <c r="F873" s="3008">
        <f>'Part V-Revenues &amp; Expenses'!F235</f>
        <v>1309</v>
      </c>
      <c r="G873" s="3008"/>
      <c r="I873" s="2550" t="s">
        <v>1291</v>
      </c>
      <c r="K873" s="2803">
        <f>L873/12/P705</f>
        <v>50</v>
      </c>
      <c r="L873" s="3008">
        <f>'Part V-Revenues &amp; Expenses'!L235</f>
        <v>36000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20317</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50</v>
      </c>
      <c r="L875" s="3008">
        <f>'Part V-Revenues &amp; Expenses'!L237</f>
        <v>36000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0</v>
      </c>
      <c r="L876" s="3008">
        <f>'Part V-Revenues &amp; Expenses'!L238</f>
        <v>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8000</v>
      </c>
      <c r="G877" s="3008"/>
      <c r="I877" s="2550" t="s">
        <v>6853</v>
      </c>
      <c r="K877" s="2803">
        <f>L877/12/P705</f>
        <v>7</v>
      </c>
      <c r="L877" s="3008">
        <f>'Part V-Revenues &amp; Expenses'!L239</f>
        <v>5040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60 units x $250 =</v>
      </c>
      <c r="Q878" s="3021">
        <f>SUM(MK687:MO687)*'DCA Underwriting Assumptions'!$Q$29</f>
        <v>15000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7500</v>
      </c>
      <c r="G879" s="3008"/>
      <c r="K879" s="3010" t="s">
        <v>184</v>
      </c>
      <c r="L879" s="2989">
        <f>SUM(L873:L878)</f>
        <v>77040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3500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5000</v>
      </c>
      <c r="G881" s="3008"/>
      <c r="I881" s="2550" t="s">
        <v>1299</v>
      </c>
      <c r="O881" s="2950" t="s">
        <v>2468</v>
      </c>
      <c r="P881" s="3022">
        <f>SUM(MF687:MJ687)+SUM(MK687:MO687)+SUM(MP687:MT687)+P763</f>
        <v>60</v>
      </c>
      <c r="Q881" s="3022">
        <f>SUM(Q877:Q880)</f>
        <v>15000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2000</v>
      </c>
      <c r="G882" s="3008"/>
      <c r="I882" s="2550" t="s">
        <v>6854</v>
      </c>
      <c r="L882" s="3008">
        <f>'Part V-Revenues &amp; Expenses'!L244</f>
        <v>46175</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3000</v>
      </c>
      <c r="G883" s="3008"/>
      <c r="I883" s="2550" t="s">
        <v>140</v>
      </c>
      <c r="L883" s="3008">
        <f>'Part V-Revenues &amp; Expenses'!L245</f>
        <v>64077</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Trash Removal/Uniforms</v>
      </c>
      <c r="C884" s="3000"/>
      <c r="D884" s="3000"/>
      <c r="E884" s="3000"/>
      <c r="F884" s="3008">
        <f>'Part V-Revenues &amp; Expenses'!F246</f>
        <v>7850</v>
      </c>
      <c r="G884" s="3008"/>
      <c r="I884" s="3013" t="str">
        <f>'Part V-Revenues &amp; Expenses'!I246</f>
        <v>Payroll Taxes, Health Insurance and Workmen Comp</v>
      </c>
      <c r="J884" s="3013"/>
      <c r="K884" s="3013"/>
      <c r="L884" s="3008">
        <f>'Part V-Revenues &amp; Expenses'!L246</f>
        <v>23477</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36850</v>
      </c>
      <c r="G885" s="2986"/>
      <c r="K885" s="3010" t="s">
        <v>184</v>
      </c>
      <c r="L885" s="2989">
        <f>SUM(L881:L884)</f>
        <v>133729</v>
      </c>
      <c r="M885" s="2989"/>
      <c r="O885" s="2550" t="s">
        <v>2031</v>
      </c>
      <c r="Q885" s="2989">
        <f>Q866+Q872</f>
        <v>450809</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5"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No</v>
      </c>
      <c r="K891" s="3023" t="s">
        <v>3908</v>
      </c>
      <c r="L891" s="2912" t="str">
        <f>'Part V-Revenues &amp; Expenses'!L253</f>
        <v>No</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6656</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The property currently is not subject to a RE tax abatement. Calculation of RE Tax is included in Tab 2 folder
Ancillary income - 2% of EGI per QAP primary source laundry and vending.
Proposed project  salaries includes PT staff service coordinator</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5" customHeight="1">
      <c r="A897" s="2550" t="str">
        <f>CONCATENATE("PART SIX - OPERATING PRO FORMA","  -  ",'Part I-Project Identification'!$O$7," ",'Part I-Project Identification'!$F$29,", ",'Part I-Project Identification'!F925,", ",'Part I-Project Identification'!J925," County")</f>
        <v>PART SIX - OPERATING PRO FORMA  -  2022-0 Villa Rica Senior, ,  County</v>
      </c>
      <c r="B897" s="2904"/>
      <c r="C897" s="2904"/>
      <c r="D897" s="2904"/>
      <c r="E897" s="2904"/>
      <c r="F897" s="2904"/>
      <c r="G897" s="2904"/>
      <c r="H897" s="2904"/>
      <c r="I897" s="2904"/>
      <c r="J897" s="2904"/>
      <c r="K897" s="2904"/>
      <c r="L897" s="2550"/>
      <c r="M897" s="2550"/>
      <c r="N897" s="2550" t="str">
        <f>A897</f>
        <v>PART SIX - OPERATING PRO FORMA  -  2022-0 Villa Rica Senior,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6774</v>
      </c>
      <c r="N899" s="652" t="str">
        <f>A899</f>
        <v>I.  OPERATING ASSUMPTIONS</v>
      </c>
      <c r="O899" s="2755"/>
      <c r="Z899" s="2751"/>
      <c r="AA899" s="2671">
        <v>4</v>
      </c>
    </row>
    <row r="900" spans="1:27" s="652" customFormat="1" ht="2.5" customHeight="1">
      <c r="C900" s="3024"/>
      <c r="Z900" s="2751"/>
      <c r="AA900" s="2671">
        <v>5</v>
      </c>
    </row>
    <row r="901" spans="1:27" s="652" customFormat="1" ht="13.5" customHeight="1">
      <c r="A901" s="652" t="s">
        <v>2032</v>
      </c>
      <c r="B901" s="3025">
        <v>0.02</v>
      </c>
      <c r="C901" s="3024"/>
      <c r="D901" s="2969" t="s">
        <v>6855</v>
      </c>
      <c r="E901" s="2969"/>
      <c r="F901" s="2969"/>
      <c r="G901" s="3026">
        <f>'Part VI-Pro Forma'!G6</f>
        <v>6000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4" customHeight="1">
      <c r="A904" s="652" t="s">
        <v>2034</v>
      </c>
      <c r="B904" s="3030">
        <f>'Part VI-Pro Forma'!B9</f>
        <v>7.0000000000000007E-2</v>
      </c>
      <c r="C904" s="2682" t="str">
        <f>IF(B904&lt;0.07, "Must be &gt;= 7%!","")</f>
        <v/>
      </c>
      <c r="D904" s="2550" t="s">
        <v>2308</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4.5663000000000002E-2</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5" customHeight="1">
      <c r="Z908" s="2751"/>
      <c r="AA908" s="2671">
        <v>13</v>
      </c>
    </row>
    <row r="909" spans="1:27" s="652" customFormat="1" ht="1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4" customHeight="1">
      <c r="A910" s="652" t="s">
        <v>2216</v>
      </c>
      <c r="B910" s="3035">
        <f>'Part VI-Pro Forma'!B15</f>
        <v>676800</v>
      </c>
      <c r="C910" s="3035">
        <f>'Part VI-Pro Forma'!C15</f>
        <v>690336</v>
      </c>
      <c r="D910" s="3035">
        <f>'Part VI-Pro Forma'!D15</f>
        <v>704142.72</v>
      </c>
      <c r="E910" s="3035">
        <f>'Part VI-Pro Forma'!E15</f>
        <v>718225.57439999992</v>
      </c>
      <c r="F910" s="3035">
        <f>'Part VI-Pro Forma'!F15</f>
        <v>732590.08588799997</v>
      </c>
      <c r="G910" s="3035">
        <f>'Part VI-Pro Forma'!G15</f>
        <v>747241.88760576001</v>
      </c>
      <c r="H910" s="3035">
        <f>'Part VI-Pro Forma'!H15</f>
        <v>762186.72535787523</v>
      </c>
      <c r="I910" s="3035">
        <f>'Part VI-Pro Forma'!I15</f>
        <v>777430.45986503258</v>
      </c>
      <c r="J910" s="3035">
        <f>'Part VI-Pro Forma'!J15</f>
        <v>792979.06906233332</v>
      </c>
      <c r="K910" s="3035">
        <f>'Part VI-Pro Forma'!K15</f>
        <v>808838.65044358</v>
      </c>
      <c r="N910" s="2846"/>
      <c r="O910" s="2846"/>
      <c r="S910" s="2918" t="s">
        <v>3411</v>
      </c>
      <c r="Z910" s="2751" t="s">
        <v>6468</v>
      </c>
      <c r="AA910" s="2671">
        <v>15</v>
      </c>
    </row>
    <row r="911" spans="1:27" s="652" customFormat="1" ht="13.4" customHeight="1">
      <c r="A911" s="652" t="s">
        <v>953</v>
      </c>
      <c r="B911" s="3035">
        <f>'Part VI-Pro Forma'!B16</f>
        <v>13536</v>
      </c>
      <c r="C911" s="3035">
        <f>'Part VI-Pro Forma'!C16</f>
        <v>13806.72</v>
      </c>
      <c r="D911" s="3035">
        <f>'Part VI-Pro Forma'!D16</f>
        <v>14082.8544</v>
      </c>
      <c r="E911" s="3035">
        <f>'Part VI-Pro Forma'!E16</f>
        <v>14364.511487999998</v>
      </c>
      <c r="F911" s="3035">
        <f>'Part VI-Pro Forma'!F16</f>
        <v>14651.80171776</v>
      </c>
      <c r="G911" s="3035">
        <f>'Part VI-Pro Forma'!G16</f>
        <v>14944.8377521152</v>
      </c>
      <c r="H911" s="3035">
        <f>'Part VI-Pro Forma'!H16</f>
        <v>15243.734507157506</v>
      </c>
      <c r="I911" s="3035">
        <f>'Part VI-Pro Forma'!I16</f>
        <v>15548.609197300651</v>
      </c>
      <c r="J911" s="3035">
        <f>'Part VI-Pro Forma'!J16</f>
        <v>15859.581381246666</v>
      </c>
      <c r="K911" s="3035">
        <f>'Part VI-Pro Forma'!K16</f>
        <v>16176.7730088716</v>
      </c>
      <c r="N911" s="2846"/>
      <c r="O911" s="2846"/>
      <c r="S911" s="2918"/>
      <c r="Z911" s="2751" t="s">
        <v>6468</v>
      </c>
      <c r="AA911" s="2671">
        <v>16</v>
      </c>
    </row>
    <row r="912" spans="1:27" s="652" customFormat="1" ht="13.4" customHeight="1">
      <c r="A912" s="652" t="s">
        <v>2217</v>
      </c>
      <c r="B912" s="3035">
        <f>'Part VI-Pro Forma'!B17</f>
        <v>-48323.520000000004</v>
      </c>
      <c r="C912" s="3035">
        <f>'Part VI-Pro Forma'!C17</f>
        <v>-49289.990400000002</v>
      </c>
      <c r="D912" s="3035">
        <f>'Part VI-Pro Forma'!D17</f>
        <v>-50275.790207999999</v>
      </c>
      <c r="E912" s="3035">
        <f>'Part VI-Pro Forma'!E17</f>
        <v>-51281.306012160007</v>
      </c>
      <c r="F912" s="3035">
        <f>'Part VI-Pro Forma'!F17</f>
        <v>-52306.932132403206</v>
      </c>
      <c r="G912" s="3035">
        <f>'Part VI-Pro Forma'!G17</f>
        <v>-53353.070775051274</v>
      </c>
      <c r="H912" s="3035">
        <f>'Part VI-Pro Forma'!H17</f>
        <v>-54420.132190552293</v>
      </c>
      <c r="I912" s="3035">
        <f>'Part VI-Pro Forma'!I17</f>
        <v>-55508.53483436333</v>
      </c>
      <c r="J912" s="3035">
        <f>'Part VI-Pro Forma'!J17</f>
        <v>-56618.705531050604</v>
      </c>
      <c r="K912" s="3035">
        <f>'Part VI-Pro Forma'!K17</f>
        <v>-57751.079641671618</v>
      </c>
      <c r="N912" s="2846"/>
      <c r="O912" s="2846"/>
      <c r="Q912" s="2918" t="s">
        <v>3301</v>
      </c>
      <c r="R912" s="2918" t="s">
        <v>3410</v>
      </c>
      <c r="S912" s="2918"/>
      <c r="Z912" s="2751" t="s">
        <v>6468</v>
      </c>
      <c r="AA912" s="2671">
        <v>17</v>
      </c>
    </row>
    <row r="913" spans="1:27" s="652" customFormat="1" ht="13.4"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4"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4" customHeight="1">
      <c r="A915" s="652" t="s">
        <v>3842</v>
      </c>
      <c r="B915" s="3035">
        <f>SUM(B910:B914)</f>
        <v>642012.48</v>
      </c>
      <c r="C915" s="3035">
        <f t="shared" ref="C915:K915" si="382">SUM(C910:C914)</f>
        <v>654852.72959999996</v>
      </c>
      <c r="D915" s="3035">
        <f t="shared" si="382"/>
        <v>667949.78419199993</v>
      </c>
      <c r="E915" s="3035">
        <f t="shared" si="382"/>
        <v>681308.77987583994</v>
      </c>
      <c r="F915" s="3035">
        <f t="shared" si="382"/>
        <v>694934.95547335676</v>
      </c>
      <c r="G915" s="3035">
        <f t="shared" si="382"/>
        <v>708833.65458282398</v>
      </c>
      <c r="H915" s="3035">
        <f t="shared" si="382"/>
        <v>723010.32767448039</v>
      </c>
      <c r="I915" s="3035">
        <f t="shared" si="382"/>
        <v>737470.53422796982</v>
      </c>
      <c r="J915" s="3035">
        <f t="shared" si="382"/>
        <v>752219.94491252943</v>
      </c>
      <c r="K915" s="3035">
        <f t="shared" si="382"/>
        <v>767264.34381077997</v>
      </c>
      <c r="N915" s="2846"/>
      <c r="O915" s="2846"/>
      <c r="Z915" s="2751" t="s">
        <v>6468</v>
      </c>
      <c r="AA915" s="2671">
        <v>20</v>
      </c>
    </row>
    <row r="916" spans="1:27" s="652" customFormat="1" ht="13.4" customHeight="1">
      <c r="A916" s="652" t="s">
        <v>572</v>
      </c>
      <c r="B916" s="3035">
        <f>'Part VI-Pro Forma'!B21</f>
        <v>-406493</v>
      </c>
      <c r="C916" s="3035">
        <f>'Part VI-Pro Forma'!C21</f>
        <v>-418687.79000000004</v>
      </c>
      <c r="D916" s="3035">
        <f>'Part VI-Pro Forma'!D21</f>
        <v>-431248.42369999998</v>
      </c>
      <c r="E916" s="3035">
        <f>'Part VI-Pro Forma'!E21</f>
        <v>-444185.87641099998</v>
      </c>
      <c r="F916" s="3035">
        <f>'Part VI-Pro Forma'!F21</f>
        <v>-457511.45270332997</v>
      </c>
      <c r="G916" s="3035">
        <f>'Part VI-Pro Forma'!G21</f>
        <v>-471236.79628442985</v>
      </c>
      <c r="H916" s="3035">
        <f>'Part VI-Pro Forma'!H21</f>
        <v>-485373.90017296275</v>
      </c>
      <c r="I916" s="3035">
        <f>'Part VI-Pro Forma'!I21</f>
        <v>-499935.11717815168</v>
      </c>
      <c r="J916" s="3035">
        <f>'Part VI-Pro Forma'!J21</f>
        <v>-514933.17069349618</v>
      </c>
      <c r="K916" s="3035">
        <f>'Part VI-Pro Forma'!K21</f>
        <v>-530381.16581430112</v>
      </c>
      <c r="N916" s="2846"/>
      <c r="O916" s="2846"/>
      <c r="Q916" s="2671">
        <v>1</v>
      </c>
      <c r="R916" s="2948">
        <f>-B927</f>
        <v>48421.201392934774</v>
      </c>
      <c r="S916" s="2948">
        <f>B928+R916</f>
        <v>48421.201392934774</v>
      </c>
      <c r="Z916" s="2751" t="s">
        <v>6468</v>
      </c>
      <c r="AA916" s="2671">
        <v>21</v>
      </c>
    </row>
    <row r="917" spans="1:27" s="652" customFormat="1" ht="13.4" customHeight="1">
      <c r="A917" s="652" t="s">
        <v>1051</v>
      </c>
      <c r="B917" s="3035">
        <f>'Part VI-Pro Forma'!B22</f>
        <v>-29316</v>
      </c>
      <c r="C917" s="3035">
        <f>'Part VI-Pro Forma'!C22</f>
        <v>-29903</v>
      </c>
      <c r="D917" s="3035">
        <f>'Part VI-Pro Forma'!D22</f>
        <v>-30501</v>
      </c>
      <c r="E917" s="3035">
        <f>'Part VI-Pro Forma'!E22</f>
        <v>-31111</v>
      </c>
      <c r="F917" s="3035">
        <f>'Part VI-Pro Forma'!F22</f>
        <v>-31733</v>
      </c>
      <c r="G917" s="3035">
        <f>'Part VI-Pro Forma'!G22</f>
        <v>-32367</v>
      </c>
      <c r="H917" s="3035">
        <f>'Part VI-Pro Forma'!H22</f>
        <v>-33015</v>
      </c>
      <c r="I917" s="3035">
        <f>'Part VI-Pro Forma'!I22</f>
        <v>-33675</v>
      </c>
      <c r="J917" s="3035">
        <f>'Part VI-Pro Forma'!J22</f>
        <v>-34349</v>
      </c>
      <c r="K917" s="3035">
        <f>'Part VI-Pro Forma'!K22</f>
        <v>-35036</v>
      </c>
      <c r="N917" s="2846"/>
      <c r="O917" s="2846"/>
      <c r="Q917" s="2671">
        <v>2</v>
      </c>
      <c r="R917" s="2948">
        <f>-SUM(B927:C927)</f>
        <v>96450.862385869492</v>
      </c>
      <c r="S917" s="2948">
        <f>SUM(B928:C928)+R917</f>
        <v>96450.862385869492</v>
      </c>
      <c r="Z917" s="2751" t="s">
        <v>6468</v>
      </c>
      <c r="AA917" s="2671">
        <v>22</v>
      </c>
    </row>
    <row r="918" spans="1:27" s="652" customFormat="1" ht="13.4" customHeight="1">
      <c r="A918" s="652" t="s">
        <v>1129</v>
      </c>
      <c r="B918" s="3035">
        <f>'Part VI-Pro Forma'!B23</f>
        <v>-15000</v>
      </c>
      <c r="C918" s="3035">
        <f>'Part VI-Pro Forma'!C23</f>
        <v>-15450</v>
      </c>
      <c r="D918" s="3035">
        <f>'Part VI-Pro Forma'!D23</f>
        <v>-15913.5</v>
      </c>
      <c r="E918" s="3035">
        <f>'Part VI-Pro Forma'!E23</f>
        <v>-16390.904999999999</v>
      </c>
      <c r="F918" s="3035">
        <f>'Part VI-Pro Forma'!F23</f>
        <v>-16882.632149999998</v>
      </c>
      <c r="G918" s="3035">
        <f>'Part VI-Pro Forma'!G23</f>
        <v>-17389.111114499996</v>
      </c>
      <c r="H918" s="3035">
        <f>'Part VI-Pro Forma'!H23</f>
        <v>-17910.784447934999</v>
      </c>
      <c r="I918" s="3035">
        <f>'Part VI-Pro Forma'!I23</f>
        <v>-18448.10798137305</v>
      </c>
      <c r="J918" s="3035">
        <f>'Part VI-Pro Forma'!J23</f>
        <v>-19001.551220814239</v>
      </c>
      <c r="K918" s="3035">
        <f>'Part VI-Pro Forma'!K23</f>
        <v>-19571.597757438667</v>
      </c>
      <c r="N918" s="2846"/>
      <c r="O918" s="2846"/>
      <c r="Q918" s="2671">
        <v>3</v>
      </c>
      <c r="R918" s="2948">
        <f>-SUM(B927:D927)</f>
        <v>143955.44427080423</v>
      </c>
      <c r="S918" s="2948">
        <f>SUM(B928:D928)+R918</f>
        <v>143955.44427080423</v>
      </c>
      <c r="Z918" s="2751" t="s">
        <v>6468</v>
      </c>
      <c r="AA918" s="2671">
        <v>23</v>
      </c>
    </row>
    <row r="919" spans="1:27" s="652" customFormat="1" ht="13.4"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190794.164128579</v>
      </c>
      <c r="S919" s="2948">
        <f>SUM(B928:E928)+R919</f>
        <v>190794.164128579</v>
      </c>
      <c r="Z919" s="2751" t="s">
        <v>6468</v>
      </c>
      <c r="AA919" s="2857">
        <v>24</v>
      </c>
    </row>
    <row r="920" spans="1:27" s="652" customFormat="1" ht="13.4" customHeight="1">
      <c r="A920" s="652" t="s">
        <v>1130</v>
      </c>
      <c r="B920" s="3035">
        <f>SUM(B915:B919)</f>
        <v>191203.47999999998</v>
      </c>
      <c r="C920" s="3035">
        <f t="shared" ref="C920:K920" si="383">SUM(C915:C919)</f>
        <v>190811.93959999993</v>
      </c>
      <c r="D920" s="3035">
        <f t="shared" si="383"/>
        <v>190286.86049199995</v>
      </c>
      <c r="E920" s="3035">
        <f t="shared" si="383"/>
        <v>189620.99846483997</v>
      </c>
      <c r="F920" s="3035">
        <f t="shared" si="383"/>
        <v>188807.87062002681</v>
      </c>
      <c r="G920" s="3035">
        <f t="shared" si="383"/>
        <v>187840.74718389413</v>
      </c>
      <c r="H920" s="3035">
        <f t="shared" si="383"/>
        <v>186710.64305358264</v>
      </c>
      <c r="I920" s="3035">
        <f t="shared" si="383"/>
        <v>185412.30906844509</v>
      </c>
      <c r="J920" s="3035">
        <f t="shared" si="383"/>
        <v>183936.22299821902</v>
      </c>
      <c r="K920" s="3035">
        <f t="shared" si="383"/>
        <v>182275.5802390402</v>
      </c>
      <c r="N920" s="2846"/>
      <c r="O920" s="2846"/>
      <c r="Q920" s="2671">
        <v>5</v>
      </c>
      <c r="R920" s="2948">
        <f>-SUM(B927:F927)</f>
        <v>236819.75614154059</v>
      </c>
      <c r="S920" s="2948">
        <f>SUM(B928:F928)+R920</f>
        <v>236819.75614154059</v>
      </c>
      <c r="Z920" s="2751" t="s">
        <v>6468</v>
      </c>
      <c r="AA920" s="2671">
        <v>25</v>
      </c>
    </row>
    <row r="921" spans="1:27" s="652" customFormat="1" ht="13.4" customHeight="1">
      <c r="A921" s="652" t="s">
        <v>1487</v>
      </c>
      <c r="B921" s="3036">
        <f>'Part VI-Pro Forma'!B26</f>
        <v>-136782.27860706521</v>
      </c>
      <c r="C921" s="3036">
        <f>'Part VI-Pro Forma'!C26</f>
        <v>-136782.27860706521</v>
      </c>
      <c r="D921" s="3036">
        <f>'Part VI-Pro Forma'!D26</f>
        <v>-136782.27860706521</v>
      </c>
      <c r="E921" s="3036">
        <f>'Part VI-Pro Forma'!E26</f>
        <v>-136782.27860706521</v>
      </c>
      <c r="F921" s="3036">
        <f>'Part VI-Pro Forma'!F26</f>
        <v>-136782.27860706521</v>
      </c>
      <c r="G921" s="3036">
        <f>'Part VI-Pro Forma'!G26</f>
        <v>-136782.27860706521</v>
      </c>
      <c r="H921" s="3036">
        <f>'Part VI-Pro Forma'!H26</f>
        <v>-136782.27860706521</v>
      </c>
      <c r="I921" s="3036">
        <f>'Part VI-Pro Forma'!I26</f>
        <v>-136782.27860706521</v>
      </c>
      <c r="J921" s="3036">
        <f>'Part VI-Pro Forma'!J26</f>
        <v>-136782.27860706521</v>
      </c>
      <c r="K921" s="3036">
        <f>'Part VI-Pro Forma'!K26</f>
        <v>-136782.27860706521</v>
      </c>
      <c r="N921" s="2846"/>
      <c r="O921" s="2846"/>
      <c r="Q921" s="2671">
        <v>6</v>
      </c>
      <c r="R921" s="2948">
        <f>-SUM(B927:G927)</f>
        <v>281878.22471836954</v>
      </c>
      <c r="S921" s="2948">
        <f>SUM(B928:G928)+R921</f>
        <v>281878.22471836954</v>
      </c>
      <c r="Z921" s="2751" t="s">
        <v>6468</v>
      </c>
      <c r="AA921" s="2671">
        <v>26</v>
      </c>
    </row>
    <row r="922" spans="1:27" s="652" customFormat="1" ht="13.4"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325806.58916488697</v>
      </c>
      <c r="S922" s="2948">
        <f>SUM(B928:H928)+R922</f>
        <v>325806.58916488697</v>
      </c>
      <c r="Z922" s="2751" t="s">
        <v>6468</v>
      </c>
      <c r="AA922" s="2671">
        <v>27</v>
      </c>
    </row>
    <row r="923" spans="1:27" s="652" customFormat="1" ht="13.4"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368436.61962626688</v>
      </c>
      <c r="S923" s="2948">
        <f>SUM(B928:I928)+R923</f>
        <v>368436.61962626688</v>
      </c>
      <c r="Z923" s="2751" t="s">
        <v>6468</v>
      </c>
      <c r="AA923" s="2671">
        <v>28</v>
      </c>
    </row>
    <row r="924" spans="1:27" s="652" customFormat="1" ht="13.4"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399484.61962626688</v>
      </c>
      <c r="S924" s="2948">
        <f>SUM(B928:J928)+R924</f>
        <v>409590.56401742069</v>
      </c>
      <c r="Z924" s="2751" t="s">
        <v>6468</v>
      </c>
      <c r="AA924" s="2671">
        <v>29</v>
      </c>
    </row>
    <row r="925" spans="1:27" s="652" customFormat="1" ht="13.4"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399484.61962626688</v>
      </c>
      <c r="S925" s="2948">
        <f>SUM(B928:K928)+R925</f>
        <v>449083.86564939568</v>
      </c>
      <c r="Z925" s="2751" t="s">
        <v>6468</v>
      </c>
      <c r="AA925" s="2671">
        <v>30</v>
      </c>
    </row>
    <row r="926" spans="1:27" s="652" customFormat="1" ht="13.4" customHeight="1">
      <c r="A926" s="652" t="s">
        <v>1096</v>
      </c>
      <c r="B926" s="3036">
        <f>'Part VI-Pro Forma'!B31</f>
        <v>-6000</v>
      </c>
      <c r="C926" s="3036">
        <f>'Part VI-Pro Forma'!C31</f>
        <v>-6000</v>
      </c>
      <c r="D926" s="3036">
        <f>'Part VI-Pro Forma'!D31</f>
        <v>-6000</v>
      </c>
      <c r="E926" s="3036">
        <f>'Part VI-Pro Forma'!E31</f>
        <v>-6000</v>
      </c>
      <c r="F926" s="3036">
        <f>'Part VI-Pro Forma'!F31</f>
        <v>-6000</v>
      </c>
      <c r="G926" s="3036">
        <f>'Part VI-Pro Forma'!G31</f>
        <v>-6000</v>
      </c>
      <c r="H926" s="3036">
        <f>'Part VI-Pro Forma'!H31</f>
        <v>-6000</v>
      </c>
      <c r="I926" s="3036">
        <f>'Part VI-Pro Forma'!I31</f>
        <v>-6000</v>
      </c>
      <c r="J926" s="3036">
        <f>'Part VI-Pro Forma'!J31</f>
        <v>-6000</v>
      </c>
      <c r="K926" s="3036">
        <f>'Part VI-Pro Forma'!K31</f>
        <v>-6000</v>
      </c>
      <c r="N926" s="2846"/>
      <c r="O926" s="2846"/>
      <c r="Q926" s="2671">
        <v>11</v>
      </c>
      <c r="R926" s="2948">
        <f>-SUM(B927:K927)-B959</f>
        <v>399484.61962626688</v>
      </c>
      <c r="S926" s="2948">
        <f>SUM(B928:K928)+B960+R926</f>
        <v>486723.87125043414</v>
      </c>
      <c r="Z926" s="2751" t="s">
        <v>6468</v>
      </c>
      <c r="AA926" s="2671">
        <v>31</v>
      </c>
    </row>
    <row r="927" spans="1:27" s="652" customFormat="1" ht="13.4" customHeight="1">
      <c r="A927" s="652" t="s">
        <v>3364</v>
      </c>
      <c r="B927" s="3036">
        <f>'Part VI-Pro Forma'!B32</f>
        <v>-48421.201392934774</v>
      </c>
      <c r="C927" s="3036">
        <f>'Part VI-Pro Forma'!C32</f>
        <v>-48029.660992934718</v>
      </c>
      <c r="D927" s="3036">
        <f>'Part VI-Pro Forma'!D32</f>
        <v>-47504.581884934742</v>
      </c>
      <c r="E927" s="3036">
        <f>'Part VI-Pro Forma'!E32</f>
        <v>-46838.719857774762</v>
      </c>
      <c r="F927" s="3036">
        <f>'Part VI-Pro Forma'!F32</f>
        <v>-46025.592012961599</v>
      </c>
      <c r="G927" s="3036">
        <f>'Part VI-Pro Forma'!G32</f>
        <v>-45058.46857682892</v>
      </c>
      <c r="H927" s="3036">
        <f>'Part VI-Pro Forma'!H32</f>
        <v>-43928.364446517429</v>
      </c>
      <c r="I927" s="3036">
        <f>'Part VI-Pro Forma'!I32</f>
        <v>-42630.03046137988</v>
      </c>
      <c r="J927" s="3036">
        <f>'Part VI-Pro Forma'!J32</f>
        <v>-31048</v>
      </c>
      <c r="K927" s="3036">
        <f>'Part VI-Pro Forma'!K32</f>
        <v>0</v>
      </c>
      <c r="N927" s="2846"/>
      <c r="O927" s="2846"/>
      <c r="Q927" s="2671">
        <v>12</v>
      </c>
      <c r="R927" s="2948">
        <f>-SUM(B927:K927) - SUM(B959:C959)</f>
        <v>399484.61962626688</v>
      </c>
      <c r="S927" s="2948">
        <f>SUM(B928:K928) + SUM(B960:C960)+R927</f>
        <v>522307.52907084569</v>
      </c>
      <c r="Z927" s="2751" t="s">
        <v>6468</v>
      </c>
      <c r="AA927" s="2671">
        <v>32</v>
      </c>
    </row>
    <row r="928" spans="1:27" s="652" customFormat="1" ht="13.4" customHeight="1">
      <c r="A928" s="652" t="s">
        <v>1097</v>
      </c>
      <c r="B928" s="3035">
        <f t="shared" ref="B928:K928" si="384">SUM(B920:B927)</f>
        <v>0</v>
      </c>
      <c r="C928" s="3035">
        <f t="shared" si="384"/>
        <v>0</v>
      </c>
      <c r="D928" s="3035">
        <f t="shared" si="384"/>
        <v>0</v>
      </c>
      <c r="E928" s="3035">
        <f t="shared" si="384"/>
        <v>0</v>
      </c>
      <c r="F928" s="3035">
        <f t="shared" si="384"/>
        <v>0</v>
      </c>
      <c r="G928" s="3035">
        <f t="shared" si="384"/>
        <v>0</v>
      </c>
      <c r="H928" s="3035">
        <f t="shared" si="384"/>
        <v>0</v>
      </c>
      <c r="I928" s="3035">
        <f t="shared" si="384"/>
        <v>0</v>
      </c>
      <c r="J928" s="3035">
        <f t="shared" si="384"/>
        <v>10105.944391153811</v>
      </c>
      <c r="K928" s="3035">
        <f t="shared" si="384"/>
        <v>39493.301631974988</v>
      </c>
      <c r="N928" s="2846"/>
      <c r="O928" s="2846"/>
      <c r="Q928" s="2671">
        <v>13</v>
      </c>
      <c r="R928" s="2948">
        <f>-SUM(B927:K927) - SUM(B959:D959)</f>
        <v>399484.61962626688</v>
      </c>
      <c r="S928" s="2948">
        <f>SUM(B928:K928) + SUM(B960:D960)+R928</f>
        <v>555624.07675107429</v>
      </c>
      <c r="Z928" s="2751" t="s">
        <v>6468</v>
      </c>
      <c r="AA928" s="2857">
        <v>33</v>
      </c>
    </row>
    <row r="929" spans="1:27" s="652" customFormat="1" ht="13.4" customHeight="1">
      <c r="A929" s="652" t="str">
        <f>IF('Part II-Sources of Funds'!$E$40 = "Neither", "", "DCR Mortgage A")</f>
        <v>DCR Mortgage A</v>
      </c>
      <c r="B929" s="3037">
        <f t="shared" ref="B929:K929" si="385">IF(B921=0,"",-B920/B921)</f>
        <v>1.3978673403246242</v>
      </c>
      <c r="C929" s="3037">
        <f t="shared" si="385"/>
        <v>1.3950048320816899</v>
      </c>
      <c r="D929" s="3037">
        <f t="shared" si="385"/>
        <v>1.3911660372220986</v>
      </c>
      <c r="E929" s="3037">
        <f t="shared" si="385"/>
        <v>1.3862979941251359</v>
      </c>
      <c r="F929" s="3037">
        <f t="shared" si="385"/>
        <v>1.3803533070421765</v>
      </c>
      <c r="G929" s="3037">
        <f t="shared" si="385"/>
        <v>1.3732827753477095</v>
      </c>
      <c r="H929" s="3037">
        <f t="shared" si="385"/>
        <v>1.3650207099557594</v>
      </c>
      <c r="I929" s="3037">
        <f t="shared" si="385"/>
        <v>1.3555287348376428</v>
      </c>
      <c r="J929" s="3037">
        <f t="shared" si="385"/>
        <v>1.3447372340287813</v>
      </c>
      <c r="K929" s="3037">
        <f t="shared" si="385"/>
        <v>1.3325964598284235</v>
      </c>
      <c r="N929" s="2846"/>
      <c r="O929" s="2846"/>
      <c r="Q929" s="2671">
        <v>14</v>
      </c>
      <c r="R929" s="2948">
        <f>-SUM(B927:K927) - SUM(B959:E959)</f>
        <v>399484.61962626688</v>
      </c>
      <c r="S929" s="2948">
        <f>SUM(B928:K928) + SUM(B960:E960)+R929</f>
        <v>586452.71862225409</v>
      </c>
      <c r="Z929" s="2751" t="s">
        <v>6468</v>
      </c>
      <c r="AA929" s="2671">
        <v>34</v>
      </c>
    </row>
    <row r="930" spans="1:27" s="652" customFormat="1" ht="13.4"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399484.61962626688</v>
      </c>
      <c r="S930" s="2948">
        <f>SUM(B928:K928) + SUM(B960:F960)+R930</f>
        <v>614564.29209816048</v>
      </c>
      <c r="Z930" s="2751" t="s">
        <v>6468</v>
      </c>
      <c r="AA930" s="2671">
        <v>35</v>
      </c>
    </row>
    <row r="931" spans="1:27" s="652" customFormat="1" ht="13.4"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399484.61962626688</v>
      </c>
      <c r="S931" s="2948">
        <f>SUM(B928:K928) + SUM(B960:G960)+R931</f>
        <v>639717.92280674237</v>
      </c>
      <c r="Z931" s="2751" t="s">
        <v>6468</v>
      </c>
      <c r="AA931" s="2671">
        <v>36</v>
      </c>
    </row>
    <row r="932" spans="1:27" s="652" customFormat="1" ht="13.4"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399484.61962626688</v>
      </c>
      <c r="S932" s="2948">
        <f>SUM(B928:K928) + SUM(B960:H960)+R932</f>
        <v>661663.66809838463</v>
      </c>
      <c r="Z932" s="2751" t="s">
        <v>6468</v>
      </c>
      <c r="AA932" s="2671">
        <v>37</v>
      </c>
    </row>
    <row r="933" spans="1:27" s="652" customFormat="1" ht="13.4" customHeight="1">
      <c r="A933" s="652" t="s">
        <v>3216</v>
      </c>
      <c r="B933" s="3037">
        <f t="shared" ref="B933:K933" si="389">IF(AND(B921=0,B922=0,B923=0,B924=0),"",-B920/(B921+B922+B923+B924))</f>
        <v>1.3978673403246242</v>
      </c>
      <c r="C933" s="3037">
        <f t="shared" si="389"/>
        <v>1.3950048320816899</v>
      </c>
      <c r="D933" s="3037">
        <f t="shared" si="389"/>
        <v>1.3911660372220986</v>
      </c>
      <c r="E933" s="3037">
        <f t="shared" si="389"/>
        <v>1.3862979941251359</v>
      </c>
      <c r="F933" s="3037">
        <f t="shared" si="389"/>
        <v>1.3803533070421765</v>
      </c>
      <c r="G933" s="3037">
        <f t="shared" si="389"/>
        <v>1.3732827753477095</v>
      </c>
      <c r="H933" s="3037">
        <f t="shared" si="389"/>
        <v>1.3650207099557594</v>
      </c>
      <c r="I933" s="3037">
        <f t="shared" si="389"/>
        <v>1.3555287348376428</v>
      </c>
      <c r="J933" s="3037">
        <f t="shared" si="389"/>
        <v>1.3447372340287813</v>
      </c>
      <c r="K933" s="3037">
        <f t="shared" si="389"/>
        <v>1.3325964598284235</v>
      </c>
      <c r="N933" s="2846"/>
      <c r="O933" s="2846"/>
      <c r="Q933" s="2671">
        <v>18</v>
      </c>
      <c r="R933" s="2948">
        <f>-SUM(B927:K927) - SUM(B959:I959)</f>
        <v>399484.61962626688</v>
      </c>
      <c r="S933" s="2948">
        <f>SUM(B928:K928) + SUM(B960:I960)+R933</f>
        <v>680140.1485566505</v>
      </c>
      <c r="Z933" s="2751" t="s">
        <v>6468</v>
      </c>
      <c r="AA933" s="2671">
        <v>38</v>
      </c>
    </row>
    <row r="934" spans="1:27" s="652" customFormat="1" ht="13.4" customHeight="1">
      <c r="A934" s="652" t="s">
        <v>718</v>
      </c>
      <c r="B934" s="3038">
        <f>'Part VI-Pro Forma'!B39</f>
        <v>1.4241341233205194</v>
      </c>
      <c r="C934" s="3038">
        <f>'Part VI-Pro Forma'!C39</f>
        <v>1.4111964803783734</v>
      </c>
      <c r="D934" s="3038">
        <f>'Part VI-Pro Forma'!D39</f>
        <v>1.3983705894902387</v>
      </c>
      <c r="E934" s="3038">
        <f>'Part VI-Pro Forma'!E39</f>
        <v>1.3856532654130296</v>
      </c>
      <c r="F934" s="3038">
        <f>'Part VI-Pro Forma'!F39</f>
        <v>1.3730443919529445</v>
      </c>
      <c r="G934" s="3038">
        <f>'Part VI-Pro Forma'!G39</f>
        <v>1.3605437703973626</v>
      </c>
      <c r="H934" s="3038">
        <f>'Part VI-Pro Forma'!H39</f>
        <v>1.3481460989214744</v>
      </c>
      <c r="I934" s="3038">
        <f>'Part VI-Pro Forma'!I39</f>
        <v>1.3358564379959519</v>
      </c>
      <c r="J934" s="3038">
        <f>'Part VI-Pro Forma'!J39</f>
        <v>1.3236697021315598</v>
      </c>
      <c r="K934" s="3038">
        <f>'Part VI-Pro Forma'!K39</f>
        <v>1.3115881732943524</v>
      </c>
      <c r="N934" s="2846"/>
      <c r="O934" s="2846"/>
      <c r="Q934" s="2671">
        <v>19</v>
      </c>
      <c r="R934" s="2948">
        <f>-SUM(B927:K927) - SUM(B959:J959)</f>
        <v>399484.61962626688</v>
      </c>
      <c r="S934" s="2948">
        <f>SUM(B928:K928) + SUM(B960:J960)+R934</f>
        <v>694875.16712553171</v>
      </c>
      <c r="Z934" s="2751" t="s">
        <v>6468</v>
      </c>
      <c r="AA934" s="2671">
        <v>39</v>
      </c>
    </row>
    <row r="935" spans="1:27" s="652" customFormat="1" ht="13.4" customHeight="1">
      <c r="A935" s="652" t="s">
        <v>2406</v>
      </c>
      <c r="B935" s="3036">
        <f>'Part VI-Pro Forma'!B40</f>
        <v>2194377.8137268922</v>
      </c>
      <c r="C935" s="3036">
        <f>'Part VI-Pro Forma'!C40</f>
        <v>2177874.4133515744</v>
      </c>
      <c r="D935" s="3036">
        <f>'Part VI-Pro Forma'!D40</f>
        <v>2160440.091471999</v>
      </c>
      <c r="E935" s="3036">
        <f>'Part VI-Pro Forma'!E40</f>
        <v>2142022.3367979238</v>
      </c>
      <c r="F935" s="3036">
        <f>'Part VI-Pro Forma'!F40</f>
        <v>2122565.6759895785</v>
      </c>
      <c r="G935" s="3036">
        <f>'Part VI-Pro Forma'!G40</f>
        <v>2102011.5065747872</v>
      </c>
      <c r="H935" s="3036">
        <f>'Part VI-Pro Forma'!H40</f>
        <v>2080297.920441306</v>
      </c>
      <c r="I935" s="3036">
        <f>'Part VI-Pro Forma'!I40</f>
        <v>2057359.5173727379</v>
      </c>
      <c r="J935" s="3036">
        <f>'Part VI-Pro Forma'!J40</f>
        <v>2033127.2080664111</v>
      </c>
      <c r="K935" s="3036">
        <f>'Part VI-Pro Forma'!K40</f>
        <v>2007528.006039914</v>
      </c>
      <c r="N935" s="2846"/>
      <c r="O935" s="2846"/>
      <c r="Q935" s="2671">
        <v>20</v>
      </c>
      <c r="R935" s="2948">
        <f>-SUM(B927:K927) - SUM(B959:K959)</f>
        <v>399484.61962626688</v>
      </c>
      <c r="S935" s="2948">
        <f>SUM(B928:K928) + SUM(B960:K960)+R935</f>
        <v>705585.31545511971</v>
      </c>
      <c r="Z935" s="2751" t="s">
        <v>6468</v>
      </c>
      <c r="AA935" s="2671">
        <v>40</v>
      </c>
    </row>
    <row r="936" spans="1:27" s="652" customFormat="1" ht="13.4"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4"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4"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4" customHeight="1">
      <c r="A939" s="652" t="s">
        <v>3365</v>
      </c>
      <c r="B939" s="3036">
        <f>'Part VI-Pro Forma'!B44</f>
        <v>305124.55314291501</v>
      </c>
      <c r="C939" s="3036">
        <f>'Part VI-Pro Forma'!C44</f>
        <v>274571.22801627219</v>
      </c>
      <c r="D939" s="3036">
        <f>'Part VI-Pro Forma'!D44</f>
        <v>242673.20282458677</v>
      </c>
      <c r="E939" s="3036">
        <f>'Part VI-Pro Forma'!E44</f>
        <v>209492.25911692769</v>
      </c>
      <c r="F939" s="3036">
        <f>'Part VI-Pro Forma'!F44</f>
        <v>175100.65317635064</v>
      </c>
      <c r="G939" s="3036">
        <f>'Part VI-Pro Forma'!G44</f>
        <v>139582.01585724505</v>
      </c>
      <c r="H939" s="3036">
        <f>'Part VI-Pro Forma'!H44</f>
        <v>103034.37254016574</v>
      </c>
      <c r="I939" s="3036">
        <f>'Part VI-Pro Forma'!I44</f>
        <v>65567.190542361466</v>
      </c>
      <c r="J939" s="3036">
        <f>'Part VI-Pro Forma'!J44</f>
        <v>37695.01967230154</v>
      </c>
      <c r="K939" s="3036">
        <f>'Part VI-Pro Forma'!K44</f>
        <v>40019.966003878289</v>
      </c>
      <c r="N939" s="2846"/>
      <c r="O939" s="2846"/>
      <c r="Z939" s="2751" t="s">
        <v>6468</v>
      </c>
      <c r="AA939" s="2671">
        <v>44</v>
      </c>
    </row>
    <row r="940" spans="1:27" s="652" customFormat="1" ht="4.4000000000000004" customHeight="1">
      <c r="B940" s="3035"/>
      <c r="C940" s="3035"/>
      <c r="D940" s="3035"/>
      <c r="E940" s="3035"/>
      <c r="F940" s="3035"/>
      <c r="G940" s="3035"/>
      <c r="H940" s="3035"/>
      <c r="I940" s="3035"/>
      <c r="J940" s="3035"/>
      <c r="K940" s="3035"/>
      <c r="Z940" s="2751"/>
      <c r="AA940" s="2671">
        <v>45</v>
      </c>
    </row>
    <row r="941" spans="1:27" s="652" customFormat="1" ht="1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4" customHeight="1">
      <c r="A942" s="652" t="s">
        <v>2216</v>
      </c>
      <c r="B942" s="3035">
        <f>'Part VI-Pro Forma'!B47</f>
        <v>825015.42345245159</v>
      </c>
      <c r="C942" s="3035">
        <f>'Part VI-Pro Forma'!C47</f>
        <v>841515.73192150053</v>
      </c>
      <c r="D942" s="3035">
        <f>'Part VI-Pro Forma'!D47</f>
        <v>858346.04655993066</v>
      </c>
      <c r="E942" s="3035">
        <f>'Part VI-Pro Forma'!E47</f>
        <v>875512.96749112918</v>
      </c>
      <c r="F942" s="3035">
        <f>'Part VI-Pro Forma'!F47</f>
        <v>893023.22684095183</v>
      </c>
      <c r="G942" s="3035">
        <f>'Part VI-Pro Forma'!G47</f>
        <v>910883.69137777062</v>
      </c>
      <c r="H942" s="3035">
        <f>'Part VI-Pro Forma'!H47</f>
        <v>929101.36520532623</v>
      </c>
      <c r="I942" s="3035">
        <f>'Part VI-Pro Forma'!I47</f>
        <v>947683.39250943286</v>
      </c>
      <c r="J942" s="3035">
        <f>'Part VI-Pro Forma'!J47</f>
        <v>966637.06035962142</v>
      </c>
      <c r="K942" s="3035">
        <f>'Part VI-Pro Forma'!K47</f>
        <v>985969.80156681372</v>
      </c>
      <c r="N942" s="2846"/>
      <c r="O942" s="2846"/>
      <c r="Z942" s="2751" t="s">
        <v>6469</v>
      </c>
      <c r="AA942" s="2857">
        <v>47</v>
      </c>
    </row>
    <row r="943" spans="1:27" s="652" customFormat="1" ht="13.4" customHeight="1">
      <c r="A943" s="652" t="s">
        <v>953</v>
      </c>
      <c r="B943" s="3035">
        <f>'Part VI-Pro Forma'!B48</f>
        <v>16500.308469049032</v>
      </c>
      <c r="C943" s="3035">
        <f>'Part VI-Pro Forma'!C48</f>
        <v>16830.314638430009</v>
      </c>
      <c r="D943" s="3035">
        <f>'Part VI-Pro Forma'!D48</f>
        <v>17166.920931198612</v>
      </c>
      <c r="E943" s="3035">
        <f>'Part VI-Pro Forma'!E48</f>
        <v>17510.259349822583</v>
      </c>
      <c r="F943" s="3035">
        <f>'Part VI-Pro Forma'!F48</f>
        <v>17860.464536819036</v>
      </c>
      <c r="G943" s="3035">
        <f>'Part VI-Pro Forma'!G48</f>
        <v>18217.673827555413</v>
      </c>
      <c r="H943" s="3035">
        <f>'Part VI-Pro Forma'!H48</f>
        <v>18582.027304106523</v>
      </c>
      <c r="I943" s="3035">
        <f>'Part VI-Pro Forma'!I48</f>
        <v>18953.667850188656</v>
      </c>
      <c r="J943" s="3035">
        <f>'Part VI-Pro Forma'!J48</f>
        <v>19332.741207192426</v>
      </c>
      <c r="K943" s="3035">
        <f>'Part VI-Pro Forma'!K48</f>
        <v>19719.396031336277</v>
      </c>
      <c r="N943" s="2846"/>
      <c r="O943" s="2846"/>
      <c r="Z943" s="2751" t="s">
        <v>6469</v>
      </c>
      <c r="AA943" s="2671">
        <v>48</v>
      </c>
    </row>
    <row r="944" spans="1:27" s="652" customFormat="1" ht="13.4" customHeight="1">
      <c r="A944" s="652" t="s">
        <v>2217</v>
      </c>
      <c r="B944" s="3035">
        <f>'Part VI-Pro Forma'!B49</f>
        <v>-58906.101234505048</v>
      </c>
      <c r="C944" s="3035">
        <f>'Part VI-Pro Forma'!C49</f>
        <v>-60084.223259195147</v>
      </c>
      <c r="D944" s="3035">
        <f>'Part VI-Pro Forma'!D49</f>
        <v>-61285.90772437906</v>
      </c>
      <c r="E944" s="3035">
        <f>'Part VI-Pro Forma'!E49</f>
        <v>-62511.625878866624</v>
      </c>
      <c r="F944" s="3035">
        <f>'Part VI-Pro Forma'!F49</f>
        <v>-63761.858396443968</v>
      </c>
      <c r="G944" s="3035">
        <f>'Part VI-Pro Forma'!G49</f>
        <v>-65037.095564372823</v>
      </c>
      <c r="H944" s="3035">
        <f>'Part VI-Pro Forma'!H49</f>
        <v>-66337.837475660301</v>
      </c>
      <c r="I944" s="3035">
        <f>'Part VI-Pro Forma'!I49</f>
        <v>-67664.59422517351</v>
      </c>
      <c r="J944" s="3035">
        <f>'Part VI-Pro Forma'!J49</f>
        <v>-69017.886109676969</v>
      </c>
      <c r="K944" s="3035">
        <f>'Part VI-Pro Forma'!K49</f>
        <v>-70398.24383187051</v>
      </c>
      <c r="N944" s="2846"/>
      <c r="O944" s="2846"/>
      <c r="Z944" s="2751" t="s">
        <v>6469</v>
      </c>
      <c r="AA944" s="2671">
        <v>49</v>
      </c>
    </row>
    <row r="945" spans="1:27" s="652" customFormat="1" ht="13.4"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4"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4" customHeight="1">
      <c r="A947" s="652" t="s">
        <v>3842</v>
      </c>
      <c r="B947" s="3035">
        <f>SUM(B942:B946)</f>
        <v>782609.63068699557</v>
      </c>
      <c r="C947" s="3035">
        <f t="shared" ref="C947" si="391">SUM(C942:C946)</f>
        <v>798261.82330073544</v>
      </c>
      <c r="D947" s="3035">
        <f t="shared" ref="D947" si="392">SUM(D942:D946)</f>
        <v>814227.0597667502</v>
      </c>
      <c r="E947" s="3035">
        <f t="shared" ref="E947" si="393">SUM(E942:E946)</f>
        <v>830511.60096208507</v>
      </c>
      <c r="F947" s="3035">
        <f t="shared" ref="F947" si="394">SUM(F942:F946)</f>
        <v>847121.83298132685</v>
      </c>
      <c r="G947" s="3035">
        <f t="shared" ref="G947" si="395">SUM(G942:G946)</f>
        <v>864064.26964095316</v>
      </c>
      <c r="H947" s="3035">
        <f t="shared" ref="H947" si="396">SUM(H942:H946)</f>
        <v>881345.55503377249</v>
      </c>
      <c r="I947" s="3035">
        <f t="shared" ref="I947" si="397">SUM(I942:I946)</f>
        <v>898972.46613444807</v>
      </c>
      <c r="J947" s="3035">
        <f t="shared" ref="J947" si="398">SUM(J942:J946)</f>
        <v>916951.91545713693</v>
      </c>
      <c r="K947" s="3035">
        <f t="shared" ref="K947" si="399">SUM(K942:K946)</f>
        <v>935290.9537662795</v>
      </c>
      <c r="N947" s="2846"/>
      <c r="O947" s="2846"/>
      <c r="Z947" s="2751" t="s">
        <v>6469</v>
      </c>
      <c r="AA947" s="2671">
        <v>52</v>
      </c>
    </row>
    <row r="948" spans="1:27" s="652" customFormat="1" ht="13.4" customHeight="1">
      <c r="A948" s="652" t="s">
        <v>572</v>
      </c>
      <c r="B948" s="3035">
        <f>'Part VI-Pro Forma'!B53</f>
        <v>-546292.60078873008</v>
      </c>
      <c r="C948" s="3035">
        <f>'Part VI-Pro Forma'!C53</f>
        <v>-562681.37881239201</v>
      </c>
      <c r="D948" s="3035">
        <f>'Part VI-Pro Forma'!D53</f>
        <v>-579561.82017676369</v>
      </c>
      <c r="E948" s="3035">
        <f>'Part VI-Pro Forma'!E53</f>
        <v>-596948.67478206661</v>
      </c>
      <c r="F948" s="3035">
        <f>'Part VI-Pro Forma'!F53</f>
        <v>-614857.13502552861</v>
      </c>
      <c r="G948" s="3035">
        <f>'Part VI-Pro Forma'!G53</f>
        <v>-633302.84907629457</v>
      </c>
      <c r="H948" s="3035">
        <f>'Part VI-Pro Forma'!H53</f>
        <v>-652301.93454858323</v>
      </c>
      <c r="I948" s="3035">
        <f>'Part VI-Pro Forma'!I53</f>
        <v>-671870.99258504075</v>
      </c>
      <c r="J948" s="3035">
        <f>'Part VI-Pro Forma'!J53</f>
        <v>-692027.12236259202</v>
      </c>
      <c r="K948" s="3035">
        <f>'Part VI-Pro Forma'!K53</f>
        <v>-712787.93603346974</v>
      </c>
      <c r="N948" s="2846"/>
      <c r="O948" s="2846"/>
      <c r="Z948" s="2751" t="s">
        <v>6469</v>
      </c>
      <c r="AA948" s="2671">
        <v>53</v>
      </c>
    </row>
    <row r="949" spans="1:27" s="652" customFormat="1" ht="13.4" customHeight="1">
      <c r="A949" s="652" t="s">
        <v>1051</v>
      </c>
      <c r="B949" s="3035">
        <f>'Part VI-Pro Forma'!B54</f>
        <v>-35736</v>
      </c>
      <c r="C949" s="3035">
        <f>'Part VI-Pro Forma'!C54</f>
        <v>-36451</v>
      </c>
      <c r="D949" s="3035">
        <f>'Part VI-Pro Forma'!D54</f>
        <v>-37180</v>
      </c>
      <c r="E949" s="3035">
        <f>'Part VI-Pro Forma'!E54</f>
        <v>-37924</v>
      </c>
      <c r="F949" s="3035">
        <f>'Part VI-Pro Forma'!F54</f>
        <v>-38682</v>
      </c>
      <c r="G949" s="3035">
        <f>'Part VI-Pro Forma'!G54</f>
        <v>-39456</v>
      </c>
      <c r="H949" s="3035">
        <f>'Part VI-Pro Forma'!H54</f>
        <v>-40245</v>
      </c>
      <c r="I949" s="3035">
        <f>'Part VI-Pro Forma'!I54</f>
        <v>-41050</v>
      </c>
      <c r="J949" s="3035">
        <f>'Part VI-Pro Forma'!J54</f>
        <v>-41871</v>
      </c>
      <c r="K949" s="3035">
        <f>'Part VI-Pro Forma'!K54</f>
        <v>-42708</v>
      </c>
      <c r="N949" s="2846"/>
      <c r="O949" s="2846"/>
      <c r="Z949" s="2751" t="s">
        <v>6469</v>
      </c>
      <c r="AA949" s="2671">
        <v>54</v>
      </c>
    </row>
    <row r="950" spans="1:27" s="652" customFormat="1" ht="13.4" customHeight="1">
      <c r="A950" s="652" t="s">
        <v>1129</v>
      </c>
      <c r="B950" s="3035">
        <f>'Part VI-Pro Forma'!B55</f>
        <v>-20158.745690161828</v>
      </c>
      <c r="C950" s="3035">
        <f>'Part VI-Pro Forma'!C55</f>
        <v>-20763.508060866683</v>
      </c>
      <c r="D950" s="3035">
        <f>'Part VI-Pro Forma'!D55</f>
        <v>-21386.413302692679</v>
      </c>
      <c r="E950" s="3035">
        <f>'Part VI-Pro Forma'!E55</f>
        <v>-22028.005701773458</v>
      </c>
      <c r="F950" s="3035">
        <f>'Part VI-Pro Forma'!F55</f>
        <v>-22688.845872826667</v>
      </c>
      <c r="G950" s="3035">
        <f>'Part VI-Pro Forma'!G55</f>
        <v>-23369.511249011466</v>
      </c>
      <c r="H950" s="3035">
        <f>'Part VI-Pro Forma'!H55</f>
        <v>-24070.596586481806</v>
      </c>
      <c r="I950" s="3035">
        <f>'Part VI-Pro Forma'!I55</f>
        <v>-24792.714484076259</v>
      </c>
      <c r="J950" s="3035">
        <f>'Part VI-Pro Forma'!J55</f>
        <v>-25536.49591859855</v>
      </c>
      <c r="K950" s="3035">
        <f>'Part VI-Pro Forma'!K55</f>
        <v>-26302.590796156503</v>
      </c>
      <c r="N950" s="2846"/>
      <c r="O950" s="2846"/>
      <c r="Q950" s="2671">
        <v>10</v>
      </c>
      <c r="R950" s="2948">
        <f>-SUM(B956:K956)</f>
        <v>0</v>
      </c>
      <c r="S950" s="2948">
        <f>SUM(B957:K957)+R950</f>
        <v>0</v>
      </c>
      <c r="Z950" s="2751" t="s">
        <v>6469</v>
      </c>
      <c r="AA950" s="2671">
        <v>55</v>
      </c>
    </row>
    <row r="951" spans="1:27" s="652" customFormat="1" ht="13.4"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4" customHeight="1">
      <c r="A952" s="652" t="s">
        <v>1130</v>
      </c>
      <c r="B952" s="3035">
        <f>SUM(B947:B951)</f>
        <v>180422.28420810367</v>
      </c>
      <c r="C952" s="3035">
        <f t="shared" ref="C952" si="400">SUM(C947:C951)</f>
        <v>178365.93642747676</v>
      </c>
      <c r="D952" s="3035">
        <f t="shared" ref="D952" si="401">SUM(D947:D951)</f>
        <v>176098.82628729384</v>
      </c>
      <c r="E952" s="3035">
        <f t="shared" ref="E952" si="402">SUM(E947:E951)</f>
        <v>173610.92047824501</v>
      </c>
      <c r="F952" s="3035">
        <f t="shared" ref="F952" si="403">SUM(F947:F951)</f>
        <v>170893.85208297157</v>
      </c>
      <c r="G952" s="3035">
        <f t="shared" ref="G952" si="404">SUM(G947:G951)</f>
        <v>167935.90931564712</v>
      </c>
      <c r="H952" s="3035">
        <f t="shared" ref="H952" si="405">SUM(H947:H951)</f>
        <v>164728.02389870744</v>
      </c>
      <c r="I952" s="3035">
        <f t="shared" ref="I952" si="406">SUM(I947:I951)</f>
        <v>161258.75906533108</v>
      </c>
      <c r="J952" s="3035">
        <f t="shared" ref="J952" si="407">SUM(J947:J951)</f>
        <v>157517.29717594635</v>
      </c>
      <c r="K952" s="3035">
        <f t="shared" ref="K952" si="408">SUM(K947:K951)</f>
        <v>153492.42693665327</v>
      </c>
      <c r="N952" s="2846"/>
      <c r="O952" s="2846"/>
      <c r="Z952" s="2751" t="s">
        <v>6469</v>
      </c>
      <c r="AA952" s="2671">
        <v>57</v>
      </c>
    </row>
    <row r="953" spans="1:27" s="652" customFormat="1" ht="13.4" customHeight="1">
      <c r="A953" s="652" t="str">
        <f>$A921</f>
        <v>Mortgage A</v>
      </c>
      <c r="B953" s="3036">
        <f>'Part VI-Pro Forma'!B58</f>
        <v>-136782.27860706521</v>
      </c>
      <c r="C953" s="3036">
        <f>'Part VI-Pro Forma'!C58</f>
        <v>-136782.27860706521</v>
      </c>
      <c r="D953" s="3036">
        <f>'Part VI-Pro Forma'!D58</f>
        <v>-136782.27860706521</v>
      </c>
      <c r="E953" s="3036">
        <f>'Part VI-Pro Forma'!E58</f>
        <v>-136782.27860706521</v>
      </c>
      <c r="F953" s="3036">
        <f>'Part VI-Pro Forma'!F58</f>
        <v>-136782.27860706521</v>
      </c>
      <c r="G953" s="3036">
        <f>'Part VI-Pro Forma'!G58</f>
        <v>-136782.27860706521</v>
      </c>
      <c r="H953" s="3036">
        <f>'Part VI-Pro Forma'!H58</f>
        <v>-136782.27860706521</v>
      </c>
      <c r="I953" s="3036">
        <f>'Part VI-Pro Forma'!I58</f>
        <v>-136782.27860706521</v>
      </c>
      <c r="J953" s="3036">
        <f>'Part VI-Pro Forma'!J58</f>
        <v>-136782.27860706521</v>
      </c>
      <c r="K953" s="3036">
        <f>'Part VI-Pro Forma'!K58</f>
        <v>-136782.27860706521</v>
      </c>
      <c r="N953" s="2846"/>
      <c r="O953" s="2846"/>
      <c r="Z953" s="2751" t="s">
        <v>6469</v>
      </c>
      <c r="AA953" s="2671">
        <v>58</v>
      </c>
    </row>
    <row r="954" spans="1:27" s="652" customFormat="1" ht="13.4"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4"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4"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4"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4" customHeight="1">
      <c r="A958" s="652" t="s">
        <v>1096</v>
      </c>
      <c r="B958" s="3036">
        <f>'Part VI-Pro Forma'!B63</f>
        <v>-6000</v>
      </c>
      <c r="C958" s="3036">
        <f>'Part VI-Pro Forma'!C63</f>
        <v>-6000</v>
      </c>
      <c r="D958" s="3036">
        <f>'Part VI-Pro Forma'!D63</f>
        <v>-6000</v>
      </c>
      <c r="E958" s="3036">
        <f>'Part VI-Pro Forma'!E63</f>
        <v>-6000</v>
      </c>
      <c r="F958" s="3036">
        <f>'Part VI-Pro Forma'!F63</f>
        <v>-6000</v>
      </c>
      <c r="G958" s="3036">
        <f>'Part VI-Pro Forma'!G63</f>
        <v>-6000</v>
      </c>
      <c r="H958" s="3036">
        <f>'Part VI-Pro Forma'!H63</f>
        <v>-6000</v>
      </c>
      <c r="I958" s="3036">
        <f>'Part VI-Pro Forma'!I63</f>
        <v>-6000</v>
      </c>
      <c r="J958" s="3036">
        <f>'Part VI-Pro Forma'!J63</f>
        <v>-6000</v>
      </c>
      <c r="K958" s="3036">
        <f>'Part VI-Pro Forma'!K63</f>
        <v>-6000</v>
      </c>
      <c r="N958" s="2846"/>
      <c r="O958" s="2846"/>
      <c r="Z958" s="2751" t="s">
        <v>6469</v>
      </c>
      <c r="AA958" s="2671">
        <v>63</v>
      </c>
    </row>
    <row r="959" spans="1:27" s="652" customFormat="1" ht="13.4" customHeight="1">
      <c r="A959" s="652" t="s">
        <v>3364</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4" customHeight="1">
      <c r="A960" s="652" t="s">
        <v>1097</v>
      </c>
      <c r="B960" s="3035">
        <f t="shared" ref="B960:K960" si="409">SUM(B952:B959)</f>
        <v>37640.005601038458</v>
      </c>
      <c r="C960" s="3035">
        <f t="shared" si="409"/>
        <v>35583.65782041155</v>
      </c>
      <c r="D960" s="3035">
        <f t="shared" si="409"/>
        <v>33316.547680228628</v>
      </c>
      <c r="E960" s="3035">
        <f t="shared" si="409"/>
        <v>30828.641871179803</v>
      </c>
      <c r="F960" s="3035">
        <f t="shared" si="409"/>
        <v>28111.573475906363</v>
      </c>
      <c r="G960" s="3035">
        <f t="shared" si="409"/>
        <v>25153.630708581913</v>
      </c>
      <c r="H960" s="3035">
        <f t="shared" si="409"/>
        <v>21945.745291642233</v>
      </c>
      <c r="I960" s="3035">
        <f t="shared" si="409"/>
        <v>18476.480458265869</v>
      </c>
      <c r="J960" s="3035">
        <f t="shared" si="409"/>
        <v>14735.018568881147</v>
      </c>
      <c r="K960" s="3035">
        <f t="shared" si="409"/>
        <v>10710.148329588061</v>
      </c>
      <c r="N960" s="2846"/>
      <c r="O960" s="2846"/>
      <c r="Z960" s="2751" t="s">
        <v>6469</v>
      </c>
      <c r="AA960" s="2671">
        <v>65</v>
      </c>
    </row>
    <row r="961" spans="1:27" s="652" customFormat="1" ht="13.4" customHeight="1">
      <c r="A961" s="652" t="str">
        <f>$A929</f>
        <v>DCR Mortgage A</v>
      </c>
      <c r="B961" s="3037">
        <f t="shared" ref="B961:K961" si="410">IF(B953=0,"",-B952/B953)</f>
        <v>1.3190472190217215</v>
      </c>
      <c r="C961" s="3037">
        <f t="shared" si="410"/>
        <v>1.3040134894950026</v>
      </c>
      <c r="D961" s="3037">
        <f t="shared" si="410"/>
        <v>1.2874388998385775</v>
      </c>
      <c r="E961" s="3037">
        <f t="shared" si="410"/>
        <v>1.2692500976458911</v>
      </c>
      <c r="F961" s="3037">
        <f t="shared" si="410"/>
        <v>1.2493859133162912</v>
      </c>
      <c r="G961" s="3037">
        <f t="shared" si="410"/>
        <v>1.2277607232884096</v>
      </c>
      <c r="H961" s="3037">
        <f t="shared" si="410"/>
        <v>1.2043082303952697</v>
      </c>
      <c r="I961" s="3037">
        <f t="shared" si="410"/>
        <v>1.1789448217088085</v>
      </c>
      <c r="J961" s="3037">
        <f t="shared" si="410"/>
        <v>1.1515914106713099</v>
      </c>
      <c r="K961" s="3037">
        <f t="shared" si="410"/>
        <v>1.1221660327621192</v>
      </c>
      <c r="N961" s="2846"/>
      <c r="O961" s="2846"/>
      <c r="Z961" s="2751" t="s">
        <v>6469</v>
      </c>
      <c r="AA961" s="2671">
        <v>66</v>
      </c>
    </row>
    <row r="962" spans="1:27" s="652" customFormat="1" ht="13.4"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4"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4"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4" customHeight="1">
      <c r="A965" s="652" t="s">
        <v>3216</v>
      </c>
      <c r="B965" s="3037">
        <f t="shared" ref="B965:K965" si="414">IF(AND(B953=0,B954=0,B955=0,B956=0),"",-B952/(B953+B954+B955+B956))</f>
        <v>1.3190472190217215</v>
      </c>
      <c r="C965" s="3037">
        <f t="shared" si="414"/>
        <v>1.3040134894950026</v>
      </c>
      <c r="D965" s="3037">
        <f t="shared" si="414"/>
        <v>1.2874388998385775</v>
      </c>
      <c r="E965" s="3037">
        <f t="shared" si="414"/>
        <v>1.2692500976458911</v>
      </c>
      <c r="F965" s="3037">
        <f t="shared" si="414"/>
        <v>1.2493859133162912</v>
      </c>
      <c r="G965" s="3037">
        <f t="shared" si="414"/>
        <v>1.2277607232884096</v>
      </c>
      <c r="H965" s="3037">
        <f t="shared" si="414"/>
        <v>1.2043082303952697</v>
      </c>
      <c r="I965" s="3037">
        <f t="shared" si="414"/>
        <v>1.1789448217088085</v>
      </c>
      <c r="J965" s="3037">
        <f t="shared" si="414"/>
        <v>1.1515914106713099</v>
      </c>
      <c r="K965" s="3037">
        <f t="shared" si="414"/>
        <v>1.1221660327621192</v>
      </c>
      <c r="N965" s="2846"/>
      <c r="O965" s="2846"/>
      <c r="Z965" s="2751" t="s">
        <v>6469</v>
      </c>
      <c r="AA965" s="2671">
        <v>70</v>
      </c>
    </row>
    <row r="966" spans="1:27" s="652" customFormat="1" ht="13.4" customHeight="1">
      <c r="A966" s="652" t="s">
        <v>718</v>
      </c>
      <c r="B966" s="3038">
        <f>'Part VI-Pro Forma'!B71</f>
        <v>1.2996115498989946</v>
      </c>
      <c r="C966" s="3038">
        <f>'Part VI-Pro Forma'!C71</f>
        <v>1.2877353120169108</v>
      </c>
      <c r="D966" s="3038">
        <f>'Part VI-Pro Forma'!D71</f>
        <v>1.2759615027956024</v>
      </c>
      <c r="E966" s="3038">
        <f>'Part VI-Pro Forma'!E71</f>
        <v>1.2642879291133813</v>
      </c>
      <c r="F966" s="3038">
        <f>'Part VI-Pro Forma'!F71</f>
        <v>1.2527163277922078</v>
      </c>
      <c r="G966" s="3038">
        <f>'Part VI-Pro Forma'!G71</f>
        <v>1.2412427346548118</v>
      </c>
      <c r="H966" s="3038">
        <f>'Part VI-Pro Forma'!H71</f>
        <v>1.2298688166863452</v>
      </c>
      <c r="I966" s="3038">
        <f>'Part VI-Pro Forma'!I71</f>
        <v>1.2185926024148317</v>
      </c>
      <c r="J966" s="3038">
        <f>'Part VI-Pro Forma'!J71</f>
        <v>1.2074139015843806</v>
      </c>
      <c r="K966" s="3038">
        <f>'Part VI-Pro Forma'!K71</f>
        <v>1.1963324586439175</v>
      </c>
      <c r="N966" s="2846"/>
      <c r="O966" s="2846"/>
      <c r="Z966" s="2751" t="s">
        <v>6469</v>
      </c>
      <c r="AA966" s="2671">
        <v>71</v>
      </c>
    </row>
    <row r="967" spans="1:27" s="652" customFormat="1" ht="13.4" customHeight="1">
      <c r="A967" s="652" t="s">
        <v>2406</v>
      </c>
      <c r="B967" s="3036">
        <f>'Part VI-Pro Forma'!B72</f>
        <v>1980484.8077995249</v>
      </c>
      <c r="C967" s="3036">
        <f>'Part VI-Pro Forma'!C72</f>
        <v>1951916.1606084136</v>
      </c>
      <c r="D967" s="3036">
        <f>'Part VI-Pro Forma'!D72</f>
        <v>1921736.0171551427</v>
      </c>
      <c r="E967" s="3036">
        <f>'Part VI-Pro Forma'!E72</f>
        <v>1889853.4763835443</v>
      </c>
      <c r="F967" s="3036">
        <f>'Part VI-Pro Forma'!F72</f>
        <v>1856172.5097033654</v>
      </c>
      <c r="G967" s="3036">
        <f>'Part VI-Pro Forma'!G72</f>
        <v>1820591.671757041</v>
      </c>
      <c r="H967" s="3036">
        <f>'Part VI-Pro Forma'!H72</f>
        <v>1783003.7948714399</v>
      </c>
      <c r="I967" s="3036">
        <f>'Part VI-Pro Forma'!I72</f>
        <v>1743295.6662742873</v>
      </c>
      <c r="J967" s="3036">
        <f>'Part VI-Pro Forma'!J72</f>
        <v>1701347.6871030554</v>
      </c>
      <c r="K967" s="3036">
        <f>'Part VI-Pro Forma'!K72</f>
        <v>1657033.5121792774</v>
      </c>
      <c r="N967" s="2846"/>
      <c r="O967" s="2846"/>
      <c r="Z967" s="2751" t="s">
        <v>6469</v>
      </c>
      <c r="AA967" s="2671">
        <v>72</v>
      </c>
    </row>
    <row r="968" spans="1:27" s="652" customFormat="1" ht="13.4"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4"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4"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4" customHeight="1">
      <c r="A971" s="652" t="s">
        <v>3365</v>
      </c>
      <c r="B971" s="3036">
        <f>'Part VI-Pro Forma'!B76</f>
        <v>42488.309937889084</v>
      </c>
      <c r="C971" s="3036">
        <f>'Part VI-Pro Forma'!C76</f>
        <v>45108.895924678669</v>
      </c>
      <c r="D971" s="3036">
        <f>'Part VI-Pro Forma'!D76</f>
        <v>47891.113920936201</v>
      </c>
      <c r="E971" s="3036">
        <f>'Part VI-Pro Forma'!E76</f>
        <v>50844.933035332928</v>
      </c>
      <c r="F971" s="3036">
        <f>'Part VI-Pro Forma'!F76</f>
        <v>53980.937249349168</v>
      </c>
      <c r="G971" s="3036">
        <f>'Part VI-Pro Forma'!G76</f>
        <v>57310.363341283781</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4000000000000004" customHeight="1">
      <c r="B972" s="3035"/>
      <c r="C972" s="3035"/>
      <c r="D972" s="3035"/>
      <c r="E972" s="3035"/>
      <c r="F972" s="3035"/>
      <c r="G972" s="3035"/>
      <c r="H972" s="3035"/>
      <c r="I972" s="3035"/>
      <c r="J972" s="3035"/>
      <c r="K972" s="3035"/>
      <c r="Z972" s="2751"/>
      <c r="AA972" s="2671">
        <v>77</v>
      </c>
    </row>
    <row r="973" spans="1:27" s="652" customFormat="1" ht="1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4" customHeight="1">
      <c r="A974" s="652" t="s">
        <v>2216</v>
      </c>
      <c r="B974" s="3035">
        <f>'Part VI-Pro Forma'!B79</f>
        <v>1005689.1975981501</v>
      </c>
      <c r="C974" s="3035">
        <f>'Part VI-Pro Forma'!C79</f>
        <v>1025802.9815501131</v>
      </c>
      <c r="D974" s="3035">
        <f>'Part VI-Pro Forma'!D79</f>
        <v>1046319.0411811154</v>
      </c>
      <c r="E974" s="3035">
        <f>'Part VI-Pro Forma'!E79</f>
        <v>1067245.4220047374</v>
      </c>
      <c r="F974" s="3035">
        <f>'Part VI-Pro Forma'!F79</f>
        <v>1088590.3304448323</v>
      </c>
      <c r="G974" s="3035">
        <f>'Part VI-Pro Forma'!G79</f>
        <v>1110362.137053729</v>
      </c>
      <c r="H974" s="3035">
        <f>'Part VI-Pro Forma'!H79</f>
        <v>1132569.3797948037</v>
      </c>
      <c r="I974" s="3035">
        <f>'Part VI-Pro Forma'!I79</f>
        <v>1155220.7673906996</v>
      </c>
      <c r="J974" s="3035">
        <f>'Part VI-Pro Forma'!J79</f>
        <v>1178325.1827385137</v>
      </c>
      <c r="K974" s="3035">
        <f>'Part VI-Pro Forma'!K79</f>
        <v>1201891.6863932838</v>
      </c>
      <c r="N974" s="2846"/>
      <c r="O974" s="2846"/>
      <c r="Z974" s="2751" t="s">
        <v>6470</v>
      </c>
      <c r="AA974" s="2671">
        <v>79</v>
      </c>
    </row>
    <row r="975" spans="1:27" s="652" customFormat="1" ht="13.4" customHeight="1">
      <c r="A975" s="652" t="s">
        <v>953</v>
      </c>
      <c r="B975" s="3035">
        <f>'Part VI-Pro Forma'!B80</f>
        <v>20113.783951963003</v>
      </c>
      <c r="C975" s="3035">
        <f>'Part VI-Pro Forma'!C80</f>
        <v>20516.059631002263</v>
      </c>
      <c r="D975" s="3035">
        <f>'Part VI-Pro Forma'!D80</f>
        <v>20926.380823622309</v>
      </c>
      <c r="E975" s="3035">
        <f>'Part VI-Pro Forma'!E80</f>
        <v>21344.90844009475</v>
      </c>
      <c r="F975" s="3035">
        <f>'Part VI-Pro Forma'!F80</f>
        <v>21771.806608896644</v>
      </c>
      <c r="G975" s="3035">
        <f>'Part VI-Pro Forma'!G80</f>
        <v>22207.24274107458</v>
      </c>
      <c r="H975" s="3035">
        <f>'Part VI-Pro Forma'!H80</f>
        <v>22651.387595896074</v>
      </c>
      <c r="I975" s="3035">
        <f>'Part VI-Pro Forma'!I80</f>
        <v>23104.415347813989</v>
      </c>
      <c r="J975" s="3035">
        <f>'Part VI-Pro Forma'!J80</f>
        <v>23566.503654770277</v>
      </c>
      <c r="K975" s="3035">
        <f>'Part VI-Pro Forma'!K80</f>
        <v>24037.833727865676</v>
      </c>
      <c r="N975" s="2846"/>
      <c r="O975" s="2846"/>
      <c r="Z975" s="2751" t="s">
        <v>6470</v>
      </c>
      <c r="AA975" s="2671">
        <v>80</v>
      </c>
    </row>
    <row r="976" spans="1:27" s="652" customFormat="1" ht="13.4" customHeight="1">
      <c r="A976" s="652" t="s">
        <v>2217</v>
      </c>
      <c r="B976" s="3035">
        <f>'Part VI-Pro Forma'!B81</f>
        <v>-71806.208708507926</v>
      </c>
      <c r="C976" s="3035">
        <f>'Part VI-Pro Forma'!C81</f>
        <v>-73242.332882678078</v>
      </c>
      <c r="D976" s="3035">
        <f>'Part VI-Pro Forma'!D81</f>
        <v>-74707.17954033165</v>
      </c>
      <c r="E976" s="3035">
        <f>'Part VI-Pro Forma'!E81</f>
        <v>-76201.323131138255</v>
      </c>
      <c r="F976" s="3035">
        <f>'Part VI-Pro Forma'!F81</f>
        <v>-77725.349593761042</v>
      </c>
      <c r="G976" s="3035">
        <f>'Part VI-Pro Forma'!G81</f>
        <v>-79279.856585636269</v>
      </c>
      <c r="H976" s="3035">
        <f>'Part VI-Pro Forma'!H81</f>
        <v>-80865.453717348995</v>
      </c>
      <c r="I976" s="3035">
        <f>'Part VI-Pro Forma'!I81</f>
        <v>-82482.762791695961</v>
      </c>
      <c r="J976" s="3035">
        <f>'Part VI-Pro Forma'!J81</f>
        <v>-84132.418047529893</v>
      </c>
      <c r="K976" s="3035">
        <f>'Part VI-Pro Forma'!K81</f>
        <v>-85815.066408480474</v>
      </c>
      <c r="N976" s="2846"/>
      <c r="O976" s="2846"/>
      <c r="Z976" s="2751" t="s">
        <v>6470</v>
      </c>
      <c r="AA976" s="2671">
        <v>81</v>
      </c>
    </row>
    <row r="977" spans="1:27" s="652" customFormat="1" ht="13.4"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4"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4" customHeight="1">
      <c r="A979" s="652" t="s">
        <v>3842</v>
      </c>
      <c r="B979" s="3035">
        <f>SUM(B974:B978)</f>
        <v>953996.77284160512</v>
      </c>
      <c r="C979" s="3035">
        <f t="shared" ref="C979" si="416">SUM(C974:C978)</f>
        <v>973076.7082984373</v>
      </c>
      <c r="D979" s="3035">
        <f t="shared" ref="D979" si="417">SUM(D974:D978)</f>
        <v>992538.24246440595</v>
      </c>
      <c r="E979" s="3035">
        <f t="shared" ref="E979" si="418">SUM(E974:E978)</f>
        <v>1012389.0073136939</v>
      </c>
      <c r="F979" s="3035">
        <f t="shared" ref="F979" si="419">SUM(F974:F978)</f>
        <v>1032636.787459968</v>
      </c>
      <c r="G979" s="3035">
        <f t="shared" ref="G979" si="420">SUM(G974:G978)</f>
        <v>1053289.5232091674</v>
      </c>
      <c r="H979" s="3035">
        <f t="shared" ref="H979" si="421">SUM(H974:H978)</f>
        <v>1074355.3136733507</v>
      </c>
      <c r="I979" s="3035">
        <f t="shared" ref="I979" si="422">SUM(I974:I978)</f>
        <v>1095842.4199468177</v>
      </c>
      <c r="J979" s="3035">
        <f t="shared" ref="J979" si="423">SUM(J974:J978)</f>
        <v>1117759.2683457541</v>
      </c>
      <c r="K979" s="3035">
        <f t="shared" ref="K979" si="424">SUM(K974:K978)</f>
        <v>1140114.453712669</v>
      </c>
      <c r="N979" s="2846"/>
      <c r="O979" s="2846"/>
      <c r="Z979" s="2751" t="s">
        <v>6470</v>
      </c>
      <c r="AA979" s="2671">
        <v>84</v>
      </c>
    </row>
    <row r="980" spans="1:27" s="652" customFormat="1" ht="13.4" customHeight="1">
      <c r="A980" s="652" t="s">
        <v>572</v>
      </c>
      <c r="B980" s="3035">
        <f>'Part VI-Pro Forma'!B85</f>
        <v>-734171.57411447377</v>
      </c>
      <c r="C980" s="3035">
        <f>'Part VI-Pro Forma'!C85</f>
        <v>-756196.72133790795</v>
      </c>
      <c r="D980" s="3035">
        <f>'Part VI-Pro Forma'!D85</f>
        <v>-778882.62297804526</v>
      </c>
      <c r="E980" s="3035">
        <f>'Part VI-Pro Forma'!E85</f>
        <v>-802249.1016673866</v>
      </c>
      <c r="F980" s="3035">
        <f>'Part VI-Pro Forma'!F85</f>
        <v>-826316.57471740816</v>
      </c>
      <c r="G980" s="3035">
        <f>'Part VI-Pro Forma'!G85</f>
        <v>-851106.07195893035</v>
      </c>
      <c r="H980" s="3035">
        <f>'Part VI-Pro Forma'!H85</f>
        <v>-876639.25411769841</v>
      </c>
      <c r="I980" s="3035">
        <f>'Part VI-Pro Forma'!I85</f>
        <v>-902938.43174122926</v>
      </c>
      <c r="J980" s="3035">
        <f>'Part VI-Pro Forma'!J85</f>
        <v>-930026.58469346608</v>
      </c>
      <c r="K980" s="3035">
        <f>'Part VI-Pro Forma'!K85</f>
        <v>-957927.38223426999</v>
      </c>
      <c r="N980" s="2846"/>
      <c r="O980" s="2846"/>
      <c r="Z980" s="2751" t="s">
        <v>6470</v>
      </c>
      <c r="AA980" s="2671">
        <v>85</v>
      </c>
    </row>
    <row r="981" spans="1:27" s="652" customFormat="1" ht="13.4" customHeight="1">
      <c r="A981" s="652" t="s">
        <v>1051</v>
      </c>
      <c r="B981" s="3035">
        <f>'Part VI-Pro Forma'!B86</f>
        <v>-43562</v>
      </c>
      <c r="C981" s="3035">
        <f>'Part VI-Pro Forma'!C86</f>
        <v>-44434</v>
      </c>
      <c r="D981" s="3035">
        <f>'Part VI-Pro Forma'!D86</f>
        <v>-45322</v>
      </c>
      <c r="E981" s="3035">
        <f>'Part VI-Pro Forma'!E86</f>
        <v>-46229</v>
      </c>
      <c r="F981" s="3035">
        <f>'Part VI-Pro Forma'!F86</f>
        <v>-47153</v>
      </c>
      <c r="G981" s="3035">
        <f>'Part VI-Pro Forma'!G86</f>
        <v>-48096</v>
      </c>
      <c r="H981" s="3035">
        <f>'Part VI-Pro Forma'!H86</f>
        <v>-49058</v>
      </c>
      <c r="I981" s="3035">
        <f>'Part VI-Pro Forma'!I86</f>
        <v>-50039</v>
      </c>
      <c r="J981" s="3035">
        <f>'Part VI-Pro Forma'!J86</f>
        <v>-51040</v>
      </c>
      <c r="K981" s="3035">
        <f>'Part VI-Pro Forma'!K86</f>
        <v>-52061</v>
      </c>
      <c r="N981" s="2846"/>
      <c r="O981" s="2846"/>
      <c r="Z981" s="2751" t="s">
        <v>6470</v>
      </c>
      <c r="AA981" s="2671">
        <v>86</v>
      </c>
    </row>
    <row r="982" spans="1:27" s="652" customFormat="1" ht="13.4" customHeight="1">
      <c r="A982" s="652" t="s">
        <v>1129</v>
      </c>
      <c r="B982" s="3035">
        <f>'Part VI-Pro Forma'!B87</f>
        <v>-27091.668520041199</v>
      </c>
      <c r="C982" s="3035">
        <f>'Part VI-Pro Forma'!C87</f>
        <v>-27904.41857564243</v>
      </c>
      <c r="D982" s="3035">
        <f>'Part VI-Pro Forma'!D87</f>
        <v>-28741.551132911707</v>
      </c>
      <c r="E982" s="3035">
        <f>'Part VI-Pro Forma'!E87</f>
        <v>-29603.79766689906</v>
      </c>
      <c r="F982" s="3035">
        <f>'Part VI-Pro Forma'!F87</f>
        <v>-30491.911596906026</v>
      </c>
      <c r="G982" s="3035">
        <f>'Part VI-Pro Forma'!G87</f>
        <v>-31406.668944813209</v>
      </c>
      <c r="H982" s="3035">
        <f>'Part VI-Pro Forma'!H87</f>
        <v>-32348.869013157608</v>
      </c>
      <c r="I982" s="3035">
        <f>'Part VI-Pro Forma'!I87</f>
        <v>-33319.335083552331</v>
      </c>
      <c r="J982" s="3035">
        <f>'Part VI-Pro Forma'!J87</f>
        <v>-34318.915136058902</v>
      </c>
      <c r="K982" s="3035">
        <f>'Part VI-Pro Forma'!K87</f>
        <v>-35348.482590140666</v>
      </c>
      <c r="N982" s="2846"/>
      <c r="O982" s="2846"/>
      <c r="Q982" s="2671">
        <v>10</v>
      </c>
      <c r="R982" s="2948">
        <f>-SUM(B988:K988)</f>
        <v>0</v>
      </c>
      <c r="S982" s="2948">
        <f>SUM(B989:K989)+R982</f>
        <v>0</v>
      </c>
      <c r="Z982" s="2751" t="s">
        <v>6470</v>
      </c>
      <c r="AA982" s="2671">
        <v>87</v>
      </c>
    </row>
    <row r="983" spans="1:27" s="652" customFormat="1" ht="13.4"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4" customHeight="1">
      <c r="A984" s="652" t="s">
        <v>1130</v>
      </c>
      <c r="B984" s="3035">
        <f>SUM(B979:B983)</f>
        <v>149171.53020709017</v>
      </c>
      <c r="C984" s="3035">
        <f t="shared" ref="C984" si="425">SUM(C979:C983)</f>
        <v>144541.56838488692</v>
      </c>
      <c r="D984" s="3035">
        <f t="shared" ref="D984" si="426">SUM(D979:D983)</f>
        <v>139592.06835344899</v>
      </c>
      <c r="E984" s="3035">
        <f t="shared" ref="E984" si="427">SUM(E979:E983)</f>
        <v>134307.10797940823</v>
      </c>
      <c r="F984" s="3035">
        <f t="shared" ref="F984" si="428">SUM(F979:F983)</f>
        <v>128675.30114565382</v>
      </c>
      <c r="G984" s="3035">
        <f t="shared" ref="G984" si="429">SUM(G979:G983)</f>
        <v>122680.78230542385</v>
      </c>
      <c r="H984" s="3035">
        <f t="shared" ref="H984" si="430">SUM(H979:H983)</f>
        <v>116309.1905424947</v>
      </c>
      <c r="I984" s="3035">
        <f t="shared" ref="I984" si="431">SUM(I979:I983)</f>
        <v>109545.65312203609</v>
      </c>
      <c r="J984" s="3035">
        <f t="shared" ref="J984" si="432">SUM(J979:J983)</f>
        <v>102373.76851622915</v>
      </c>
      <c r="K984" s="3035">
        <f t="shared" ref="K984" si="433">SUM(K979:K983)</f>
        <v>94777.588888258324</v>
      </c>
      <c r="N984" s="2846"/>
      <c r="O984" s="2846"/>
      <c r="Z984" s="2751" t="s">
        <v>6470</v>
      </c>
      <c r="AA984" s="2671">
        <v>89</v>
      </c>
    </row>
    <row r="985" spans="1:27" s="652" customFormat="1" ht="13.4" customHeight="1">
      <c r="A985" s="652" t="str">
        <f>$A953</f>
        <v>Mortgage A</v>
      </c>
      <c r="B985" s="3036">
        <f>'Part VI-Pro Forma'!B90</f>
        <v>-136782.27860706521</v>
      </c>
      <c r="C985" s="3036">
        <f>'Part VI-Pro Forma'!C90</f>
        <v>-136782.27860706521</v>
      </c>
      <c r="D985" s="3036">
        <f>'Part VI-Pro Forma'!D90</f>
        <v>-136782.27860706521</v>
      </c>
      <c r="E985" s="3036">
        <f>'Part VI-Pro Forma'!E90</f>
        <v>-136782.27860706521</v>
      </c>
      <c r="F985" s="3036">
        <f>'Part VI-Pro Forma'!F90</f>
        <v>-136782.27860706521</v>
      </c>
      <c r="G985" s="3036">
        <f>'Part VI-Pro Forma'!G90</f>
        <v>-136782.27860706521</v>
      </c>
      <c r="H985" s="3036">
        <f>'Part VI-Pro Forma'!H90</f>
        <v>-136782.27860706521</v>
      </c>
      <c r="I985" s="3036">
        <f>'Part VI-Pro Forma'!I90</f>
        <v>-136782.27860706521</v>
      </c>
      <c r="J985" s="3036">
        <f>'Part VI-Pro Forma'!J90</f>
        <v>-136782.27860706521</v>
      </c>
      <c r="K985" s="3036">
        <f>'Part VI-Pro Forma'!K90</f>
        <v>-136782.27860706521</v>
      </c>
      <c r="N985" s="2846"/>
      <c r="O985" s="2846"/>
      <c r="Z985" s="2751" t="s">
        <v>6470</v>
      </c>
      <c r="AA985" s="2671">
        <v>90</v>
      </c>
    </row>
    <row r="986" spans="1:27" s="652" customFormat="1" ht="13.4"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4"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4"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4"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4" customHeight="1">
      <c r="A990" s="652" t="s">
        <v>1096</v>
      </c>
      <c r="B990" s="3036">
        <f>'Part VI-Pro Forma'!B95</f>
        <v>-6000</v>
      </c>
      <c r="C990" s="3036">
        <f>'Part VI-Pro Forma'!C95</f>
        <v>-6000</v>
      </c>
      <c r="D990" s="3036">
        <f>'Part VI-Pro Forma'!D95</f>
        <v>-6000</v>
      </c>
      <c r="E990" s="3036">
        <f>'Part VI-Pro Forma'!E95</f>
        <v>-6000</v>
      </c>
      <c r="F990" s="3036">
        <f>'Part VI-Pro Forma'!F95</f>
        <v>-6000</v>
      </c>
      <c r="G990" s="3036">
        <f>'Part VI-Pro Forma'!G95</f>
        <v>-6000</v>
      </c>
      <c r="H990" s="3036">
        <f>'Part VI-Pro Forma'!H95</f>
        <v>-6000</v>
      </c>
      <c r="I990" s="3036">
        <f>'Part VI-Pro Forma'!I95</f>
        <v>-6000</v>
      </c>
      <c r="J990" s="3036">
        <f>'Part VI-Pro Forma'!J95</f>
        <v>-6000</v>
      </c>
      <c r="K990" s="3036">
        <f>'Part VI-Pro Forma'!K95</f>
        <v>-6000</v>
      </c>
      <c r="N990" s="2846"/>
      <c r="O990" s="2846"/>
      <c r="Z990" s="2751" t="s">
        <v>6470</v>
      </c>
      <c r="AA990" s="2671">
        <v>95</v>
      </c>
    </row>
    <row r="991" spans="1:27" s="652" customFormat="1" ht="13.4" customHeight="1">
      <c r="A991" s="652" t="s">
        <v>1097</v>
      </c>
      <c r="B991" s="3035">
        <f t="shared" ref="B991:K991" si="434">SUM(B984:B990)</f>
        <v>6389.2516000249598</v>
      </c>
      <c r="C991" s="3035">
        <f t="shared" si="434"/>
        <v>1759.2897778217157</v>
      </c>
      <c r="D991" s="3035">
        <f t="shared" si="434"/>
        <v>-3190.2102536162129</v>
      </c>
      <c r="E991" s="3035">
        <f t="shared" si="434"/>
        <v>-8475.1706276569748</v>
      </c>
      <c r="F991" s="3035">
        <f t="shared" si="434"/>
        <v>-14106.977461411385</v>
      </c>
      <c r="G991" s="3035">
        <f t="shared" si="434"/>
        <v>-20101.496301641353</v>
      </c>
      <c r="H991" s="3035">
        <f t="shared" si="434"/>
        <v>-26473.088064570504</v>
      </c>
      <c r="I991" s="3035">
        <f t="shared" si="434"/>
        <v>-33236.625485029115</v>
      </c>
      <c r="J991" s="3035">
        <f t="shared" si="434"/>
        <v>-40408.510090836062</v>
      </c>
      <c r="K991" s="3035">
        <f t="shared" si="434"/>
        <v>-48004.689718806883</v>
      </c>
      <c r="N991" s="2846"/>
      <c r="O991" s="2846"/>
      <c r="Z991" s="2751" t="s">
        <v>6470</v>
      </c>
      <c r="AA991" s="2857">
        <v>96</v>
      </c>
    </row>
    <row r="992" spans="1:27" s="652" customFormat="1" ht="13.4" customHeight="1">
      <c r="A992" s="652" t="str">
        <f>$A961</f>
        <v>DCR Mortgage A</v>
      </c>
      <c r="B992" s="3037">
        <f t="shared" ref="B992:K992" si="435">IF(B985=0,"",-B984/B985)</f>
        <v>1.0905764381628382</v>
      </c>
      <c r="C992" s="3037">
        <f t="shared" si="435"/>
        <v>1.0567273031041677</v>
      </c>
      <c r="D992" s="3037">
        <f t="shared" si="435"/>
        <v>1.0205420597974937</v>
      </c>
      <c r="E992" s="3037">
        <f t="shared" si="435"/>
        <v>0.98190430329964451</v>
      </c>
      <c r="F992" s="3037">
        <f t="shared" si="435"/>
        <v>0.94073079097694867</v>
      </c>
      <c r="G992" s="3037">
        <f t="shared" si="435"/>
        <v>0.89690553158460862</v>
      </c>
      <c r="H992" s="3037">
        <f t="shared" si="435"/>
        <v>0.85032353406406103</v>
      </c>
      <c r="I992" s="3037">
        <f t="shared" si="435"/>
        <v>0.80087606550793144</v>
      </c>
      <c r="J992" s="3037">
        <f t="shared" si="435"/>
        <v>0.74844321617362819</v>
      </c>
      <c r="K992" s="3037">
        <f t="shared" si="435"/>
        <v>0.69290839320293929</v>
      </c>
      <c r="N992" s="2846"/>
      <c r="O992" s="2846"/>
      <c r="Z992" s="2751" t="s">
        <v>6470</v>
      </c>
      <c r="AA992" s="2671">
        <v>97</v>
      </c>
    </row>
    <row r="993" spans="1:27" s="652" customFormat="1" ht="13.4"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4"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4"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4" customHeight="1">
      <c r="A996" s="652" t="s">
        <v>3216</v>
      </c>
      <c r="B996" s="3037">
        <f t="shared" ref="B996:K996" si="439">IF(AND(B985=0,B986=0,B987=0,B988=0),"",-B984/(B985+B986+B987+B988))</f>
        <v>1.0905764381628382</v>
      </c>
      <c r="C996" s="3037">
        <f t="shared" si="439"/>
        <v>1.0567273031041677</v>
      </c>
      <c r="D996" s="3037">
        <f t="shared" si="439"/>
        <v>1.0205420597974937</v>
      </c>
      <c r="E996" s="3037">
        <f t="shared" si="439"/>
        <v>0.98190430329964451</v>
      </c>
      <c r="F996" s="3037">
        <f t="shared" si="439"/>
        <v>0.94073079097694867</v>
      </c>
      <c r="G996" s="3037">
        <f t="shared" si="439"/>
        <v>0.89690553158460862</v>
      </c>
      <c r="H996" s="3037">
        <f t="shared" si="439"/>
        <v>0.85032353406406103</v>
      </c>
      <c r="I996" s="3037">
        <f t="shared" si="439"/>
        <v>0.80087606550793144</v>
      </c>
      <c r="J996" s="3037">
        <f t="shared" si="439"/>
        <v>0.74844321617362819</v>
      </c>
      <c r="K996" s="3037">
        <f t="shared" si="439"/>
        <v>0.69290839320293929</v>
      </c>
      <c r="N996" s="2846"/>
      <c r="O996" s="2846"/>
      <c r="Z996" s="2751" t="s">
        <v>6470</v>
      </c>
      <c r="AA996" s="2671">
        <v>101</v>
      </c>
    </row>
    <row r="997" spans="1:27" s="652" customFormat="1" ht="13.4" customHeight="1">
      <c r="A997" s="652" t="s">
        <v>718</v>
      </c>
      <c r="B997" s="3038">
        <f>IF(OR(B981="Choose mgt fee",B981="Choose One!"),"",(B974+B975+B976+B977+B978) / -(B980+B981+B982))</f>
        <v>1.1853464855535496</v>
      </c>
      <c r="C997" s="3038">
        <f t="shared" ref="C997:K997" si="440">IF(OR(C981="Choose mgt fee",C981="Choose One!"),"",(C974+C975+C976+C977+C978) / -(C980+C981+C982))</f>
        <v>1.1744543609821649</v>
      </c>
      <c r="D997" s="3038">
        <f t="shared" si="440"/>
        <v>1.1636587074195492</v>
      </c>
      <c r="E997" s="3038">
        <f t="shared" si="440"/>
        <v>1.152955103710978</v>
      </c>
      <c r="F997" s="3038">
        <f t="shared" si="440"/>
        <v>1.1423459993525791</v>
      </c>
      <c r="G997" s="3038">
        <f t="shared" si="440"/>
        <v>1.1318285299859581</v>
      </c>
      <c r="H997" s="3038">
        <f t="shared" si="440"/>
        <v>1.1214024959074007</v>
      </c>
      <c r="I997" s="3038">
        <f t="shared" si="440"/>
        <v>1.1110676388757719</v>
      </c>
      <c r="J997" s="3038">
        <f t="shared" si="440"/>
        <v>1.1008225629905262</v>
      </c>
      <c r="K997" s="3038">
        <f t="shared" si="440"/>
        <v>1.0906670300048955</v>
      </c>
      <c r="N997" s="2846"/>
      <c r="O997" s="2846"/>
      <c r="Z997" s="2751" t="s">
        <v>6470</v>
      </c>
      <c r="AA997" s="2671">
        <v>102</v>
      </c>
    </row>
    <row r="998" spans="1:27" s="652" customFormat="1" ht="13.4" customHeight="1">
      <c r="A998" s="652" t="s">
        <v>2406</v>
      </c>
      <c r="B998" s="3036">
        <f>'Part VI-Pro Forma'!B103</f>
        <v>1610219.6694632987</v>
      </c>
      <c r="C998" s="3036">
        <f>'Part VI-Pro Forma'!C103</f>
        <v>1560765.1580432868</v>
      </c>
      <c r="D998" s="3036">
        <f>'Part VI-Pro Forma'!D103</f>
        <v>1508521.02344766</v>
      </c>
      <c r="E998" s="3036">
        <f>'Part VI-Pro Forma'!E103</f>
        <v>1453329.9090018</v>
      </c>
      <c r="F998" s="3036">
        <f>'Part VI-Pro Forma'!F103</f>
        <v>1395025.5818777557</v>
      </c>
      <c r="G998" s="3036">
        <f>'Part VI-Pro Forma'!G103</f>
        <v>1333432.4324094257</v>
      </c>
      <c r="H998" s="3036">
        <f>'Part VI-Pro Forma'!H103</f>
        <v>1268364.9451651808</v>
      </c>
      <c r="I998" s="3036">
        <f>'Part VI-Pro Forma'!I103</f>
        <v>1199627.1401848251</v>
      </c>
      <c r="J998" s="3036">
        <f>'Part VI-Pro Forma'!J103</f>
        <v>1127011.982697929</v>
      </c>
      <c r="K998" s="3036">
        <f>'Part VI-Pro Forma'!K103</f>
        <v>1050300.7595456387</v>
      </c>
      <c r="N998" s="2846"/>
      <c r="O998" s="2846"/>
      <c r="Z998" s="2751" t="s">
        <v>6470</v>
      </c>
      <c r="AA998" s="2671">
        <v>103</v>
      </c>
    </row>
    <row r="999" spans="1:27" s="652" customFormat="1" ht="13.4"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4"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4"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4000000000000004" customHeight="1">
      <c r="B1002" s="3035"/>
      <c r="C1002" s="3035"/>
      <c r="D1002" s="3035"/>
      <c r="E1002" s="3035"/>
      <c r="F1002" s="3035"/>
      <c r="G1002" s="3035"/>
      <c r="H1002" s="3035"/>
      <c r="I1002" s="3035"/>
      <c r="J1002" s="3035"/>
      <c r="K1002" s="3035"/>
      <c r="Z1002" s="2751"/>
      <c r="AA1002" s="2671">
        <v>107</v>
      </c>
    </row>
    <row r="1003" spans="1:27" s="652" customFormat="1" ht="1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4" customHeight="1">
      <c r="A1004" s="652" t="s">
        <v>2216</v>
      </c>
      <c r="B1004" s="3035">
        <f>'Part VI-Pro Forma'!B109</f>
        <v>1225929.5201211497</v>
      </c>
      <c r="C1004" s="3035">
        <f>'Part VI-Pro Forma'!C109</f>
        <v>1250448.1105235724</v>
      </c>
      <c r="D1004" s="3035">
        <f>'Part VI-Pro Forma'!D109</f>
        <v>1275457.0727340439</v>
      </c>
      <c r="E1004" s="3035">
        <f>'Part VI-Pro Forma'!E109</f>
        <v>1300966.214188725</v>
      </c>
      <c r="F1004" s="3035">
        <f>'Part VI-Pro Forma'!F109</f>
        <v>1326985.5384724995</v>
      </c>
      <c r="G1004" s="3035"/>
      <c r="H1004" s="3035"/>
      <c r="I1004" s="3035"/>
      <c r="J1004" s="3035"/>
      <c r="K1004" s="3035"/>
      <c r="N1004" s="2846"/>
      <c r="O1004" s="2846"/>
      <c r="Z1004" s="2751" t="s">
        <v>6471</v>
      </c>
      <c r="AA1004" s="2671">
        <v>109</v>
      </c>
    </row>
    <row r="1005" spans="1:27" s="652" customFormat="1" ht="13.4" customHeight="1">
      <c r="A1005" s="652" t="s">
        <v>953</v>
      </c>
      <c r="B1005" s="3035">
        <f>'Part VI-Pro Forma'!B110</f>
        <v>24518.590402422993</v>
      </c>
      <c r="C1005" s="3035">
        <f>'Part VI-Pro Forma'!C110</f>
        <v>25008.962210471447</v>
      </c>
      <c r="D1005" s="3035">
        <f>'Part VI-Pro Forma'!D110</f>
        <v>25509.141454680881</v>
      </c>
      <c r="E1005" s="3035">
        <f>'Part VI-Pro Forma'!E110</f>
        <v>26019.324283774502</v>
      </c>
      <c r="F1005" s="3035">
        <f>'Part VI-Pro Forma'!F110</f>
        <v>26539.710769449986</v>
      </c>
      <c r="G1005" s="3035"/>
      <c r="H1005" s="3035"/>
      <c r="I1005" s="3035"/>
      <c r="J1005" s="3035"/>
      <c r="K1005" s="3035"/>
      <c r="N1005" s="2846"/>
      <c r="O1005" s="2846"/>
      <c r="Z1005" s="2751" t="s">
        <v>6471</v>
      </c>
      <c r="AA1005" s="2671">
        <v>110</v>
      </c>
    </row>
    <row r="1006" spans="1:27" s="652" customFormat="1" ht="13.4" customHeight="1">
      <c r="A1006" s="652" t="s">
        <v>2217</v>
      </c>
      <c r="B1006" s="3035">
        <f>'Part VI-Pro Forma'!B111</f>
        <v>-87531.367736650092</v>
      </c>
      <c r="C1006" s="3035">
        <f>'Part VI-Pro Forma'!C111</f>
        <v>-89281.995091383083</v>
      </c>
      <c r="D1006" s="3035">
        <f>'Part VI-Pro Forma'!D111</f>
        <v>-91067.634993210741</v>
      </c>
      <c r="E1006" s="3035">
        <f>'Part VI-Pro Forma'!E111</f>
        <v>-92888.987693074974</v>
      </c>
      <c r="F1006" s="3035">
        <f>'Part VI-Pro Forma'!F111</f>
        <v>-94746.767446936472</v>
      </c>
      <c r="G1006" s="3035"/>
      <c r="H1006" s="3035"/>
      <c r="I1006" s="3035"/>
      <c r="J1006" s="3035"/>
      <c r="K1006" s="3035"/>
      <c r="N1006" s="2846"/>
      <c r="O1006" s="2846"/>
      <c r="Z1006" s="2751" t="s">
        <v>6471</v>
      </c>
      <c r="AA1006" s="2671">
        <v>111</v>
      </c>
    </row>
    <row r="1007" spans="1:27" s="652" customFormat="1" ht="13.4"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4"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4" customHeight="1">
      <c r="A1009" s="652" t="s">
        <v>3842</v>
      </c>
      <c r="B1009" s="3035">
        <f>SUM(B1004:B1008)</f>
        <v>1162916.7427869225</v>
      </c>
      <c r="C1009" s="3035">
        <f t="shared" ref="C1009" si="441">SUM(C1004:C1008)</f>
        <v>1186175.0776426608</v>
      </c>
      <c r="D1009" s="3035">
        <f t="shared" ref="D1009" si="442">SUM(D1004:D1008)</f>
        <v>1209898.5791955141</v>
      </c>
      <c r="E1009" s="3035">
        <f t="shared" ref="E1009" si="443">SUM(E1004:E1008)</f>
        <v>1234096.5507794246</v>
      </c>
      <c r="F1009" s="3035">
        <f t="shared" ref="F1009" si="444">SUM(F1004:F1008)</f>
        <v>1258778.481795013</v>
      </c>
      <c r="G1009" s="3035"/>
      <c r="H1009" s="3035"/>
      <c r="I1009" s="3035"/>
      <c r="J1009" s="3035"/>
      <c r="K1009" s="3035"/>
      <c r="N1009" s="2846"/>
      <c r="O1009" s="2846"/>
      <c r="Z1009" s="2751" t="s">
        <v>6471</v>
      </c>
      <c r="AA1009" s="2671">
        <v>114</v>
      </c>
    </row>
    <row r="1010" spans="1:27" s="652" customFormat="1" ht="13.4" customHeight="1">
      <c r="A1010" s="652" t="s">
        <v>572</v>
      </c>
      <c r="B1010" s="3035">
        <f>'Part VI-Pro Forma'!B115</f>
        <v>-986665.2037012981</v>
      </c>
      <c r="C1010" s="3035">
        <f>'Part VI-Pro Forma'!C115</f>
        <v>-1016265.1598123373</v>
      </c>
      <c r="D1010" s="3035">
        <f>'Part VI-Pro Forma'!D115</f>
        <v>-1046753.1146067071</v>
      </c>
      <c r="E1010" s="3035">
        <f>'Part VI-Pro Forma'!E115</f>
        <v>-1078155.7080449085</v>
      </c>
      <c r="F1010" s="3035">
        <f>'Part VI-Pro Forma'!F115</f>
        <v>-1110500.3792862555</v>
      </c>
      <c r="G1010" s="3035"/>
      <c r="H1010" s="3035"/>
      <c r="I1010" s="3035"/>
      <c r="J1010" s="3035"/>
      <c r="K1010" s="3035"/>
      <c r="N1010" s="2846"/>
      <c r="O1010" s="2846"/>
      <c r="Z1010" s="2751" t="s">
        <v>6471</v>
      </c>
      <c r="AA1010" s="2671">
        <v>115</v>
      </c>
    </row>
    <row r="1011" spans="1:27" s="652" customFormat="1" ht="13.4" customHeight="1">
      <c r="A1011" s="652" t="s">
        <v>1051</v>
      </c>
      <c r="B1011" s="3035">
        <f>'Part VI-Pro Forma'!B116</f>
        <v>-53102</v>
      </c>
      <c r="C1011" s="3035">
        <f>'Part VI-Pro Forma'!C116</f>
        <v>-54164</v>
      </c>
      <c r="D1011" s="3035">
        <f>'Part VI-Pro Forma'!D116</f>
        <v>-55248</v>
      </c>
      <c r="E1011" s="3035">
        <f>'Part VI-Pro Forma'!E116</f>
        <v>-56353</v>
      </c>
      <c r="F1011" s="3035">
        <f>'Part VI-Pro Forma'!F116</f>
        <v>-57480</v>
      </c>
      <c r="G1011" s="3035"/>
      <c r="H1011" s="3035"/>
      <c r="I1011" s="3035"/>
      <c r="J1011" s="3035"/>
      <c r="K1011" s="3035"/>
      <c r="N1011" s="2846"/>
      <c r="O1011" s="2846"/>
      <c r="Z1011" s="2751" t="s">
        <v>6471</v>
      </c>
      <c r="AA1011" s="2671">
        <v>116</v>
      </c>
    </row>
    <row r="1012" spans="1:27" s="652" customFormat="1" ht="13.4" customHeight="1">
      <c r="A1012" s="652" t="s">
        <v>1129</v>
      </c>
      <c r="B1012" s="3035">
        <f>'Part VI-Pro Forma'!B117</f>
        <v>-36408.937067844883</v>
      </c>
      <c r="C1012" s="3035">
        <f>'Part VI-Pro Forma'!C117</f>
        <v>-37501.205179880242</v>
      </c>
      <c r="D1012" s="3035">
        <f>'Part VI-Pro Forma'!D117</f>
        <v>-38626.241335276638</v>
      </c>
      <c r="E1012" s="3035">
        <f>'Part VI-Pro Forma'!E117</f>
        <v>-39785.028575334938</v>
      </c>
      <c r="F1012" s="3035">
        <f>'Part VI-Pro Forma'!F117</f>
        <v>-40978.579432594983</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4"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4" customHeight="1">
      <c r="A1014" s="652" t="s">
        <v>1130</v>
      </c>
      <c r="B1014" s="3035">
        <f>SUM(B1009:B1013)</f>
        <v>86740.602017779514</v>
      </c>
      <c r="C1014" s="3035">
        <f t="shared" ref="C1014" si="445">SUM(C1009:C1013)</f>
        <v>78244.712650443325</v>
      </c>
      <c r="D1014" s="3035">
        <f t="shared" ref="D1014" si="446">SUM(D1009:D1013)</f>
        <v>69271.223253530334</v>
      </c>
      <c r="E1014" s="3035">
        <f t="shared" ref="E1014" si="447">SUM(E1009:E1013)</f>
        <v>59802.814159181195</v>
      </c>
      <c r="F1014" s="3035">
        <f t="shared" ref="F1014" si="448">SUM(F1009:F1013)</f>
        <v>49819.523076162513</v>
      </c>
      <c r="G1014" s="3035"/>
      <c r="H1014" s="3035"/>
      <c r="I1014" s="3035"/>
      <c r="J1014" s="3035"/>
      <c r="K1014" s="3035"/>
      <c r="N1014" s="2846"/>
      <c r="O1014" s="2846"/>
      <c r="Z1014" s="2751" t="s">
        <v>6471</v>
      </c>
      <c r="AA1014" s="2671">
        <v>119</v>
      </c>
    </row>
    <row r="1015" spans="1:27" s="652" customFormat="1" ht="13.4" customHeight="1">
      <c r="A1015" s="652" t="str">
        <f>$A985</f>
        <v>Mortgage A</v>
      </c>
      <c r="B1015" s="3036">
        <f>'Part VI-Pro Forma'!B120</f>
        <v>-136782.27860706521</v>
      </c>
      <c r="C1015" s="3036">
        <f>'Part VI-Pro Forma'!C120</f>
        <v>-136782.27860706521</v>
      </c>
      <c r="D1015" s="3036">
        <f>'Part VI-Pro Forma'!D120</f>
        <v>-136782.27860706521</v>
      </c>
      <c r="E1015" s="3036">
        <f>'Part VI-Pro Forma'!E120</f>
        <v>-136782.27860706521</v>
      </c>
      <c r="F1015" s="3036">
        <f>'Part VI-Pro Forma'!F120</f>
        <v>-136782.27860706521</v>
      </c>
      <c r="G1015" s="3035"/>
      <c r="H1015" s="3035"/>
      <c r="I1015" s="3035"/>
      <c r="J1015" s="3035"/>
      <c r="K1015" s="3035"/>
      <c r="N1015" s="2846"/>
      <c r="O1015" s="2846"/>
      <c r="Z1015" s="2751" t="s">
        <v>6471</v>
      </c>
      <c r="AA1015" s="2671">
        <v>120</v>
      </c>
    </row>
    <row r="1016" spans="1:27" s="652" customFormat="1" ht="13.4"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4"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4"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4"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4" customHeight="1">
      <c r="A1020" s="652" t="s">
        <v>1096</v>
      </c>
      <c r="B1020" s="3036">
        <f>'Part VI-Pro Forma'!B125</f>
        <v>-6000</v>
      </c>
      <c r="C1020" s="3036">
        <f>'Part VI-Pro Forma'!C125</f>
        <v>-6000</v>
      </c>
      <c r="D1020" s="3036">
        <f>'Part VI-Pro Forma'!D125</f>
        <v>-6000</v>
      </c>
      <c r="E1020" s="3036">
        <f>'Part VI-Pro Forma'!E125</f>
        <v>-6000</v>
      </c>
      <c r="F1020" s="3036">
        <f>'Part VI-Pro Forma'!F125</f>
        <v>-6000</v>
      </c>
      <c r="G1020" s="3035"/>
      <c r="H1020" s="3035"/>
      <c r="I1020" s="3035"/>
      <c r="J1020" s="3035"/>
      <c r="K1020" s="3035"/>
      <c r="N1020" s="2846"/>
      <c r="O1020" s="2846"/>
      <c r="Z1020" s="2751" t="s">
        <v>6471</v>
      </c>
      <c r="AA1020" s="2671">
        <v>125</v>
      </c>
    </row>
    <row r="1021" spans="1:27" s="652" customFormat="1" ht="13.4" customHeight="1">
      <c r="A1021" s="652" t="s">
        <v>1097</v>
      </c>
      <c r="B1021" s="3035">
        <f t="shared" ref="B1021:F1021" si="449">SUM(B1014:B1020)</f>
        <v>-56041.676589285693</v>
      </c>
      <c r="C1021" s="3035">
        <f t="shared" si="449"/>
        <v>-64537.565956621882</v>
      </c>
      <c r="D1021" s="3035">
        <f t="shared" si="449"/>
        <v>-73511.055353534874</v>
      </c>
      <c r="E1021" s="3035">
        <f t="shared" si="449"/>
        <v>-82979.464447884005</v>
      </c>
      <c r="F1021" s="3035">
        <f t="shared" si="449"/>
        <v>-92962.755530902694</v>
      </c>
      <c r="G1021" s="3035"/>
      <c r="H1021" s="3035"/>
      <c r="I1021" s="3035"/>
      <c r="J1021" s="3035"/>
      <c r="K1021" s="3035"/>
      <c r="N1021" s="2846"/>
      <c r="O1021" s="2846"/>
      <c r="Z1021" s="2751" t="s">
        <v>6471</v>
      </c>
      <c r="AA1021" s="2671">
        <v>126</v>
      </c>
    </row>
    <row r="1022" spans="1:27" s="652" customFormat="1" ht="13.4" customHeight="1">
      <c r="A1022" s="652" t="str">
        <f>$A992</f>
        <v>DCR Mortgage A</v>
      </c>
      <c r="B1022" s="3037">
        <f t="shared" ref="B1022:F1022" si="450">IF(B1015=0,"",-B1014/B1015)</f>
        <v>0.63415087759255317</v>
      </c>
      <c r="C1022" s="3037">
        <f t="shared" si="450"/>
        <v>0.57203837695391158</v>
      </c>
      <c r="D1022" s="3037">
        <f t="shared" si="450"/>
        <v>0.50643419570839254</v>
      </c>
      <c r="E1022" s="3037">
        <f t="shared" si="450"/>
        <v>0.43721171169385831</v>
      </c>
      <c r="F1022" s="3037">
        <f t="shared" si="450"/>
        <v>0.3642249828230979</v>
      </c>
      <c r="G1022" s="3035"/>
      <c r="H1022" s="3035"/>
      <c r="I1022" s="3035"/>
      <c r="J1022" s="3035"/>
      <c r="K1022" s="3035"/>
      <c r="N1022" s="2846"/>
      <c r="O1022" s="2846"/>
      <c r="Z1022" s="2751" t="s">
        <v>6471</v>
      </c>
      <c r="AA1022" s="2671">
        <v>127</v>
      </c>
    </row>
    <row r="1023" spans="1:27" s="652" customFormat="1" ht="13.4"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4"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4"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4" customHeight="1">
      <c r="A1026" s="652" t="s">
        <v>3216</v>
      </c>
      <c r="B1026" s="3037">
        <f t="shared" ref="B1026:F1026" si="454">IF(AND(B1015=0,B1016=0,B1017=0,B1018=0),"",-B1014/(B1015+B1016+B1017+B1018))</f>
        <v>0.63415087759255317</v>
      </c>
      <c r="C1026" s="3037">
        <f t="shared" si="454"/>
        <v>0.57203837695391158</v>
      </c>
      <c r="D1026" s="3037">
        <f t="shared" si="454"/>
        <v>0.50643419570839254</v>
      </c>
      <c r="E1026" s="3037">
        <f t="shared" si="454"/>
        <v>0.43721171169385831</v>
      </c>
      <c r="F1026" s="3037">
        <f t="shared" si="454"/>
        <v>0.3642249828230979</v>
      </c>
      <c r="G1026" s="3035"/>
      <c r="H1026" s="3035"/>
      <c r="I1026" s="3035"/>
      <c r="J1026" s="3035"/>
      <c r="K1026" s="3035"/>
      <c r="N1026" s="2846"/>
      <c r="O1026" s="2846"/>
      <c r="Z1026" s="2751" t="s">
        <v>6471</v>
      </c>
      <c r="AA1026" s="2857">
        <v>131</v>
      </c>
    </row>
    <row r="1027" spans="1:27" s="652" customFormat="1" ht="13.4" customHeight="1">
      <c r="A1027" s="652" t="s">
        <v>718</v>
      </c>
      <c r="B1027" s="3038">
        <f>IF(OR(B1011="Choose mgt fee",B1011="Choose One!"),"",(B1004+B1005+B1006+B1007+B1008) / -(B1010+B1011+B1012))</f>
        <v>1.0806007480855189</v>
      </c>
      <c r="C1027" s="3038">
        <f t="shared" ref="C1027:F1027" si="455">IF(OR(C1011="Choose mgt fee",C1011="Choose One!"),"",(C1004+C1005+C1006+C1007+C1008) / -(C1010+C1011+C1012))</f>
        <v>1.0706224101466819</v>
      </c>
      <c r="D1027" s="3038">
        <f t="shared" si="455"/>
        <v>1.0607308100166708</v>
      </c>
      <c r="E1027" s="3038">
        <f t="shared" si="455"/>
        <v>1.0509266227811969</v>
      </c>
      <c r="F1027" s="3038">
        <f t="shared" si="455"/>
        <v>1.0412086140037018</v>
      </c>
      <c r="G1027" s="3035"/>
      <c r="H1027" s="3035"/>
      <c r="I1027" s="3035"/>
      <c r="J1027" s="3035"/>
      <c r="K1027" s="3035"/>
      <c r="N1027" s="2846"/>
      <c r="O1027" s="2846"/>
      <c r="Z1027" s="2751" t="s">
        <v>6471</v>
      </c>
      <c r="AA1027" s="2671">
        <v>132</v>
      </c>
    </row>
    <row r="1028" spans="1:27" s="652" customFormat="1" ht="13.4" customHeight="1">
      <c r="A1028" s="652" t="s">
        <v>2406</v>
      </c>
      <c r="B1028" s="3036">
        <f>'Part VI-Pro Forma'!B133</f>
        <v>969262.42042777012</v>
      </c>
      <c r="C1028" s="3036">
        <f>'Part VI-Pro Forma'!C133</f>
        <v>883652.88199106522</v>
      </c>
      <c r="D1028" s="3036">
        <f>'Part VI-Pro Forma'!D133</f>
        <v>793214.29266255256</v>
      </c>
      <c r="E1028" s="3036">
        <f>'Part VI-Pro Forma'!E133</f>
        <v>697674.2560137324</v>
      </c>
      <c r="F1028" s="3036">
        <f>'Part VI-Pro Forma'!F133</f>
        <v>596745.01031639671</v>
      </c>
      <c r="G1028" s="3035"/>
      <c r="H1028" s="3035"/>
      <c r="I1028" s="3035"/>
      <c r="J1028" s="3035"/>
      <c r="K1028" s="3035"/>
      <c r="N1028" s="2846"/>
      <c r="O1028" s="2846"/>
      <c r="Z1028" s="2751" t="s">
        <v>6471</v>
      </c>
      <c r="AA1028" s="2671">
        <v>133</v>
      </c>
    </row>
    <row r="1029" spans="1:27" s="652" customFormat="1" ht="13.4"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4"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4"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4000000000000004"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5">
      <c r="A1035" s="2722" t="str">
        <f>'Part VI-Pro Forma'!A140</f>
        <v xml:space="preserve">APPLICANTS: Explain any any debt service payment amounts that deviate from the amount shown in Permanent Sources (Part III)
vacancy rate reflects DCA required level though we anticiapte vacnacy rates to be lower demonstrated by vacancy rates at comparable properties within the market and the N^^ portfolio. Asset managment fees are reflected per LOI and mangement fee is standard per N^^ portfolio. </v>
      </c>
      <c r="B1035" s="2722"/>
      <c r="C1035" s="2722"/>
      <c r="D1035" s="2722"/>
      <c r="E1035" s="2722"/>
      <c r="F1035" s="2722"/>
      <c r="G1035" s="2722"/>
      <c r="H1035" s="2722"/>
      <c r="I1035" s="2722"/>
      <c r="J1035" s="2722"/>
      <c r="K1035" s="2722"/>
      <c r="N1035" s="2678" t="s">
        <v>2453</v>
      </c>
      <c r="O1035" s="2678"/>
      <c r="Z1035" s="2904"/>
      <c r="AA1035" s="2671"/>
    </row>
    <row r="1039" spans="1:27" s="652" customFormat="1" ht="14.15" customHeight="1">
      <c r="A1039" s="2550" t="str">
        <f>CONCATENATE("PART SEVEN - THRESHOLD CRITERIA","  -  ",'Part I-Project Identification'!$O$7," ",'Part I-Project Identification'!$F$29,", ",'Part I-Project Identification'!F1068,", ",'Part I-Project Identification'!J1068," County")</f>
        <v>PART SEVEN - THRESHOLD CRITERIA  -  2022-0 Villa Rica Senior,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6856</v>
      </c>
      <c r="I1044" s="474"/>
      <c r="J1044" s="474"/>
      <c r="K1044" s="2872" t="s">
        <v>6857</v>
      </c>
      <c r="L1044" s="2872"/>
      <c r="M1044" s="2872"/>
      <c r="N1044" s="2872"/>
      <c r="O1044" s="2872"/>
      <c r="P1044" s="3042"/>
      <c r="Q1044" s="3042"/>
      <c r="R1044" s="3040"/>
      <c r="S1044" s="3040"/>
    </row>
    <row r="1045" spans="1:19" s="652" customFormat="1" ht="12.65"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5" customHeight="1">
      <c r="A1065" s="3045" t="s">
        <v>689</v>
      </c>
      <c r="B1065" s="2980" t="s">
        <v>6641</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230">
      <c r="A1068" s="3049" t="str">
        <f>'Part VII-Threshold Criteria'!A30</f>
        <v>The project is financially sustainable based on income from operations. The sources and uses have been provided in accordance with the Plan. The applicant complies with all DCA underwriting assumptions, including those that apply to viability analysis.</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6858</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6648</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Tenancy will comply with the HFOP definition per the 2022 DCA QAP.</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4</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Agree</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 xml:space="preserve">In addition to standard monthly social activities, National Church Residences has the “Home for Life” program, an innovative initiative with a goal to allow vulnerable seniors to age in place.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5" customHeight="1">
      <c r="A1094" s="2906" t="s">
        <v>1669</v>
      </c>
      <c r="B1094" s="2906" t="s">
        <v>4023</v>
      </c>
      <c r="C1094" s="2906"/>
      <c r="D1094" s="3052"/>
      <c r="E1094" s="3052"/>
      <c r="F1094" s="3052"/>
      <c r="G1094" s="3052"/>
      <c r="H1094" s="3069" t="str">
        <f>'Part I-Project Identification'!$K$32</f>
        <v>Rural</v>
      </c>
      <c r="J1094" s="2802" t="s">
        <v>6642</v>
      </c>
      <c r="K1094" s="2692" t="str">
        <f>'Part VIII Scoring Criteria'!$M$59</f>
        <v>Rural</v>
      </c>
      <c r="L1094" s="2802" t="s">
        <v>3825</v>
      </c>
      <c r="M1094" s="2847" t="str">
        <f>J1073</f>
        <v>HFOP</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Real Property Research Group</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5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0.96</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0.254</v>
      </c>
      <c r="L1099" s="3073"/>
      <c r="N1099" s="3074"/>
      <c r="O1099" s="3075" t="s">
        <v>3392</v>
      </c>
      <c r="P1099" s="3072">
        <f>'Part VII-Threshold Criteria'!P61</f>
        <v>1.4999999999999999E-2</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2012-012</v>
      </c>
      <c r="E1102" s="2913" t="str">
        <f>'Part VII-Threshold Criteria'!E64</f>
        <v>Conners Senior Village II</v>
      </c>
      <c r="F1102" s="2913"/>
      <c r="G1102" s="2913"/>
      <c r="H1102" s="3064" t="s">
        <v>2183</v>
      </c>
      <c r="I1102" s="3066" t="str">
        <f>'Part VII-Threshold Criteria'!I64</f>
        <v>2002-533</v>
      </c>
      <c r="J1102" s="2913" t="str">
        <f>'Part VII-Threshold Criteria'!J64</f>
        <v>Hickory Falls</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2018-553</v>
      </c>
      <c r="E1103" s="2913" t="str">
        <f>'Part VII-Threshold Criteria'!E65</f>
        <v>Arbours at Villa Rica</v>
      </c>
      <c r="F1103" s="2913"/>
      <c r="G1103" s="2913"/>
      <c r="H1103" s="3064" t="s">
        <v>1449</v>
      </c>
      <c r="I1103" s="3066" t="str">
        <f>'Part VII-Threshold Criteria'!I65</f>
        <v>2002-552</v>
      </c>
      <c r="J1103" s="2913" t="str">
        <f>'Part VII-Threshold Criteria'!J65</f>
        <v>Magnolia Lake</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2019-052</v>
      </c>
      <c r="E1104" s="2913" t="str">
        <f>'Part VII-Threshold Criteria'!E66</f>
        <v>Legacy at Walton Trail</v>
      </c>
      <c r="F1104" s="2913"/>
      <c r="G1104" s="2913"/>
      <c r="H1104" s="3064" t="s">
        <v>1450</v>
      </c>
      <c r="I1104" s="3066" t="str">
        <f>'Part VII-Threshold Criteria'!I66</f>
        <v>1991-009</v>
      </c>
      <c r="J1104" s="2913" t="str">
        <f>'Part VII-Threshold Criteria'!J66</f>
        <v>Carrollton Club</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6112</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6113</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300">
      <c r="A1109" s="3049" t="str">
        <f>'Part VII-Threshold Criteria'!A71</f>
        <v>The overall vacancy rate is projected to  be 3.8 percent within the market area. In addition, Senior Projects in the market are reporting waitlists. LIHTC/ affordable properties report 0% vacancy rate with even more extensive waitlists. This new construction proposed project will filll a current a growing need within the market.</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5"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Yes</v>
      </c>
      <c r="Q1114" s="2976"/>
    </row>
    <row r="1115" spans="1:31" s="652" customFormat="1" ht="12.75" customHeight="1">
      <c r="B1115" s="3061" t="s">
        <v>1615</v>
      </c>
      <c r="C1115" s="474" t="s">
        <v>515</v>
      </c>
      <c r="E1115" s="2550"/>
      <c r="F1115" s="2550"/>
      <c r="G1115" s="2550"/>
      <c r="H1115" s="2550"/>
      <c r="I1115" s="2550"/>
      <c r="L1115" s="3064" t="s">
        <v>516</v>
      </c>
      <c r="M1115" s="2913" t="str">
        <f>'Part VII-Threshold Criteria'!M77</f>
        <v>Gill Group</v>
      </c>
      <c r="N1115" s="2913"/>
      <c r="O1115" s="2913"/>
      <c r="P1115" s="2757"/>
      <c r="Q1115" s="2976"/>
    </row>
    <row r="1116" spans="1:31" s="2550" customFormat="1" ht="12.75" customHeight="1">
      <c r="B1116" s="2923" t="s">
        <v>1616</v>
      </c>
      <c r="C1116" s="474" t="s">
        <v>3840</v>
      </c>
      <c r="O1116" s="3064" t="s">
        <v>1616</v>
      </c>
      <c r="P1116" s="3066" t="str">
        <f>'Part VII-Threshold Criteria'!P78</f>
        <v>Yes</v>
      </c>
      <c r="Q1116" s="2976"/>
    </row>
    <row r="1117" spans="1:31" s="2550" customFormat="1" ht="12.75" customHeight="1">
      <c r="B1117" s="3061" t="s">
        <v>1617</v>
      </c>
      <c r="C1117" s="474" t="s">
        <v>4058</v>
      </c>
      <c r="O1117" s="3058" t="s">
        <v>1617</v>
      </c>
      <c r="P1117" s="3076" t="str">
        <f>'Part VII-Threshold Criteria'!P79</f>
        <v>5.9.22</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t="str">
        <f>'Part VII-Threshold Criteria'!P80</f>
        <v>Yes</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t="str">
        <f>'Part VII-Threshold Criteria'!P81</f>
        <v>Yes</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t="str">
        <f>'Part VII-Threshold Criteria'!P82</f>
        <v>Yes</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t="str">
        <f>'Part VII-Threshold Criteria'!P83</f>
        <v>Yes</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t="str">
        <f>'Part VII-Threshold Criteria'!P84</f>
        <v>N/A</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t="str">
        <f>'Part VII-Threshold Criteria'!P86</f>
        <v>N/a</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110">
      <c r="A1127" s="3049" t="str">
        <f>'Part VII-Threshold Criteria'!A89</f>
        <v>There is no identity of interest between the buyer and the seller. The appraisal supports the purchase price.</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5" customHeight="1">
      <c r="A1130" s="2906" t="s">
        <v>720</v>
      </c>
      <c r="B1130" s="2906" t="s">
        <v>2425</v>
      </c>
      <c r="C1130" s="2923"/>
      <c r="D1130" s="3052"/>
      <c r="E1130" s="3052"/>
      <c r="F1130" s="3052"/>
      <c r="G1130" s="3052"/>
      <c r="H1130" s="3052"/>
      <c r="I1130" s="3052"/>
      <c r="J1130" s="3052"/>
      <c r="K1130" s="3052"/>
      <c r="L1130" s="3052"/>
      <c r="M1130" s="3052"/>
      <c r="N1130" s="2833" t="s">
        <v>6540</v>
      </c>
      <c r="O1130" s="3047" t="s">
        <v>1731</v>
      </c>
      <c r="P1130" s="2135"/>
      <c r="Q1130" s="2135"/>
      <c r="R1130" s="2833" t="s">
        <v>6527</v>
      </c>
    </row>
    <row r="1131" spans="1:31" s="652" customFormat="1" ht="6.65" customHeight="1"/>
    <row r="1132" spans="1:31" s="652" customFormat="1">
      <c r="A1132" s="3064" t="s">
        <v>1842</v>
      </c>
      <c r="B1132" s="474" t="s">
        <v>6193</v>
      </c>
      <c r="D1132" s="3011"/>
      <c r="E1132" s="3011"/>
      <c r="F1132" s="3011"/>
      <c r="G1132" s="3011"/>
      <c r="H1132" s="3011"/>
      <c r="I1132" s="2550"/>
      <c r="J1132" s="2550"/>
      <c r="K1132" s="3064" t="s">
        <v>1842</v>
      </c>
      <c r="L1132" s="3000" t="str">
        <f>'Part VII-Threshold Criteria'!L94</f>
        <v>Terracon</v>
      </c>
      <c r="M1132" s="3000"/>
      <c r="N1132" s="3000"/>
      <c r="O1132" s="3000"/>
      <c r="P1132" s="3000"/>
      <c r="Q1132" s="2976"/>
    </row>
    <row r="1133" spans="1:31" s="652" customFormat="1" ht="12" customHeight="1">
      <c r="B1133" s="1024" t="s">
        <v>6632</v>
      </c>
      <c r="O1133" s="3064" t="s">
        <v>1616</v>
      </c>
      <c r="P1133" s="3066" t="str">
        <f>'Part VII-Threshold Criteria'!P95</f>
        <v>No</v>
      </c>
      <c r="Q1133" s="2976"/>
    </row>
    <row r="1134" spans="1:31" s="652" customFormat="1" ht="12" customHeight="1">
      <c r="B1134" s="1024" t="s">
        <v>6528</v>
      </c>
      <c r="I1134" s="1024" t="s">
        <v>6530</v>
      </c>
      <c r="K1134" s="3076" t="str">
        <f>'Part VII-Threshold Criteria'!K96</f>
        <v>5.5.22</v>
      </c>
      <c r="L1134" s="3077"/>
      <c r="N1134" s="1024" t="s">
        <v>6529</v>
      </c>
      <c r="P1134" s="3076" t="str">
        <f>'Part VII-Threshold Criteria'!P96</f>
        <v>5.20.22</v>
      </c>
      <c r="Q1134" s="3077"/>
    </row>
    <row r="1135" spans="1:31" s="652" customFormat="1" ht="12" customHeight="1">
      <c r="A1135" s="3064" t="s">
        <v>1844</v>
      </c>
      <c r="B1135" s="474" t="s">
        <v>6639</v>
      </c>
      <c r="D1135" s="3011"/>
      <c r="E1135" s="3011"/>
      <c r="F1135" s="3011"/>
      <c r="G1135" s="3011"/>
      <c r="H1135" s="3011"/>
      <c r="I1135" s="2550"/>
      <c r="J1135" s="2550"/>
      <c r="K1135" s="3011"/>
      <c r="L1135" s="2963"/>
      <c r="O1135" s="3064" t="s">
        <v>1844</v>
      </c>
      <c r="P1135" s="3066" t="str">
        <f>'Part VII-Threshold Criteria'!P97</f>
        <v>Yes</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Terracon</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59</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6625</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6626</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6627</v>
      </c>
      <c r="E1143" s="3079" t="s">
        <v>2241</v>
      </c>
      <c r="F1143" s="2971" t="s">
        <v>6628</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6629</v>
      </c>
      <c r="G1144" s="2914"/>
      <c r="H1144" s="2971"/>
      <c r="I1144" s="2914"/>
      <c r="J1144" s="2914"/>
      <c r="K1144" s="3080"/>
      <c r="L1144" s="3081"/>
      <c r="M1144" s="3081"/>
      <c r="O1144" s="3079" t="s">
        <v>2242</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6627</v>
      </c>
      <c r="E1146" s="3079" t="s">
        <v>2241</v>
      </c>
      <c r="F1146" s="2971" t="s">
        <v>6630</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6631</v>
      </c>
      <c r="G1147" s="2914"/>
      <c r="H1147" s="2971"/>
      <c r="I1147" s="2914"/>
      <c r="J1147" s="2914"/>
      <c r="O1147" s="3079" t="s">
        <v>2242</v>
      </c>
      <c r="P1147" s="3066" t="str">
        <f>'Part VII-Threshold Criteria'!P109</f>
        <v>No</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2502</v>
      </c>
      <c r="J1149" s="3066" t="str">
        <f>'Part VII-Threshold Criteria'!J111</f>
        <v>No</v>
      </c>
      <c r="K1149" s="2976"/>
      <c r="L1149" s="3064" t="s">
        <v>3866</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No</v>
      </c>
      <c r="G1150" s="2976"/>
      <c r="H1150" s="3064" t="s">
        <v>3863</v>
      </c>
      <c r="I1150" s="474" t="s">
        <v>6114</v>
      </c>
      <c r="J1150" s="3066" t="str">
        <f>'Part VII-Threshold Criteria'!J112</f>
        <v>No</v>
      </c>
      <c r="K1150" s="2976"/>
      <c r="L1150" s="3064" t="s">
        <v>3867</v>
      </c>
      <c r="M1150" s="1024" t="s">
        <v>3283</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3864</v>
      </c>
      <c r="I1151" s="474" t="s">
        <v>6115</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3865</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6531</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6633</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6859</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90">
      <c r="A1163" s="3049" t="str">
        <f>'Part VII-Threshold Criteria'!A125</f>
        <v>There are no environmental hazards or other considerations and the project is not applying for HOME funds.</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5" customHeight="1">
      <c r="A1168" s="2906" t="s">
        <v>280</v>
      </c>
      <c r="B1168" s="2906" t="s">
        <v>2426</v>
      </c>
      <c r="C1168" s="2906"/>
      <c r="D1168" s="3052"/>
      <c r="E1168" s="3052"/>
      <c r="F1168" s="3052"/>
      <c r="G1168" s="3052"/>
      <c r="H1168" s="3052"/>
      <c r="I1168" s="3052"/>
      <c r="J1168" s="3052"/>
      <c r="K1168" s="3052"/>
      <c r="N1168" s="2833" t="s">
        <v>6540</v>
      </c>
      <c r="O1168" s="3047" t="s">
        <v>1731</v>
      </c>
      <c r="P1168" s="2135"/>
      <c r="Q1168" s="2135"/>
      <c r="R1168" s="2833" t="s">
        <v>6527</v>
      </c>
    </row>
    <row r="1169" spans="1:31" s="652" customFormat="1" ht="12" customHeight="1">
      <c r="A1169" s="3064" t="s">
        <v>1842</v>
      </c>
      <c r="B1169" s="2923" t="s">
        <v>1615</v>
      </c>
      <c r="C1169" s="474" t="s">
        <v>6805</v>
      </c>
      <c r="D1169" s="474"/>
      <c r="E1169" s="474"/>
      <c r="F1169" s="474"/>
      <c r="G1169" s="474"/>
      <c r="K1169" s="474" t="s">
        <v>2461</v>
      </c>
      <c r="M1169" s="3086" t="str">
        <f>'Part VII-Threshold Criteria'!M131</f>
        <v>60 days from Carryover</v>
      </c>
      <c r="N1169" s="3086"/>
      <c r="O1169" s="3064" t="s">
        <v>1615</v>
      </c>
      <c r="P1169" s="3066" t="str">
        <f>'Part VII-Threshold Criteria'!P131</f>
        <v>Yes</v>
      </c>
      <c r="Q1169" s="2976"/>
    </row>
    <row r="1170" spans="1:31" s="652" customFormat="1" ht="12" customHeight="1">
      <c r="A1170" s="3064"/>
      <c r="B1170" s="2923" t="s">
        <v>1616</v>
      </c>
      <c r="C1170" s="474" t="s">
        <v>6806</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Other (see comments)</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Villa Rica Senior Housing Limited Partnership</v>
      </c>
      <c r="L1172" s="2913"/>
      <c r="M1172" s="2913"/>
      <c r="N1172" s="2913"/>
      <c r="O1172" s="2913"/>
      <c r="P1172" s="2913"/>
      <c r="Q1172" s="2976"/>
    </row>
    <row r="1173" spans="1:31" s="652" customFormat="1" ht="21.75" customHeight="1">
      <c r="A1173" s="3058" t="s">
        <v>1963</v>
      </c>
      <c r="B1173" s="3053" t="s">
        <v>6199</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5" customHeight="1">
      <c r="A1175" s="3049" t="str">
        <f>'Part VII-Threshold Criteria'!A137</f>
        <v>Site control is established through a purchase option contract that expires 60 days after the issuance of the carryover allocation.</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5"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No</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No</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Yes</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5" customHeight="1">
      <c r="A1185" s="3049" t="str">
        <f>'Part VII-Threshold Criteria'!A147</f>
        <v>There is no current public roadway to the site, however, the seller/ developer of the Master planned community will complete the roadway prior to closing.Such roadway will become dedicted public roadway. See documentation Tab 9. The timeline for completion is detailed in the purchase option in Tab 8.</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5" customHeight="1">
      <c r="A1189" s="2926" t="s">
        <v>342</v>
      </c>
      <c r="B1189" s="2550" t="s">
        <v>2428</v>
      </c>
      <c r="C1189" s="2550"/>
      <c r="D1189" s="2550"/>
      <c r="E1189" s="2833"/>
      <c r="N1189" s="2833" t="s">
        <v>6540</v>
      </c>
      <c r="O1189" s="3047" t="s">
        <v>1731</v>
      </c>
      <c r="P1189" s="2135"/>
      <c r="Q1189" s="2135"/>
      <c r="R1189" s="2833" t="s">
        <v>6527</v>
      </c>
    </row>
    <row r="1190" spans="1:44" s="652" customFormat="1" ht="11.5" customHeight="1">
      <c r="B1190" s="1024" t="s">
        <v>6663</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6117</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6860</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Yes</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Yes</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5" customHeight="1">
      <c r="A1203" s="3049" t="str">
        <f>'Part VII-Threshold Criteria'!A165</f>
        <v>Site is currently zoned for intended use.</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5" customHeight="1">
      <c r="A1207" s="2906" t="s">
        <v>343</v>
      </c>
      <c r="B1207" s="2906" t="s">
        <v>2429</v>
      </c>
      <c r="C1207" s="2906"/>
      <c r="D1207" s="3052"/>
      <c r="E1207" s="3090"/>
      <c r="F1207" s="2833"/>
      <c r="G1207" s="3052"/>
      <c r="J1207" s="3053"/>
      <c r="K1207" s="3053"/>
      <c r="L1207" s="3053"/>
      <c r="M1207" s="3053"/>
      <c r="N1207" s="2833" t="s">
        <v>6540</v>
      </c>
      <c r="O1207" s="3047" t="s">
        <v>1731</v>
      </c>
      <c r="P1207" s="2135"/>
      <c r="Q1207" s="2135"/>
      <c r="R1207" s="2833" t="s">
        <v>6527</v>
      </c>
    </row>
    <row r="1208" spans="1:44" s="652" customFormat="1" ht="12.75" customHeight="1">
      <c r="B1208" s="1024" t="s">
        <v>6663</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f>'Part VII-Threshold Criteria'!P171</f>
        <v>0</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Utility Confirmation is included in Tab 11</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4000000000000004" customHeight="1">
      <c r="B1214" s="2976"/>
      <c r="C1214" s="3052"/>
      <c r="D1214" s="3052"/>
      <c r="E1214" s="3052"/>
      <c r="F1214" s="3052"/>
      <c r="G1214" s="3052"/>
      <c r="H1214" s="3052"/>
      <c r="I1214" s="3052"/>
      <c r="J1214" s="3052"/>
      <c r="K1214" s="3052"/>
      <c r="L1214" s="3052"/>
      <c r="M1214" s="3052"/>
      <c r="Q1214" s="2917"/>
    </row>
    <row r="1215" spans="1:44" s="652" customFormat="1" ht="14.15" customHeight="1">
      <c r="A1215" s="2906" t="s">
        <v>344</v>
      </c>
      <c r="B1215" s="2550" t="s">
        <v>2430</v>
      </c>
      <c r="C1215" s="2550"/>
      <c r="D1215" s="474"/>
      <c r="E1215" s="474"/>
      <c r="F1215" s="474"/>
      <c r="G1215" s="3052"/>
      <c r="H1215" s="3052"/>
      <c r="I1215" s="3091"/>
      <c r="J1215" s="3052"/>
      <c r="K1215" s="3052"/>
      <c r="L1215" s="3052"/>
      <c r="M1215" s="3052"/>
      <c r="N1215" s="2833" t="s">
        <v>6540</v>
      </c>
      <c r="O1215" s="3047" t="s">
        <v>1731</v>
      </c>
      <c r="P1215" s="2135"/>
      <c r="Q1215" s="2135"/>
      <c r="R1215" s="2833" t="s">
        <v>6527</v>
      </c>
    </row>
    <row r="1216" spans="1:44" s="652" customFormat="1" ht="12.75" customHeight="1">
      <c r="B1216" s="1024" t="s">
        <v>6663</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Villa Rica</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Villa Rica</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6861</v>
      </c>
      <c r="E1219" s="474"/>
      <c r="F1219" s="474"/>
      <c r="G1219" s="474"/>
      <c r="H1219" s="474"/>
      <c r="I1219" s="474"/>
      <c r="J1219" s="474"/>
      <c r="K1219" s="2550"/>
      <c r="L1219" s="474"/>
      <c r="M1219" s="474"/>
      <c r="O1219" s="3058" t="s">
        <v>6510</v>
      </c>
      <c r="P1219" s="3066" t="str">
        <f>'Part VII-Threshold Criteria'!P181</f>
        <v>Yes</v>
      </c>
      <c r="Q1219" s="2976"/>
    </row>
    <row r="1220" spans="1:44" s="652" customFormat="1" ht="12.75" customHeight="1">
      <c r="A1220" s="3064"/>
      <c r="B1220" s="2923" t="s">
        <v>1616</v>
      </c>
      <c r="C1220" s="474" t="s">
        <v>6862</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t="str">
        <f>'Part VII-Threshold Criteria'!P183</f>
        <v>No</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Water Sewer Confirmation is included in Tab 12</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5"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6863</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6723</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6864</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6775</v>
      </c>
      <c r="D1235" s="474"/>
      <c r="E1235" s="474"/>
      <c r="F1235" s="474"/>
      <c r="G1235" s="474"/>
      <c r="H1235" s="474"/>
      <c r="I1235" s="474"/>
      <c r="J1235" s="474"/>
      <c r="K1235" s="2550"/>
      <c r="L1235" s="2550"/>
      <c r="M1235" s="2550"/>
      <c r="N1235" s="3064" t="s">
        <v>3154</v>
      </c>
      <c r="O1235" s="3092">
        <f>'Part V-Revenues &amp; Expenses'!$P$67</f>
        <v>60</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6865</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Furnished Arts &amp; Craft /Activity Center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(Select an amenity from options provided here)</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6750</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6102</v>
      </c>
      <c r="C1248" s="474"/>
      <c r="E1248" s="474"/>
      <c r="F1248" s="474"/>
      <c r="G1248" s="474"/>
      <c r="H1248" s="474"/>
      <c r="I1248" s="474"/>
      <c r="J1248" s="474"/>
      <c r="K1248" s="2550"/>
      <c r="N1248" s="3064">
        <f>'Part VII-Threshold Criteria'!J1073</f>
        <v>0</v>
      </c>
      <c r="O1248" s="3064" t="s">
        <v>1963</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Yes</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t="str">
        <f>'Part VII-Threshold Criteria'!P212</f>
        <v>Yes</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amenities will conform to the requirements of the amenity guidebook as required by DCA.</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5" customHeight="1">
      <c r="A1255" s="2906" t="s">
        <v>2497</v>
      </c>
      <c r="B1255" s="2906" t="s">
        <v>6119</v>
      </c>
      <c r="C1255" s="2923"/>
      <c r="D1255" s="3052"/>
      <c r="E1255" s="3052"/>
      <c r="F1255" s="3052"/>
      <c r="G1255" s="3052"/>
      <c r="H1255" s="3052"/>
      <c r="I1255" s="3052"/>
      <c r="J1255" s="3052"/>
      <c r="K1255" s="3064" t="s">
        <v>6745</v>
      </c>
      <c r="L1255" s="3069" t="str">
        <f>'Part I-Project Identification'!$P$29</f>
        <v>No</v>
      </c>
      <c r="M1255" s="3052"/>
      <c r="O1255" s="3047" t="s">
        <v>1731</v>
      </c>
      <c r="P1255" s="2135"/>
      <c r="Q1255" s="2135"/>
    </row>
    <row r="1256" spans="1:44" s="652" customFormat="1" ht="11.25" customHeight="1">
      <c r="A1256" s="3058" t="s">
        <v>1842</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6125</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6120</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N/A</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5"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6214</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6866</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N/A</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5"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6126</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4" customHeight="1">
      <c r="A1302" s="3049" t="str">
        <f>'Part VII-Threshold Criteria'!A264</f>
        <v>We have included the site information and conceptual, preliminary site plan in Tab 16.</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4"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5"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5"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5" customHeight="1">
      <c r="A1308" s="3064" t="s">
        <v>1842</v>
      </c>
      <c r="B1308" s="2135" t="s">
        <v>6205</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HIRL National Green Building Standard - Min Bronze</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5"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5"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230">
      <c r="A1315" s="3049" t="str">
        <f>'Part VII-Threshold Criteria'!A277</f>
        <v>We are committed to offering our residents the most sustainable and energy-efficient living spaces, fixtures, and appliances possible to promote not only conservation, but healthful and economically-viable living environments.</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5"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5"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6776</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6664</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6665</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6807</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4" customHeight="1">
      <c r="A1328" s="2687"/>
      <c r="B1328" s="2694"/>
      <c r="D1328" s="3053"/>
      <c r="E1328" s="3053"/>
      <c r="F1328" s="3053"/>
      <c r="G1328" s="3053"/>
      <c r="H1328" s="3053"/>
      <c r="I1328" s="474" t="s">
        <v>3389</v>
      </c>
      <c r="K1328" s="3110">
        <f>'Part VII-Threshold Criteria'!K290</f>
        <v>3</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6808</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6809</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6724</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TBD</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6666</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10">
      <c r="A1342" s="3049" t="str">
        <f>'Part VII-Threshold Criteria'!A304</f>
        <v>National Church Residences will conform to applicable accessibility requirements to the greatest extent feasible.</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5"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5" customHeight="1">
      <c r="A1349" s="3058" t="s">
        <v>1842</v>
      </c>
      <c r="B1349" s="2923" t="s">
        <v>6677</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6676</v>
      </c>
      <c r="C1350" s="3053"/>
      <c r="D1350" s="3053"/>
      <c r="E1350" s="3053"/>
      <c r="F1350" s="3053"/>
      <c r="G1350" s="3053"/>
      <c r="H1350" s="3053"/>
      <c r="I1350" s="3053"/>
      <c r="J1350" s="3053"/>
      <c r="K1350" s="3053"/>
      <c r="L1350" s="3053"/>
      <c r="M1350" s="3053"/>
      <c r="N1350" s="3053"/>
      <c r="O1350" s="3058" t="s">
        <v>1842</v>
      </c>
      <c r="P1350" s="3078">
        <f>'Part VII-Threshold Criteria'!P312</f>
        <v>0</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5"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ht="13">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ht="13">
      <c r="B1353" s="3061" t="s">
        <v>1616</v>
      </c>
      <c r="C1353" s="3046" t="s">
        <v>1067</v>
      </c>
      <c r="D1353" s="3053"/>
      <c r="E1353" s="3053"/>
      <c r="F1353" s="3053"/>
      <c r="G1353" s="2743" t="str">
        <f>'Part VII-Threshold Criteria'!G315</f>
        <v>Upgraded "architectural dimensional" shingles, or roofing materials  (warranty 40 years or greater)</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6308</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6309</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6777</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5" customHeight="1">
      <c r="A1361" s="3049" t="str">
        <f>'Part VII-Threshold Criteria'!A323</f>
        <v>No waivers have been requested for this project and will conform with all DCA architectual requirements</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5" customHeight="1">
      <c r="A1364" s="2906" t="s">
        <v>3375</v>
      </c>
      <c r="B1364" s="2915" t="s">
        <v>6541</v>
      </c>
      <c r="C1364" s="2906"/>
      <c r="D1364" s="3052"/>
      <c r="E1364" s="3052"/>
      <c r="F1364" s="3052"/>
      <c r="G1364" s="3052"/>
      <c r="H1364" s="3052"/>
      <c r="N1364" s="2833" t="s">
        <v>6540</v>
      </c>
      <c r="O1364" s="3047" t="s">
        <v>1731</v>
      </c>
      <c r="P1364" s="2135"/>
      <c r="Q1364" s="2135"/>
      <c r="R1364" s="2833" t="s">
        <v>6527</v>
      </c>
    </row>
    <row r="1365" spans="1:44" s="652" customFormat="1" ht="11.5" customHeight="1">
      <c r="A1365" s="3064" t="s">
        <v>1842</v>
      </c>
      <c r="B1365" s="1024" t="s">
        <v>6536</v>
      </c>
      <c r="O1365" s="3058" t="s">
        <v>1842</v>
      </c>
      <c r="P1365" s="3066" t="str">
        <f>'Part VII-Threshold Criteria'!P327</f>
        <v>Yes</v>
      </c>
      <c r="Q1365" s="2976"/>
    </row>
    <row r="1366" spans="1:44" s="652" customFormat="1" ht="11.5" customHeight="1">
      <c r="A1366" s="3058" t="s">
        <v>1844</v>
      </c>
      <c r="B1366" s="1024" t="s">
        <v>6543</v>
      </c>
      <c r="O1366" s="3058" t="s">
        <v>1844</v>
      </c>
      <c r="P1366" s="3066" t="str">
        <f>'Part VII-Threshold Criteria'!P328</f>
        <v>Yes</v>
      </c>
      <c r="Q1366" s="2976"/>
    </row>
    <row r="1367" spans="1:44" s="652" customFormat="1" ht="11.5" customHeight="1">
      <c r="A1367" s="3058" t="s">
        <v>698</v>
      </c>
      <c r="B1367" s="1024" t="s">
        <v>6544</v>
      </c>
      <c r="K1367" s="2822"/>
      <c r="M1367" s="3058" t="s">
        <v>698</v>
      </c>
      <c r="N1367" s="2698" t="str">
        <f>'Part VII-Threshold Criteria'!N329</f>
        <v>No</v>
      </c>
      <c r="O1367" s="2698"/>
      <c r="P1367" s="2719" t="s">
        <v>1647</v>
      </c>
      <c r="Q1367" s="2719"/>
    </row>
    <row r="1368" spans="1:44" s="652" customFormat="1" ht="11.5" customHeight="1">
      <c r="A1368" s="3064" t="s">
        <v>1963</v>
      </c>
      <c r="B1368" s="1024" t="s">
        <v>6545</v>
      </c>
      <c r="O1368" s="3064" t="s">
        <v>1963</v>
      </c>
      <c r="P1368" s="3066" t="str">
        <f>'Part VII-Threshold Criteria'!P330</f>
        <v>No</v>
      </c>
      <c r="Q1368" s="2976"/>
    </row>
    <row r="1369" spans="1:44" s="652" customFormat="1" ht="11.5" customHeight="1">
      <c r="A1369" s="3058" t="s">
        <v>1613</v>
      </c>
      <c r="B1369" s="1024" t="s">
        <v>6546</v>
      </c>
      <c r="N1369" s="3058" t="s">
        <v>1613</v>
      </c>
      <c r="O1369" s="3115" t="str">
        <f>'Part VII-Threshold Criteria'!O331</f>
        <v>Certifying GP/Developer</v>
      </c>
      <c r="P1369" s="3115"/>
      <c r="Q1369" s="3115"/>
    </row>
    <row r="1370" spans="1:44" s="652" customFormat="1" ht="11.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4" customHeight="1">
      <c r="A1372" s="3049" t="str">
        <f>'Part VII-Threshold Criteria'!A334</f>
        <v>We have not made any changes in the project team since pre-application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4"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5" customHeight="1">
      <c r="A1376" s="2906" t="s">
        <v>3378</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5"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5" customHeight="1">
      <c r="A1378" s="2906"/>
      <c r="B1378" s="474" t="s">
        <v>6549</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6810</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60</v>
      </c>
      <c r="F1381" s="474" t="s">
        <v>3898</v>
      </c>
      <c r="G1381" s="3117">
        <f>'Part V-Revenues &amp; Expenses'!$P$100</f>
        <v>0</v>
      </c>
      <c r="H1381" s="2550"/>
      <c r="I1381" s="474" t="s">
        <v>832</v>
      </c>
      <c r="J1381" s="2550"/>
      <c r="K1381" s="2550"/>
      <c r="L1381" s="3092">
        <f>'Part V-Revenues &amp; Expenses'!$P$111</f>
        <v>0</v>
      </c>
      <c r="M1381" s="3064" t="s">
        <v>6747</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6811</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60</v>
      </c>
      <c r="F1383" s="474" t="s">
        <v>6697</v>
      </c>
      <c r="H1383" s="2550"/>
      <c r="L1383" s="3118">
        <f>'Part VII-Threshold Criteria'!L345</f>
        <v>0</v>
      </c>
      <c r="M1383" s="3064" t="s">
        <v>6747</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6812</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5" customHeight="1">
      <c r="A1385" s="2926"/>
      <c r="B1385" s="3112" t="s">
        <v>1615</v>
      </c>
      <c r="C1385" s="3006" t="s">
        <v>6550</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60</v>
      </c>
      <c r="F1386" s="474" t="s">
        <v>3898</v>
      </c>
      <c r="G1386" s="3117">
        <f>'Part V-Revenues &amp; Expenses'!$P$100</f>
        <v>0</v>
      </c>
      <c r="H1386" s="2550"/>
      <c r="I1386" s="474" t="s">
        <v>832</v>
      </c>
      <c r="J1386" s="2550"/>
      <c r="K1386" s="2550"/>
      <c r="L1386" s="3092">
        <f>'Part V-Revenues &amp; Expenses'!$P$111</f>
        <v>0</v>
      </c>
      <c r="M1386" s="3064" t="s">
        <v>6747</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N/A</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5"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t="str">
        <f>'Part VII-Threshold Criteria'!I355</f>
        <v>National Church Residences</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t="str">
        <f>'Part VII-Threshold Criteria'!I356</f>
        <v>www.nationalchurchresidences.org</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t="str">
        <f>'Part VII-Threshold Criteria'!P357</f>
        <v>Yes</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t="str">
        <f>'Part VII-Threshold Criteria'!P358</f>
        <v>Yes</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t="str">
        <f>'Part VII-Threshold Criteria'!P359</f>
        <v>Yes</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t="str">
        <f>'Part VII-Threshold Criteria'!P360</f>
        <v>No</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t="str">
        <f>'Part VII-Threshold Criteria'!P361</f>
        <v>Yes</v>
      </c>
      <c r="Q1399" s="3059"/>
    </row>
    <row r="1400" spans="1:31" s="2980" customFormat="1">
      <c r="C1400" s="3061" t="s">
        <v>6867</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t="str">
        <f>'Part VII-Threshold Criteria'!P364</f>
        <v>Yes</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50">
      <c r="A1404" s="3049" t="str">
        <f>'Part VII-Threshold Criteria'!A366</f>
        <v>National Church Residences is a qualified non-profit.</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5"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5" customHeight="1">
      <c r="A1414" s="3049" t="str">
        <f>'Part VII-Threshold Criteria'!A376</f>
        <v>N/A</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5" customHeight="1">
      <c r="A1417" s="2917"/>
      <c r="B1417" s="2976"/>
      <c r="C1417" s="3052"/>
      <c r="D1417" s="3052"/>
      <c r="E1417" s="3052"/>
      <c r="F1417" s="3052"/>
      <c r="G1417" s="3052"/>
      <c r="H1417" s="3052"/>
      <c r="I1417" s="3052"/>
      <c r="J1417" s="3052"/>
      <c r="K1417" s="3052"/>
      <c r="L1417" s="3052"/>
      <c r="M1417" s="3052"/>
      <c r="Q1417" s="2917"/>
    </row>
    <row r="1418" spans="1:31" s="652" customFormat="1" ht="14.15"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Yes</v>
      </c>
      <c r="Q1419" s="2976"/>
    </row>
    <row r="1420" spans="1:31" s="652" customFormat="1" ht="12" customHeight="1">
      <c r="A1420" s="3064" t="s">
        <v>1844</v>
      </c>
      <c r="B1420" s="474" t="s">
        <v>3145</v>
      </c>
      <c r="D1420" s="3053"/>
      <c r="E1420" s="3053"/>
      <c r="O1420" s="3064" t="s">
        <v>1844</v>
      </c>
      <c r="P1420" s="3066" t="str">
        <f>'Part VII-Threshold Criteria'!P382</f>
        <v>No</v>
      </c>
      <c r="Q1420" s="2976"/>
    </row>
    <row r="1421" spans="1:31" s="652" customFormat="1" ht="12" customHeight="1">
      <c r="A1421" s="3064" t="s">
        <v>698</v>
      </c>
      <c r="B1421" s="474" t="s">
        <v>4035</v>
      </c>
      <c r="D1421" s="3053"/>
      <c r="E1421" s="3053"/>
      <c r="O1421" s="3064" t="s">
        <v>698</v>
      </c>
      <c r="P1421" s="3066" t="str">
        <f>'Part VII-Threshold Criteria'!P383</f>
        <v>Yes</v>
      </c>
      <c r="Q1421" s="2976"/>
    </row>
    <row r="1422" spans="1:31" s="652" customFormat="1" ht="12" customHeight="1">
      <c r="A1422" s="3064" t="s">
        <v>1963</v>
      </c>
      <c r="B1422" s="474" t="s">
        <v>3146</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5" customHeight="1">
      <c r="A1425" s="3049" t="str">
        <f>'Part VII-Threshold Criteria'!A387</f>
        <v>National Church Residences is a qualified non-profit.</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5" customHeight="1">
      <c r="A1429" s="2906" t="s">
        <v>3382</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6258</v>
      </c>
      <c r="O1430" s="3064"/>
      <c r="P1430" s="3066">
        <f>'Part VII-Threshold Criteria'!P392</f>
        <v>0</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f>'Part VII-Threshold Criteria'!P395</f>
        <v>0</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3946</v>
      </c>
      <c r="D1436" s="474" t="s">
        <v>3142</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6158</v>
      </c>
      <c r="D1438" s="3053"/>
      <c r="E1438" s="3053"/>
      <c r="F1438" s="3053"/>
      <c r="G1438" s="474" t="s">
        <v>3947</v>
      </c>
      <c r="J1438" s="2945">
        <f>'Part VII-Threshold Criteria'!J400</f>
        <v>0</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0</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0">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6705</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6236</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15.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6868</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c r="A1462" s="3049" t="str">
        <f>'Part VII-Threshold Criteria'!A424</f>
        <v>N/A</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5" customHeight="1">
      <c r="A1466" s="2906" t="s">
        <v>3383</v>
      </c>
      <c r="B1466" s="2550" t="s">
        <v>2510</v>
      </c>
      <c r="C1466" s="2550"/>
      <c r="D1466" s="474"/>
      <c r="E1466" s="3052"/>
      <c r="F1466" s="3052"/>
      <c r="G1466" s="3052"/>
      <c r="H1466" s="3052"/>
      <c r="O1466" s="3047" t="s">
        <v>1731</v>
      </c>
      <c r="P1466" s="2135"/>
      <c r="Q1466" s="2135"/>
    </row>
    <row r="1467" spans="1:31" s="652" customFormat="1" ht="14.15" customHeight="1">
      <c r="B1467" s="474" t="s">
        <v>3901</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propsed project is in an efficient and high need area per market study.</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5"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The proposed project is in a low poverty census tract and will be part of a master planned community that is intencted to target high income owners and renters with high quality amenities in the master plan. The market area identifies a high need for affordable housing with low vacancies and lenghty waitlists.</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5" customHeight="1">
      <c r="A1492" s="2550" t="str">
        <f>CONCATENATE("PART EIGHT - SCORING CRITERIA","  -  ",'Part I-Project Identification'!$O$7," ",'Part I-Project Identification'!$F$29,", ",'Part I-Project Identification'!F1521,", ",'Part I-Project Identification'!J1521," County")</f>
        <v>PART EIGHT - SCORING CRITERIA  -  2022-0 Villa Rica Senior, ,  County</v>
      </c>
      <c r="B1492" s="2550"/>
      <c r="C1492" s="2550"/>
      <c r="D1492" s="2550"/>
      <c r="E1492" s="2550"/>
      <c r="F1492" s="2550"/>
      <c r="G1492" s="2550"/>
      <c r="H1492" s="2550"/>
      <c r="I1492" s="2550"/>
      <c r="J1492" s="2550"/>
      <c r="K1492" s="2550"/>
      <c r="L1492" s="2550"/>
      <c r="M1492" s="2550"/>
      <c r="N1492" s="2550"/>
      <c r="O1492" s="2550"/>
      <c r="P1492" s="2550"/>
      <c r="Q1492" s="3127" t="s">
        <v>6653</v>
      </c>
      <c r="R1492" s="3127"/>
      <c r="S1492" s="3127"/>
      <c r="T1492" s="3127"/>
      <c r="U1492" s="3127"/>
      <c r="V1492" s="3127"/>
      <c r="W1492" s="3127"/>
      <c r="X1492" s="3128"/>
    </row>
    <row r="1493" spans="1:25" s="652" customFormat="1" ht="4.4000000000000004"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6869</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67</v>
      </c>
      <c r="P1497" s="3132">
        <f>P1932</f>
        <v>25</v>
      </c>
      <c r="Q1497" s="3133" t="s">
        <v>6870</v>
      </c>
      <c r="R1497" s="3127"/>
      <c r="S1497" s="3127"/>
      <c r="T1497" s="3127"/>
      <c r="U1497" s="3127"/>
      <c r="V1497" s="3127"/>
      <c r="W1497" s="3127"/>
      <c r="X1497" s="3127"/>
      <c r="Y1497" s="3127"/>
    </row>
    <row r="1498" spans="1:25" s="3093" customFormat="1" ht="3.65"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6871</v>
      </c>
      <c r="I1501" s="2967"/>
      <c r="J1501" s="2967"/>
      <c r="K1501" s="2967"/>
      <c r="L1501" s="2967"/>
      <c r="M1501" s="3136" t="s">
        <v>6872</v>
      </c>
      <c r="N1501" s="2967"/>
      <c r="O1501" s="2967"/>
      <c r="P1501" s="2910">
        <f>'Part VIII Scoring Criteria'!P10</f>
        <v>0</v>
      </c>
      <c r="Q1501" s="3127"/>
      <c r="R1501" s="3127"/>
      <c r="S1501" s="3127"/>
      <c r="T1501" s="3127"/>
      <c r="U1501" s="3127"/>
      <c r="V1501" s="3127"/>
      <c r="W1501" s="3127"/>
      <c r="X1501" s="3127"/>
      <c r="Y1501" s="3127"/>
    </row>
    <row r="1502" spans="1:25" s="3093" customFormat="1" ht="3.65"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6501</v>
      </c>
      <c r="G1503" s="3020"/>
      <c r="H1503" s="3020"/>
      <c r="I1503" s="3020"/>
      <c r="J1503" s="3020"/>
      <c r="K1503" s="3020"/>
      <c r="L1503" s="3020"/>
      <c r="M1503" s="3020"/>
      <c r="N1503" s="3020"/>
      <c r="O1503" s="3137" t="s">
        <v>3814</v>
      </c>
      <c r="P1503" s="2976">
        <f>SUM(P1504:P1522)</f>
        <v>0</v>
      </c>
      <c r="Q1503" s="3053" t="s">
        <v>6873</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6645</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6647</v>
      </c>
      <c r="B1514" s="2749" t="s">
        <v>6646</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6644</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6511</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6511</v>
      </c>
      <c r="AA1524" s="3144"/>
      <c r="AB1524" s="3144"/>
      <c r="AC1524" s="3144"/>
      <c r="AD1524" s="3144" t="s">
        <v>6131</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3341</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6565</v>
      </c>
      <c r="N1532" s="2692"/>
      <c r="O1532" s="2692"/>
      <c r="P1532" s="2707" t="str">
        <f>'Part VIII Scoring Criteria'!P41</f>
        <v>Yes</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f>'Part VIII Scoring Criteria'!P42</f>
        <v>0</v>
      </c>
      <c r="Q1533" s="2753"/>
      <c r="R1533" s="2802" t="s">
        <v>342</v>
      </c>
      <c r="S1533" s="2883" t="s">
        <v>4043</v>
      </c>
      <c r="T1533" s="2692"/>
      <c r="U1533" s="474"/>
      <c r="V1533" s="474"/>
      <c r="W1533" s="474"/>
      <c r="X1533" s="3147">
        <f>O1695</f>
        <v>8</v>
      </c>
      <c r="Y1533" s="3147">
        <f>O1695</f>
        <v>8</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f>'Part VIII Scoring Criteria'!P43</f>
        <v>0</v>
      </c>
      <c r="Q1534" s="2753"/>
      <c r="R1534" s="2802" t="s">
        <v>343</v>
      </c>
      <c r="S1534" s="2883" t="s">
        <v>6134</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6519</v>
      </c>
      <c r="N1535" s="2719"/>
      <c r="O1535" s="2847" t="s">
        <v>6148</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6135</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3372</v>
      </c>
      <c r="S1537" s="2883" t="s">
        <v>4047</v>
      </c>
      <c r="T1537" s="2692"/>
      <c r="U1537" s="474"/>
      <c r="V1537" s="474"/>
      <c r="W1537" s="474"/>
      <c r="X1537" s="3147">
        <f>O1742</f>
        <v>0</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3372</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t="str">
        <f>'Part VIII Scoring Criteria'!P48</f>
        <v>No</v>
      </c>
      <c r="R1539" s="2802" t="s">
        <v>3372</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6874</v>
      </c>
      <c r="AR1539" s="2719"/>
      <c r="AS1539" s="2550"/>
      <c r="AT1539" s="3151">
        <f>'Part V-Revenues &amp; Expenses'!P1606+'Part V-Revenues &amp; Expenses'!P1613+'Part V-Revenues &amp; Expenses'!P1614</f>
        <v>0</v>
      </c>
    </row>
    <row r="1540" spans="1:46" s="652" customFormat="1" ht="10.5" customHeight="1">
      <c r="A1540" s="2802" t="s">
        <v>3373</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t="str">
        <f>'Part II-Sources of Funds'!$L$14</f>
        <v>No</v>
      </c>
      <c r="R1540" s="2802" t="s">
        <v>3373</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6699</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6563</v>
      </c>
      <c r="C1541" s="2833"/>
      <c r="D1541" s="1024"/>
      <c r="E1541" s="1024"/>
      <c r="F1541" s="1024"/>
      <c r="G1541" s="3146">
        <v>2</v>
      </c>
      <c r="H1541" s="3146"/>
      <c r="I1541" s="3146"/>
      <c r="J1541" s="3146">
        <v>2</v>
      </c>
      <c r="K1541" s="3146">
        <v>2</v>
      </c>
      <c r="L1541" s="3146">
        <v>2</v>
      </c>
      <c r="Q1541" s="2753"/>
      <c r="R1541" s="2802" t="s">
        <v>3371</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6136</v>
      </c>
      <c r="C1542" s="2833"/>
      <c r="D1542" s="1024"/>
      <c r="E1542" s="1024"/>
      <c r="F1542" s="1024"/>
      <c r="G1542" s="3146">
        <v>2</v>
      </c>
      <c r="H1542" s="3146"/>
      <c r="I1542" s="3146"/>
      <c r="J1542" s="3146">
        <v>2</v>
      </c>
      <c r="K1542" s="3146">
        <v>2</v>
      </c>
      <c r="L1542" s="3146">
        <v>2</v>
      </c>
      <c r="M1542" s="3152" t="s">
        <v>6742</v>
      </c>
      <c r="N1542" s="3152"/>
      <c r="O1542" s="3152"/>
      <c r="P1542" s="3152"/>
      <c r="Q1542" s="499"/>
      <c r="R1542" s="2802" t="s">
        <v>3374</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6559</v>
      </c>
      <c r="C1547" s="2833"/>
      <c r="D1547" s="1024"/>
      <c r="E1547" s="1024"/>
      <c r="F1547" s="1024"/>
      <c r="G1547" s="3146">
        <v>3</v>
      </c>
      <c r="H1547" s="3146">
        <v>3</v>
      </c>
      <c r="I1547" s="3146">
        <v>3</v>
      </c>
      <c r="J1547" s="3146">
        <v>3</v>
      </c>
      <c r="K1547" s="3146">
        <v>3</v>
      </c>
      <c r="L1547" s="3146">
        <v>3</v>
      </c>
      <c r="R1547" s="2802" t="s">
        <v>3381</v>
      </c>
      <c r="S1547" s="2883" t="s">
        <v>6559</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3382</v>
      </c>
      <c r="S1548" s="2883" t="s">
        <v>6138</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6561</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3807</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67</v>
      </c>
      <c r="Y1553" s="3153">
        <f t="shared" ref="Y1553" si="462">SUM(Y1526:Y1551)</f>
        <v>64</v>
      </c>
      <c r="Z1553" s="3153">
        <f>SUM(Z1526:Z1551)</f>
        <v>31</v>
      </c>
      <c r="AA1553" s="3153">
        <f>SUM(AA1526:AA1551)</f>
        <v>31</v>
      </c>
      <c r="AB1553" s="3153">
        <f>SUM(AB1526:AB1551)</f>
        <v>33</v>
      </c>
      <c r="AC1553" s="3153">
        <f>SUM(AC1526:AC1551)</f>
        <v>33</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6875</v>
      </c>
      <c r="M1554" s="2910">
        <v>10</v>
      </c>
      <c r="N1554" s="3154"/>
      <c r="O1554" s="3012">
        <v>10</v>
      </c>
      <c r="P1554" s="3012">
        <f>'Part VIII Scoring Criteria'!P63</f>
        <v>10</v>
      </c>
      <c r="Q1554" s="2910" t="s">
        <v>416</v>
      </c>
      <c r="R1554" s="474"/>
    </row>
    <row r="1555" spans="1:35" s="3093" customFormat="1" ht="3.65"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6876</v>
      </c>
    </row>
    <row r="1557" spans="1:35" s="3093" customFormat="1" ht="12.75" customHeight="1">
      <c r="A1557" s="2950"/>
      <c r="B1557" s="3155" t="s">
        <v>1845</v>
      </c>
      <c r="C1557" s="2135" t="s">
        <v>3812</v>
      </c>
      <c r="D1557" s="2135"/>
      <c r="E1557" s="2135"/>
      <c r="F1557" s="2976"/>
      <c r="H1557" s="2692" t="s">
        <v>3177</v>
      </c>
      <c r="J1557" s="2967"/>
      <c r="N1557" s="3156" t="s">
        <v>1845</v>
      </c>
      <c r="P1557" s="2987">
        <f>F1565</f>
        <v>0</v>
      </c>
    </row>
    <row r="1558" spans="1:35" s="3093" customFormat="1" ht="12.75" customHeight="1">
      <c r="A1558" s="2950"/>
      <c r="B1558" s="3155" t="s">
        <v>1847</v>
      </c>
      <c r="C1558" s="2135" t="s">
        <v>6877</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6813</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6878</v>
      </c>
      <c r="J1562" s="2967"/>
      <c r="M1562" s="2910"/>
      <c r="N1562" s="3064" t="s">
        <v>1844</v>
      </c>
      <c r="P1562" s="2987">
        <f>O1565</f>
        <v>0</v>
      </c>
      <c r="Q1562" s="474" t="s">
        <v>6876</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6778</v>
      </c>
      <c r="B1564" s="3161"/>
      <c r="C1564" s="3161"/>
      <c r="D1564" s="3161"/>
      <c r="E1564" s="3161"/>
      <c r="F1564" s="2822" t="s">
        <v>3393</v>
      </c>
      <c r="G1564" s="3011" t="s">
        <v>6779</v>
      </c>
      <c r="H1564" s="3011"/>
      <c r="I1564" s="3011"/>
      <c r="J1564" s="2822" t="s">
        <v>3393</v>
      </c>
      <c r="K1564" s="3006" t="s">
        <v>6780</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6879</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6880</v>
      </c>
      <c r="E1581" s="474"/>
      <c r="G1581" s="3006"/>
      <c r="H1581" s="1024" t="s">
        <v>6654</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2</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6881</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t="str">
        <f>'Part VIII Scoring Criteria'!O98</f>
        <v>N/a</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4.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6882</v>
      </c>
      <c r="J1596" s="2849"/>
      <c r="K1596" s="2849"/>
      <c r="L1596" s="2849"/>
      <c r="M1596" s="2917">
        <v>20</v>
      </c>
      <c r="N1596" s="3157" t="s">
        <v>1842</v>
      </c>
      <c r="O1596" s="3181">
        <f>'Part VIII Scoring Criteria'!O105</f>
        <v>20</v>
      </c>
      <c r="P1596" s="3182"/>
      <c r="Q1596" s="3104"/>
      <c r="R1596" s="2694" t="s">
        <v>4063</v>
      </c>
    </row>
    <row r="1597" spans="1:18" s="3106" customFormat="1" ht="12.75" customHeight="1">
      <c r="A1597" s="2950" t="s">
        <v>1844</v>
      </c>
      <c r="B1597" s="2135" t="s">
        <v>3281</v>
      </c>
      <c r="D1597" s="3183"/>
      <c r="F1597" s="2794"/>
      <c r="H1597" s="2802" t="s">
        <v>3340</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320">
      <c r="A1599" s="3049" t="str">
        <f>'Part VIII Scoring Criteria'!A108</f>
        <v xml:space="preserve">We have included the Desirable/Undesirable Certification form along with the accompanying maps and photos in Tab 27. Future planned activities within the master development include an adjacent Publix with construction to start in 2023, a YMCA, a restaurant and a Tanner Medical facility with construction to begin in 2023.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6150</v>
      </c>
      <c r="I1603" s="2847" t="s">
        <v>6146</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f>'Part VIII Scoring Criteria'!O114</f>
        <v>0</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f>'Part VIII Scoring Criteria'!O115</f>
        <v>0</v>
      </c>
      <c r="P1606" s="2976"/>
      <c r="Q1606" s="2910"/>
      <c r="R1606" s="3185"/>
      <c r="S1606" s="3185"/>
      <c r="T1606" s="3185"/>
      <c r="U1606" s="3185"/>
    </row>
    <row r="1607" spans="1:21" s="3093" customFormat="1" ht="11.25" customHeight="1">
      <c r="A1607" s="3135"/>
      <c r="B1607" s="3187" t="s">
        <v>2333</v>
      </c>
      <c r="C1607" s="474" t="s">
        <v>6152</v>
      </c>
      <c r="D1607" s="3183"/>
      <c r="E1607" s="3106"/>
      <c r="F1607" s="3106"/>
      <c r="G1607" s="3106"/>
      <c r="H1607" s="2967"/>
      <c r="I1607" s="2967"/>
      <c r="J1607" s="2135"/>
      <c r="K1607" s="2135"/>
      <c r="L1607" s="3106"/>
      <c r="M1607" s="3106"/>
      <c r="N1607" s="3064"/>
      <c r="O1607" s="3066">
        <f>'Part VIII Scoring Criteria'!O116</f>
        <v>0</v>
      </c>
      <c r="P1607" s="2976"/>
      <c r="Q1607" s="2910"/>
      <c r="R1607" s="3185"/>
      <c r="S1607" s="3185"/>
      <c r="T1607" s="3185"/>
      <c r="U1607" s="3185"/>
    </row>
    <row r="1608" spans="1:21" s="3093" customFormat="1" ht="11.25" customHeight="1">
      <c r="A1608" s="3135"/>
      <c r="B1608" s="3187" t="s">
        <v>1151</v>
      </c>
      <c r="C1608" s="474" t="s">
        <v>6883</v>
      </c>
      <c r="D1608" s="3183"/>
      <c r="E1608" s="3106"/>
      <c r="F1608" s="3106"/>
      <c r="G1608" s="3106"/>
      <c r="H1608" s="2967"/>
      <c r="I1608" s="2967"/>
      <c r="J1608" s="2135"/>
      <c r="K1608" s="2135"/>
      <c r="L1608" s="3106"/>
      <c r="M1608" s="3106"/>
      <c r="N1608" s="3064"/>
      <c r="O1608" s="3066">
        <f>'Part VIII Scoring Criteria'!O117</f>
        <v>0</v>
      </c>
      <c r="P1608" s="2976"/>
      <c r="Q1608" s="2910"/>
      <c r="R1608" s="3185"/>
      <c r="S1608" s="3185"/>
      <c r="T1608" s="3185"/>
      <c r="U1608" s="3185"/>
    </row>
    <row r="1609" spans="1:21" s="3093" customFormat="1" ht="11.25" customHeight="1">
      <c r="A1609" s="3135"/>
      <c r="B1609" s="3187">
        <v>5</v>
      </c>
      <c r="C1609" s="474" t="s">
        <v>6575</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6578</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3218</v>
      </c>
      <c r="G1613" s="2135"/>
      <c r="H1613" s="2135"/>
      <c r="I1613" s="2135"/>
      <c r="J1613" s="2135" t="s">
        <v>3219</v>
      </c>
      <c r="K1613" s="2135"/>
      <c r="L1613" s="2135"/>
      <c r="M1613" s="2135"/>
      <c r="N1613" s="3064"/>
      <c r="O1613" s="3189" t="s">
        <v>6884</v>
      </c>
      <c r="P1613" s="3189"/>
      <c r="Q1613" s="2910"/>
      <c r="R1613" s="3185"/>
      <c r="S1613" s="3185"/>
      <c r="T1613" s="3185"/>
      <c r="U1613" s="3185"/>
    </row>
    <row r="1614" spans="1:21" s="3093" customFormat="1" ht="12" customHeight="1">
      <c r="B1614" s="3188"/>
      <c r="C1614" s="2692" t="s">
        <v>6781</v>
      </c>
      <c r="E1614" s="2719"/>
      <c r="F1614" s="2711">
        <f>'Part VIII Scoring Criteria'!F123</f>
        <v>0</v>
      </c>
      <c r="G1614" s="2711"/>
      <c r="H1614" s="3190"/>
      <c r="I1614" s="3190"/>
      <c r="J1614" s="2711">
        <f>'Part VIII Scoring Criteria'!J123</f>
        <v>0</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6688</v>
      </c>
      <c r="B1616" s="3193"/>
      <c r="C1616" s="2692" t="s">
        <v>6782</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5" customHeight="1">
      <c r="A1619" s="2983" t="s">
        <v>6885</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5" customHeight="1">
      <c r="A1621" s="3067" t="s">
        <v>1842</v>
      </c>
      <c r="B1621" s="2135" t="s">
        <v>3239</v>
      </c>
      <c r="D1621" s="3180"/>
      <c r="F1621" s="2967" t="s">
        <v>6886</v>
      </c>
      <c r="M1621" s="2910">
        <v>6</v>
      </c>
      <c r="N1621" s="3156" t="s">
        <v>1842</v>
      </c>
      <c r="O1621" s="3132">
        <f>'Part VIII Scoring Criteria'!O130</f>
        <v>0</v>
      </c>
      <c r="P1621" s="3132">
        <f>'Part VIII Scoring Criteria'!P130</f>
        <v>0</v>
      </c>
      <c r="Q1621" s="2910"/>
    </row>
    <row r="1622" spans="1:21" s="3093" customFormat="1" ht="12.65" customHeight="1">
      <c r="A1622" s="3067"/>
      <c r="B1622" s="474" t="s">
        <v>6154</v>
      </c>
      <c r="D1622" s="3180"/>
      <c r="F1622" s="2967"/>
      <c r="M1622" s="2910"/>
      <c r="N1622" s="3156"/>
      <c r="O1622" s="3066">
        <f>'Part VIII Scoring Criteria'!O131</f>
        <v>0</v>
      </c>
      <c r="P1622" s="2976"/>
      <c r="Q1622" s="2910"/>
    </row>
    <row r="1623" spans="1:21" s="3195" customFormat="1" ht="14.5">
      <c r="B1623" s="3196" t="s">
        <v>1845</v>
      </c>
      <c r="C1623" s="2749" t="s">
        <v>6887</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6888</v>
      </c>
      <c r="D1624" s="2849"/>
      <c r="E1624" s="2849"/>
      <c r="F1624" s="2849"/>
      <c r="G1624" s="2746"/>
      <c r="J1624" s="2849" t="s">
        <v>6889</v>
      </c>
      <c r="K1624" s="2849"/>
      <c r="L1624" s="2849"/>
      <c r="M1624" s="2917">
        <v>5</v>
      </c>
      <c r="N1624" s="3187" t="s">
        <v>1847</v>
      </c>
      <c r="O1624" s="3199">
        <f>'Part VIII Scoring Criteria'!O133</f>
        <v>0</v>
      </c>
      <c r="P1624" s="3132"/>
      <c r="Q1624" s="2802" t="s">
        <v>6679</v>
      </c>
      <c r="R1624" s="2822" t="s">
        <v>6271</v>
      </c>
      <c r="S1624" s="2822" t="s">
        <v>6151</v>
      </c>
    </row>
    <row r="1625" spans="1:21" s="3195" customFormat="1" ht="12" customHeight="1">
      <c r="B1625" s="3196"/>
      <c r="C1625" s="2692"/>
      <c r="D1625" s="2849"/>
      <c r="E1625" s="2849"/>
      <c r="F1625" s="2849"/>
      <c r="G1625" s="2746"/>
      <c r="H1625" s="2849" t="s">
        <v>6890</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t="str">
        <f>'Part VIII Scoring Criteria'!H135</f>
        <v>N/A</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6891</v>
      </c>
      <c r="J1628" s="2744" t="str">
        <f>'Part VIII Scoring Criteria'!J137</f>
        <v>Carroll Connection</v>
      </c>
      <c r="K1628" s="2744"/>
      <c r="L1628" s="3204" t="s">
        <v>3238</v>
      </c>
      <c r="M1628" s="2917">
        <v>3</v>
      </c>
      <c r="N1628" s="3064" t="s">
        <v>1844</v>
      </c>
      <c r="O1628" s="3012">
        <f>'Part VIII Scoring Criteria'!O137</f>
        <v>2</v>
      </c>
      <c r="P1628" s="3012">
        <f>'Part VIII Scoring Criteria'!P137</f>
        <v>3</v>
      </c>
      <c r="Q1628" s="2802" t="s">
        <v>6680</v>
      </c>
      <c r="R1628" s="2976">
        <v>0.25</v>
      </c>
      <c r="S1628" s="2976">
        <v>3</v>
      </c>
    </row>
    <row r="1629" spans="1:21" s="3093" customFormat="1" ht="12" customHeight="1">
      <c r="A1629" s="3135"/>
      <c r="B1629" s="3205" t="s">
        <v>1845</v>
      </c>
      <c r="C1629" s="2692" t="s">
        <v>6892</v>
      </c>
      <c r="D1629" s="2849"/>
      <c r="E1629" s="2849"/>
      <c r="F1629" s="2849"/>
      <c r="G1629" s="2746"/>
      <c r="H1629" s="2849" t="s">
        <v>6893</v>
      </c>
      <c r="I1629" s="2849"/>
      <c r="J1629" s="2875" t="s">
        <v>6698</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t="str">
        <f>'Part VIII Scoring Criteria'!H139</f>
        <v>N/A</v>
      </c>
      <c r="I1630" s="3202"/>
      <c r="J1630" s="2744" t="str">
        <f>'Part VIII Scoring Criteria'!J139</f>
        <v>www.threeriversrc.com</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6894</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6895</v>
      </c>
      <c r="D1633" s="2849"/>
      <c r="E1633" s="2849"/>
      <c r="F1633" s="2849"/>
      <c r="G1633" s="2849"/>
      <c r="H1633" s="2849"/>
      <c r="I1633" s="2849"/>
      <c r="J1633" s="2744" t="str">
        <f>'Part VIII Scoring Criteria'!J142</f>
        <v>www.threeriversrc.com</v>
      </c>
      <c r="K1633" s="2744"/>
      <c r="L1633" s="2744"/>
      <c r="M1633" s="2522">
        <v>2</v>
      </c>
      <c r="N1633" s="3196" t="s">
        <v>2333</v>
      </c>
      <c r="O1633" s="3208">
        <f>'Part VIII Scoring Criteria'!O142</f>
        <v>2</v>
      </c>
      <c r="P1633" s="3209"/>
      <c r="Q1633" s="3200"/>
      <c r="R1633" s="2694"/>
    </row>
    <row r="1634" spans="1:19" s="3093" customFormat="1" ht="14.5">
      <c r="C1634" s="2849"/>
      <c r="D1634" s="2849"/>
      <c r="E1634" s="2849"/>
      <c r="F1634" s="2849"/>
      <c r="G1634" s="2849"/>
      <c r="H1634" s="2849"/>
      <c r="I1634" s="2849"/>
      <c r="J1634" s="2744"/>
      <c r="K1634" s="2744"/>
      <c r="L1634" s="2744"/>
      <c r="O1634" s="3208">
        <f>'Part VIII Scoring Criteria'!O143</f>
        <v>0</v>
      </c>
      <c r="P1634" s="3209"/>
    </row>
    <row r="1635" spans="1:19" s="3093" customFormat="1" ht="12.65" customHeight="1">
      <c r="A1635" s="474" t="s">
        <v>6896</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60">
      <c r="A1637" s="3049" t="str">
        <f>'Part VIII Scoring Criteria'!A146</f>
        <v>This site is within the on call service area for Carroll Connection.</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3825</v>
      </c>
      <c r="H1642" s="2847" t="str">
        <f>'Part VII-Threshold Criteria'!$J$35</f>
        <v>HFOP</v>
      </c>
      <c r="M1642" s="2910">
        <v>3</v>
      </c>
      <c r="N1642" s="3141"/>
      <c r="O1642" s="2912">
        <f>'Part VIII Scoring Criteria'!O151</f>
        <v>3</v>
      </c>
      <c r="P1642" s="2910">
        <f>'Part VIII Scoring Criteria'!P151</f>
        <v>0</v>
      </c>
      <c r="Q1642" s="3104" t="str">
        <f>IF(OR($O1642&lt;=$M1642,$O1642=0,$O1642=""),"","*CHECK!*")</f>
        <v/>
      </c>
      <c r="R1642" s="2906" t="s">
        <v>416</v>
      </c>
      <c r="S1642" s="2694" t="s">
        <v>4063</v>
      </c>
    </row>
    <row r="1643" spans="1:19" ht="18.75" customHeight="1">
      <c r="C1643" s="2752" t="s">
        <v>6897</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6725</v>
      </c>
      <c r="F1644" s="2752"/>
      <c r="G1644" s="2752"/>
      <c r="H1644" s="2752"/>
      <c r="I1644" s="3210"/>
      <c r="J1644" s="3080" t="s">
        <v>6634</v>
      </c>
      <c r="K1644" s="3080"/>
      <c r="L1644" s="3080"/>
      <c r="M1644" s="3080"/>
    </row>
    <row r="1645" spans="1:19" ht="12.75" customHeight="1">
      <c r="B1645" s="2883"/>
      <c r="C1645" s="2883"/>
      <c r="D1645" s="2883"/>
      <c r="F1645" s="3211" t="s">
        <v>6783</v>
      </c>
      <c r="G1645" s="3211"/>
      <c r="H1645" s="3211" t="s">
        <v>6784</v>
      </c>
      <c r="I1645" s="3211"/>
      <c r="J1645" s="3211" t="s">
        <v>6636</v>
      </c>
      <c r="K1645" s="3211"/>
      <c r="L1645" s="3211" t="s">
        <v>6637</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6638</v>
      </c>
      <c r="C1647" s="3081"/>
      <c r="D1647" s="3212"/>
      <c r="F1647" s="3211"/>
      <c r="G1647" s="3211"/>
      <c r="H1647" s="3211"/>
      <c r="I1647" s="3211"/>
      <c r="J1647" s="3211"/>
      <c r="K1647" s="3211"/>
      <c r="L1647" s="3211"/>
      <c r="M1647" s="3211"/>
      <c r="N1647" s="2851"/>
      <c r="O1647" s="2709"/>
      <c r="P1647" s="2857"/>
    </row>
    <row r="1648" spans="1:19" ht="31.5">
      <c r="B1648" s="2875" t="str">
        <f>'Part VIII Scoring Criteria'!B157</f>
        <v>Ithica Elementary School</v>
      </c>
      <c r="C1648" s="2875"/>
      <c r="D1648" s="2875"/>
      <c r="E1648" s="2875"/>
      <c r="F1648" s="2875" t="str">
        <f>'Part VIII Scoring Criteria'!F157</f>
        <v>Yes</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21">
      <c r="B1649" s="2875" t="str">
        <f>'Part VIII Scoring Criteria'!B158</f>
        <v>Bay Springs Middle School</v>
      </c>
      <c r="C1649" s="2875"/>
      <c r="D1649" s="2875"/>
      <c r="E1649" s="2875"/>
      <c r="F1649" s="2875" t="str">
        <f>'Part VIII Scoring Criteria'!F158</f>
        <v>Yes</v>
      </c>
      <c r="G1649" s="2875"/>
      <c r="H1649" s="2875" t="str">
        <f>'Part VIII Scoring Criteria'!H158</f>
        <v>Yes</v>
      </c>
      <c r="I1649" s="2875"/>
      <c r="J1649" s="2913" t="str">
        <f>'Part VIII Scoring Criteria'!J158</f>
        <v>Yes</v>
      </c>
      <c r="K1649" s="2913"/>
      <c r="L1649" s="2913" t="str">
        <f>'Part VIII Scoring Criteria'!L158</f>
        <v>Yes</v>
      </c>
      <c r="M1649" s="2913"/>
      <c r="N1649" s="2971"/>
      <c r="O1649" s="2971"/>
      <c r="P1649" s="2857"/>
    </row>
    <row r="1650" spans="1:21" ht="21">
      <c r="B1650" s="2875" t="str">
        <f>'Part VIII Scoring Criteria'!B159</f>
        <v>Villa Rica High School</v>
      </c>
      <c r="C1650" s="2875"/>
      <c r="D1650" s="2875"/>
      <c r="E1650" s="2875"/>
      <c r="F1650" s="2875" t="str">
        <f>'Part VIII Scoring Criteria'!F159</f>
        <v>Yes</v>
      </c>
      <c r="G1650" s="2875"/>
      <c r="H1650" s="2875" t="str">
        <f>'Part VIII Scoring Criteria'!H159</f>
        <v>No</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60">
      <c r="A1655" s="3049" t="str">
        <f>'Part VIII Scoring Criteria'!A164</f>
        <v>All zoned schools meet the quality education criteria.</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6785</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4063</v>
      </c>
      <c r="S1662" s="2679"/>
      <c r="T1662" s="2679"/>
      <c r="U1662" s="2679"/>
    </row>
    <row r="1663" spans="1:21" s="2980" customFormat="1" ht="12" customHeight="1">
      <c r="B1663" s="3058" t="s">
        <v>2241</v>
      </c>
      <c r="C1663" s="3046" t="s">
        <v>6689</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6182</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6183</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6786</v>
      </c>
      <c r="D1670" s="3046"/>
      <c r="E1670" s="3053"/>
      <c r="F1670" s="3053"/>
      <c r="G1670" s="3053"/>
      <c r="H1670" s="3053"/>
      <c r="I1670" s="3053"/>
      <c r="J1670" s="3053"/>
      <c r="K1670" s="3053"/>
      <c r="L1670" s="3053"/>
      <c r="M1670" s="2522">
        <v>1</v>
      </c>
      <c r="N1670" s="3058" t="s">
        <v>4081</v>
      </c>
      <c r="O1670" s="3218">
        <f>'Part VIII Scoring Criteria'!O179</f>
        <v>0</v>
      </c>
      <c r="P1670" s="3160"/>
      <c r="Q1670" s="3104" t="str">
        <f>IF(OR($O1670=$M1670,$O1670=0,$O1670=""),"","*CHECK!*")</f>
        <v/>
      </c>
      <c r="R1670" s="2694" t="s">
        <v>4063</v>
      </c>
    </row>
    <row r="1671" spans="1:22" s="652" customFormat="1" ht="13">
      <c r="A1671" s="3064"/>
      <c r="B1671" s="3058" t="s">
        <v>2242</v>
      </c>
      <c r="C1671" s="3046" t="s">
        <v>6787</v>
      </c>
      <c r="D1671" s="3046"/>
      <c r="E1671" s="3053"/>
      <c r="F1671" s="3053"/>
      <c r="G1671" s="3053"/>
      <c r="H1671" s="3053"/>
      <c r="I1671" s="3053"/>
      <c r="J1671" s="3053"/>
      <c r="K1671" s="3053"/>
      <c r="L1671" s="3053"/>
      <c r="M1671" s="2522">
        <v>1</v>
      </c>
      <c r="N1671" s="3058" t="s">
        <v>6268</v>
      </c>
      <c r="O1671" s="3222">
        <f>'Part VIII Scoring Criteria'!O180</f>
        <v>0</v>
      </c>
      <c r="P1671" s="3223"/>
      <c r="Q1671" s="3104" t="str">
        <f>IF(OR($O1671=$M1671,$O1671=0,$O1671=""),"","*CHECK!*")</f>
        <v/>
      </c>
      <c r="R1671" s="2694" t="s">
        <v>4063</v>
      </c>
    </row>
    <row r="1672" spans="1:22" s="652" customFormat="1" ht="12" customHeight="1">
      <c r="A1672" s="3064"/>
      <c r="B1672" s="3089" t="s">
        <v>2243</v>
      </c>
      <c r="C1672" s="3006" t="s">
        <v>6788</v>
      </c>
      <c r="D1672" s="3046"/>
      <c r="E1672" s="3046"/>
      <c r="F1672" s="3046"/>
      <c r="G1672" s="3046"/>
      <c r="H1672" s="3046"/>
      <c r="I1672" s="3046"/>
      <c r="J1672" s="3046"/>
      <c r="K1672" s="3046"/>
      <c r="L1672" s="3046"/>
      <c r="M1672" s="2917">
        <v>1</v>
      </c>
      <c r="N1672" s="3064" t="s">
        <v>6269</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4063</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15.5">
      <c r="A1676" s="3049" t="str">
        <f>'Part VIII Scoring Criteria'!A185</f>
        <v>N/A</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5" customHeight="1">
      <c r="A1683" s="2950" t="s">
        <v>698</v>
      </c>
      <c r="B1683" s="2135" t="s">
        <v>6789</v>
      </c>
      <c r="D1683" s="2550"/>
      <c r="G1683" s="3112"/>
      <c r="O1683" s="2976"/>
      <c r="P1683" s="2976"/>
      <c r="Q1683" s="2847"/>
    </row>
    <row r="1684" spans="1:24" s="3228" customFormat="1" ht="12.75" customHeight="1">
      <c r="B1684" s="3196" t="s">
        <v>1845</v>
      </c>
      <c r="C1684" s="3046" t="s">
        <v>6215</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6216</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7.5">
      <c r="A1686" s="3064"/>
      <c r="B1686" s="3196" t="s">
        <v>2333</v>
      </c>
      <c r="C1686" s="3046" t="s">
        <v>6219</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5" customHeight="1">
      <c r="A1687" s="2950" t="s">
        <v>1963</v>
      </c>
      <c r="B1687" s="2135" t="s">
        <v>6217</v>
      </c>
      <c r="C1687" s="2755"/>
      <c r="D1687" s="2550"/>
      <c r="G1687" s="3112"/>
      <c r="O1687" s="2976"/>
      <c r="P1687" s="2976"/>
      <c r="Q1687" s="2847"/>
    </row>
    <row r="1688" spans="1:24" s="3228" customFormat="1" ht="12.75" customHeight="1">
      <c r="B1688" s="3196" t="s">
        <v>1845</v>
      </c>
      <c r="C1688" s="3046" t="s">
        <v>6790</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6791</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15.5">
      <c r="A1691" s="2744" t="str">
        <f>'Part VIII Scoring Criteria'!A200</f>
        <v>N/A</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8</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5</v>
      </c>
      <c r="P1697" s="3012"/>
      <c r="Q1697" s="3104" t="str">
        <f>IF(O1697&lt;=M1697,"","*CHECK!*")</f>
        <v/>
      </c>
      <c r="R1697" s="2694" t="s">
        <v>4063</v>
      </c>
      <c r="S1697" s="3232"/>
      <c r="T1697" s="3232"/>
      <c r="U1697" s="3232"/>
    </row>
    <row r="1698" spans="1:37" ht="12.75" customHeight="1">
      <c r="B1698" s="3235"/>
      <c r="C1698" s="2971" t="s">
        <v>6262</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6263</v>
      </c>
      <c r="D1699" s="2851"/>
      <c r="J1699" s="3241" t="str">
        <f>'Part VIII Scoring Criteria'!J208</f>
        <v>910103</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6221</v>
      </c>
      <c r="C1701" s="474"/>
      <c r="K1701" s="3064"/>
      <c r="L1701" s="3064"/>
      <c r="M1701" s="2917">
        <v>5</v>
      </c>
      <c r="N1701" s="3064" t="s">
        <v>1844</v>
      </c>
      <c r="O1701" s="3173">
        <f>'Part VIII Scoring Criteria'!O210</f>
        <v>3</v>
      </c>
      <c r="P1701" s="3012"/>
      <c r="Q1701" s="3104" t="str">
        <f>IF(O1701&lt;=M1701,"","*CHECK!*")</f>
        <v/>
      </c>
      <c r="R1701" s="2694" t="s">
        <v>4063</v>
      </c>
      <c r="S1701" s="3232"/>
      <c r="T1701" s="3232"/>
      <c r="U1701" s="3232"/>
    </row>
    <row r="1702" spans="1:37" ht="13">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t="str">
        <f>'Part VIII Scoring Criteria'!E212</f>
        <v>At or Below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t="str">
        <f>'Part VIII Scoring Criteria'!E213</f>
        <v>Above 60th Percentile</v>
      </c>
      <c r="F1704" s="3245"/>
      <c r="G1704" s="3245"/>
      <c r="H1704" s="3245"/>
      <c r="I1704" s="3248" t="str">
        <f>'Part VIII Scoring Criteria'!I213</f>
        <v>2020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t="str">
        <f>'Part VIII Scoring Criteria'!E214</f>
        <v>Above 60th Percentile</v>
      </c>
      <c r="F1705" s="3245"/>
      <c r="G1705" s="3245"/>
      <c r="H1705" s="3245"/>
      <c r="I1705" s="3248" t="str">
        <f>'Part VIII Scoring Criteria'!I214</f>
        <v>2020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t="str">
        <f>'Part VIII Scoring Criteria'!E215</f>
        <v>At or Above 80th Percentile</v>
      </c>
      <c r="F1706" s="3250"/>
      <c r="G1706" s="3250"/>
      <c r="H1706" s="3250"/>
      <c r="I1706" s="3251" t="str">
        <f>'Part VIII Scoring Criteria'!I215</f>
        <v>2020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90">
      <c r="A1710" s="3049" t="str">
        <f>'Part VIII Scoring Criteria'!A219</f>
        <v>This census tract income level is middle and three indicators meet the required metric.</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6257</v>
      </c>
      <c r="D1716" s="474"/>
      <c r="E1716" s="474"/>
      <c r="F1716" s="2910"/>
      <c r="G1716" s="2976" t="s">
        <v>3155</v>
      </c>
      <c r="H1716" s="3073">
        <f>IF('Part V-Revenues &amp; Expenses'!$P$67=0,0,'Part V-Revenues &amp; Expenses'!$P$64/'Part V-Revenues &amp; Expenses'!$P$67)</f>
        <v>0.13333333333333333</v>
      </c>
      <c r="J1716" s="3112" t="s">
        <v>3964</v>
      </c>
      <c r="K1716" s="3074" t="str">
        <f>'Part V-Revenues &amp; Expenses'!$O$53</f>
        <v>40% of Units at 60% of AMI</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1</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0</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15.5">
      <c r="A1728" s="3049" t="str">
        <f>'Part VIII Scoring Criteria'!A237</f>
        <v>N/A</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0">
      <c r="A1733" s="3196"/>
      <c r="B1733" s="3046" t="s">
        <v>6264</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6265</v>
      </c>
      <c r="E1734" s="2923" t="s">
        <v>3312</v>
      </c>
      <c r="G1734" s="3066">
        <f>'Part VIII Scoring Criteria'!G243</f>
        <v>0</v>
      </c>
      <c r="H1734" s="3064" t="s">
        <v>574</v>
      </c>
      <c r="I1734" s="2913">
        <f>'Part VIII Scoring Criteria'!I243</f>
        <v>0</v>
      </c>
      <c r="J1734" s="2913"/>
      <c r="L1734" s="3257" t="s">
        <v>6267</v>
      </c>
      <c r="M1734" s="3258">
        <f>'Part VIII Scoring Criteria'!M243</f>
        <v>0</v>
      </c>
      <c r="N1734" s="3258"/>
    </row>
    <row r="1735" spans="1:27" s="474" customFormat="1" ht="11.25" customHeight="1">
      <c r="A1735" s="3187"/>
      <c r="B1735" s="3196" t="s">
        <v>1847</v>
      </c>
      <c r="C1735" s="2971" t="s">
        <v>6266</v>
      </c>
      <c r="E1735" s="2923" t="s">
        <v>3312</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15.5">
      <c r="A1738" s="3049" t="str">
        <f>'Part VIII Scoring Criteria'!A247</f>
        <v>N/A</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6273</v>
      </c>
      <c r="G1742" s="2984"/>
      <c r="L1742" s="3064" t="str">
        <f>IF(AND(O1742&gt;0,NOT($M$54="New Supply")), "Ineligible to score in this section, not New Supply!","")</f>
        <v/>
      </c>
      <c r="M1742" s="2910">
        <v>5</v>
      </c>
      <c r="N1742" s="2910"/>
      <c r="O1742" s="3012">
        <f>'Part VIII Scoring Criteria'!O251</f>
        <v>0</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6792</v>
      </c>
      <c r="M1743" s="2917">
        <v>5</v>
      </c>
      <c r="N1743" s="3064" t="s">
        <v>1842</v>
      </c>
      <c r="O1743" s="3173">
        <f>'Part VIII Scoring Criteria'!O252</f>
        <v>0</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6274</v>
      </c>
      <c r="M1744" s="2917">
        <v>3</v>
      </c>
      <c r="N1744" s="3064" t="s">
        <v>1844</v>
      </c>
      <c r="O1744" s="3173">
        <f>'Part VIII Scoring Criteria'!O253</f>
        <v>0</v>
      </c>
      <c r="P1744" s="3012"/>
      <c r="Q1744" s="3200" t="str">
        <f t="shared" ref="Q1744:Q1745" si="464">IF(OR($O1744=$M1744,$O1744=$M1744-1,$O1744=0,$O1744=""),"","*CHECK!*")</f>
        <v/>
      </c>
      <c r="R1744" s="2694" t="s">
        <v>4063</v>
      </c>
    </row>
    <row r="1745" spans="1:21" s="652" customFormat="1" ht="13">
      <c r="A1745" s="2950" t="s">
        <v>698</v>
      </c>
      <c r="B1745" s="2135" t="s">
        <v>6275</v>
      </c>
      <c r="E1745" s="2923" t="s">
        <v>6237</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15.5">
      <c r="A1747" s="3049" t="str">
        <f>'Part VIII Scoring Criteria'!A256</f>
        <v>N/A</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6619</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6620</v>
      </c>
      <c r="D1754" s="2984"/>
      <c r="E1754" s="2984"/>
      <c r="F1754" s="3114"/>
      <c r="G1754" s="652"/>
      <c r="L1754" s="3168"/>
      <c r="M1754" s="2917">
        <v>2</v>
      </c>
      <c r="N1754" s="3157" t="s">
        <v>1847</v>
      </c>
      <c r="O1754" s="3066" t="str">
        <f>'Part VIII Scoring Criteria'!O263</f>
        <v>No</v>
      </c>
      <c r="P1754" s="2976"/>
      <c r="Q1754" s="3200"/>
      <c r="R1754" s="2847"/>
      <c r="T1754" s="3260"/>
      <c r="U1754" s="3260"/>
    </row>
    <row r="1755" spans="1:21" s="3106" customFormat="1" ht="10.5" customHeight="1">
      <c r="A1755" s="2950"/>
      <c r="B1755" s="3196" t="s">
        <v>2333</v>
      </c>
      <c r="C1755" s="2923" t="s">
        <v>6621</v>
      </c>
      <c r="D1755" s="2984"/>
      <c r="E1755" s="2984"/>
      <c r="F1755" s="3114"/>
      <c r="G1755" s="652"/>
      <c r="K1755" s="3064"/>
      <c r="M1755" s="2917">
        <v>1</v>
      </c>
      <c r="N1755" s="3157" t="s">
        <v>2333</v>
      </c>
      <c r="O1755" s="3066" t="str">
        <f>'Part VIII Scoring Criteria'!O264</f>
        <v>No</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6622</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6898</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6579</v>
      </c>
      <c r="D1764" s="2967"/>
      <c r="E1764" s="2967"/>
      <c r="G1764" s="3256"/>
      <c r="H1764" s="2692"/>
      <c r="I1764" s="2847" t="s">
        <v>6146</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6580</v>
      </c>
      <c r="D1766" s="3061"/>
      <c r="E1766" s="3061"/>
      <c r="F1766" s="3061"/>
      <c r="G1766" s="3061"/>
      <c r="H1766" s="3061"/>
      <c r="L1766" s="3061"/>
      <c r="M1766" s="2666">
        <v>1</v>
      </c>
      <c r="N1766" s="3064" t="s">
        <v>1842</v>
      </c>
      <c r="O1766" s="3066" t="str">
        <f>'Part VIII Scoring Criteria'!O275</f>
        <v>N/a</v>
      </c>
      <c r="P1766" s="2976"/>
      <c r="Q1766" s="2860">
        <f>IF(L1766="Yes",1,0)</f>
        <v>0</v>
      </c>
      <c r="R1766" s="3232"/>
      <c r="S1766" s="3232"/>
      <c r="T1766" s="3232"/>
      <c r="U1766" s="3232"/>
      <c r="V1766" s="3232"/>
    </row>
    <row r="1767" spans="1:24" s="652" customFormat="1" ht="11.25" customHeight="1">
      <c r="A1767" s="2917" t="s">
        <v>1844</v>
      </c>
      <c r="B1767" s="3061" t="s">
        <v>6581</v>
      </c>
      <c r="D1767" s="3061"/>
      <c r="L1767" s="3061"/>
      <c r="M1767" s="2666">
        <v>2</v>
      </c>
      <c r="N1767" s="3064" t="s">
        <v>1844</v>
      </c>
      <c r="O1767" s="3066" t="str">
        <f>'Part VIII Scoring Criteria'!O276</f>
        <v>N/a</v>
      </c>
      <c r="P1767" s="2976"/>
      <c r="Q1767" s="2860">
        <f>IF(L1767="Yes",1,0)</f>
        <v>0</v>
      </c>
      <c r="R1767" s="3232"/>
      <c r="S1767" s="3232"/>
      <c r="T1767" s="3232"/>
      <c r="U1767" s="3232"/>
      <c r="V1767" s="3232"/>
    </row>
    <row r="1768" spans="1:24" s="652" customFormat="1" ht="11.25" customHeight="1">
      <c r="B1768" s="2884" t="s">
        <v>6899</v>
      </c>
      <c r="D1768" s="3061"/>
      <c r="L1768" s="3061"/>
      <c r="M1768" s="2666"/>
      <c r="N1768" s="2666"/>
      <c r="O1768" s="2666"/>
      <c r="P1768" s="2666"/>
      <c r="Q1768" s="2860"/>
      <c r="R1768" s="3232"/>
      <c r="S1768" s="3232"/>
      <c r="T1768" s="3232"/>
      <c r="U1768" s="3232"/>
      <c r="V1768" s="3232"/>
    </row>
    <row r="1769" spans="1:24" s="652" customFormat="1" ht="40">
      <c r="B1769" s="3049" t="str">
        <f>'Part VIII Scoring Criteria'!B278</f>
        <v>We intend to provide WiFi was detailed in Tab 49.</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15.5">
      <c r="A1771" s="3049" t="str">
        <f>'Part VIII Scoring Criteria'!A280</f>
        <v>See Tab 47</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6584</v>
      </c>
      <c r="D1775" s="2967"/>
      <c r="E1775" s="2967"/>
      <c r="G1775" s="3055"/>
      <c r="H1775" s="2692"/>
      <c r="I1775" s="2692" t="s">
        <v>6709</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6703</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6701</v>
      </c>
      <c r="G1777" s="2692"/>
      <c r="I1777" s="2757" t="str">
        <f>'Part VIII Scoring Criteria'!I286</f>
        <v>Goode Van Slyke Architecture</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6700</v>
      </c>
      <c r="G1778" s="2692"/>
      <c r="I1778" s="3263">
        <f>'Part VIII Scoring Criteria'!I287</f>
        <v>541310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6702</v>
      </c>
      <c r="G1779" s="2692"/>
      <c r="I1779" s="3263" t="str">
        <f>'Part VIII Scoring Criteria'!I288</f>
        <v>GDOAS Minority Business Enterprise Certification</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6588</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6587</v>
      </c>
      <c r="D1781" s="3183"/>
      <c r="E1781" s="3106"/>
      <c r="F1781" s="3106"/>
      <c r="G1781" s="3106"/>
      <c r="H1781" s="2967"/>
      <c r="I1781" s="3159"/>
      <c r="J1781" s="3159"/>
      <c r="K1781" s="3159"/>
      <c r="L1781" s="3159"/>
      <c r="M1781" s="3159"/>
      <c r="N1781" s="3046" t="s">
        <v>2241</v>
      </c>
      <c r="O1781" s="2913" t="str">
        <f>'Part VIII Scoring Criteria'!O290</f>
        <v>Yes</v>
      </c>
      <c r="P1781" s="474"/>
      <c r="Q1781" s="2910"/>
      <c r="R1781" s="3185"/>
      <c r="S1781" s="3185"/>
      <c r="T1781" s="3185"/>
      <c r="U1781" s="3185"/>
    </row>
    <row r="1782" spans="1:24" s="3093" customFormat="1" ht="11.25" customHeight="1">
      <c r="A1782" s="3265"/>
      <c r="B1782" s="474" t="s">
        <v>2242</v>
      </c>
      <c r="C1782" s="3006" t="s">
        <v>6708</v>
      </c>
      <c r="D1782" s="3183"/>
      <c r="E1782" s="3106"/>
      <c r="F1782" s="3106"/>
      <c r="G1782" s="3106"/>
      <c r="H1782" s="2967"/>
      <c r="I1782" s="3159"/>
      <c r="J1782" s="3159"/>
      <c r="K1782" s="3159"/>
      <c r="L1782" s="3159"/>
      <c r="M1782" s="3106"/>
      <c r="N1782" s="474" t="s">
        <v>2242</v>
      </c>
      <c r="O1782" s="2913" t="str">
        <f>'Part VIII Scoring Criteria'!O291</f>
        <v>Yes</v>
      </c>
      <c r="P1782" s="474"/>
      <c r="Q1782" s="2910"/>
      <c r="R1782" s="3185"/>
      <c r="S1782" s="3185"/>
      <c r="T1782" s="3185"/>
      <c r="U1782" s="3185"/>
    </row>
    <row r="1783" spans="1:24" s="3093" customFormat="1" ht="11.25" customHeight="1">
      <c r="A1783" s="3265"/>
      <c r="B1783" s="474" t="s">
        <v>2243</v>
      </c>
      <c r="C1783" s="474" t="s">
        <v>6589</v>
      </c>
      <c r="D1783" s="3183"/>
      <c r="E1783" s="3106"/>
      <c r="F1783" s="3106"/>
      <c r="G1783" s="3106"/>
      <c r="H1783" s="2967"/>
      <c r="I1783" s="2967"/>
      <c r="J1783" s="2135"/>
      <c r="K1783" s="2135"/>
      <c r="L1783" s="3106"/>
      <c r="M1783" s="3106"/>
      <c r="N1783" s="474" t="s">
        <v>2243</v>
      </c>
      <c r="O1783" s="2913" t="str">
        <f>'Part VIII Scoring Criteria'!O292</f>
        <v>Yes</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6585</v>
      </c>
      <c r="C1785" s="2755"/>
      <c r="D1785" s="3046"/>
      <c r="E1785" s="3046"/>
      <c r="F1785" s="2755"/>
      <c r="G1785" s="3046" t="s">
        <v>6593</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6594</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6595</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6586</v>
      </c>
      <c r="C1788" s="2755"/>
      <c r="D1788" s="3061"/>
      <c r="G1788" s="1024" t="s">
        <v>6596</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6597</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6598</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6704</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6599</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6600</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4.5">
      <c r="A1794" s="3266"/>
      <c r="B1794" s="3196" t="s">
        <v>1151</v>
      </c>
      <c r="C1794" s="3046" t="s">
        <v>6900</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70">
      <c r="A1796" s="3049" t="str">
        <f>'Part VIII Scoring Criteria'!A305</f>
        <v>We have signed an engagement with Goode Van Slyke, a qualified MBE.</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6590</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6591</v>
      </c>
      <c r="D1801" s="3061"/>
      <c r="E1801" s="3061" t="s">
        <v>6602</v>
      </c>
      <c r="F1801" s="3061"/>
      <c r="G1801" s="3061"/>
      <c r="H1801" s="3061"/>
      <c r="I1801" s="3270" t="str">
        <f>'Part VIII Scoring Criteria'!I310</f>
        <v>National Church Residences</v>
      </c>
      <c r="J1801" s="3270"/>
      <c r="K1801" s="3270"/>
      <c r="L1801" s="3270"/>
      <c r="M1801" s="2666">
        <v>2</v>
      </c>
      <c r="N1801" s="3064" t="s">
        <v>1842</v>
      </c>
      <c r="O1801" s="3173">
        <f>'Part VIII Scoring Criteria'!O310</f>
        <v>2</v>
      </c>
      <c r="P1801" s="3012"/>
      <c r="Q1801" s="2860" t="str">
        <f>IF(OR(O1801=0,O1801="",O1801=$M1801),"","Check!")</f>
        <v/>
      </c>
      <c r="R1801" s="2847" t="s">
        <v>2460</v>
      </c>
      <c r="S1801" s="3232"/>
      <c r="T1801" s="3232"/>
      <c r="U1801" s="3232"/>
      <c r="V1801" s="3232"/>
    </row>
    <row r="1802" spans="1:22" s="652" customFormat="1" ht="11.25" customHeight="1">
      <c r="A1802" s="2917" t="s">
        <v>1844</v>
      </c>
      <c r="B1802" s="3061" t="s">
        <v>6592</v>
      </c>
      <c r="D1802" s="3061"/>
      <c r="L1802" s="3061"/>
      <c r="M1802" s="2666">
        <v>2</v>
      </c>
      <c r="N1802" s="3064" t="s">
        <v>1844</v>
      </c>
      <c r="O1802" s="3173">
        <f>'Part VIII Scoring Criteria'!O311</f>
        <v>0</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60">
      <c r="A1804" s="3049" t="str">
        <f>'Part VIII Scoring Criteria'!A313</f>
        <v>National Church is a highly qualified service provider with a CORES certification. A evidenced in our budget, we are providing service coordination on site.</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t="str">
        <f>'Part VIII Scoring Criteria'!O318</f>
        <v>Yes</v>
      </c>
      <c r="P1809" s="2976"/>
      <c r="Q1809" s="2910"/>
      <c r="T1809" s="3260"/>
      <c r="U1809" s="3260"/>
    </row>
    <row r="1810" spans="1:21" s="3093" customFormat="1" ht="12" customHeight="1">
      <c r="A1810" s="2917" t="s">
        <v>1842</v>
      </c>
      <c r="B1810" s="2135" t="s">
        <v>3346</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t="str">
        <f>'Part VIII Scoring Criteria'!O320</f>
        <v>Yes</v>
      </c>
      <c r="P1811" s="2976"/>
      <c r="R1811" s="3168"/>
    </row>
    <row r="1812" spans="1:21" s="3106" customFormat="1" ht="10.5" customHeight="1">
      <c r="A1812" s="2917"/>
      <c r="B1812" s="3187"/>
      <c r="C1812" s="474" t="s">
        <v>6582</v>
      </c>
      <c r="D1812" s="2550"/>
      <c r="N1812" s="3187" t="s">
        <v>3846</v>
      </c>
      <c r="O1812" s="3066" t="str">
        <f>'Part VIII Scoring Criteria'!O321</f>
        <v>Yes</v>
      </c>
      <c r="P1812" s="2976"/>
      <c r="R1812" s="3168"/>
    </row>
    <row r="1813" spans="1:21" s="3106" customFormat="1" ht="10.5" customHeight="1">
      <c r="A1813" s="2917"/>
      <c r="B1813" s="3187" t="s">
        <v>1847</v>
      </c>
      <c r="C1813" s="474" t="s">
        <v>3351</v>
      </c>
      <c r="D1813" s="2550"/>
      <c r="N1813" s="3187" t="s">
        <v>1847</v>
      </c>
      <c r="O1813" s="3066" t="str">
        <f>'Part VIII Scoring Criteria'!O322</f>
        <v>Yes</v>
      </c>
      <c r="P1813" s="2976"/>
      <c r="R1813" s="3168"/>
    </row>
    <row r="1814" spans="1:21" s="3106" customFormat="1" ht="10.5" customHeight="1">
      <c r="A1814" s="2917"/>
      <c r="B1814" s="3187" t="s">
        <v>2333</v>
      </c>
      <c r="C1814" s="474" t="s">
        <v>3847</v>
      </c>
      <c r="D1814" s="2550"/>
      <c r="N1814" s="3187" t="s">
        <v>2333</v>
      </c>
      <c r="O1814" s="3066" t="str">
        <f>'Part VIII Scoring Criteria'!O323</f>
        <v>Yes</v>
      </c>
      <c r="P1814" s="2976"/>
      <c r="R1814" s="3168"/>
    </row>
    <row r="1815" spans="1:21" s="3106" customFormat="1" ht="10.5" customHeight="1">
      <c r="A1815" s="3220"/>
      <c r="B1815" s="3187" t="s">
        <v>1151</v>
      </c>
      <c r="C1815" s="474" t="s">
        <v>3352</v>
      </c>
      <c r="D1815" s="2550"/>
      <c r="N1815" s="3187" t="s">
        <v>1151</v>
      </c>
      <c r="O1815" s="3066" t="str">
        <f>'Part VIII Scoring Criteria'!O324</f>
        <v>Yes</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6583</v>
      </c>
      <c r="D1818" s="2550"/>
      <c r="N1818" s="3187" t="s">
        <v>3846</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0</v>
      </c>
      <c r="P1824" s="3012">
        <f>'Part VIII Scoring Criteria'!P333</f>
        <v>0</v>
      </c>
      <c r="Q1824" s="2910" t="s">
        <v>416</v>
      </c>
      <c r="R1824" s="2741" t="s">
        <v>4063</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N/A</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6901</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f>'Part VIII Scoring Criteria'!O344</f>
        <v>0</v>
      </c>
      <c r="P1835" s="2976"/>
      <c r="R1835" s="3053"/>
      <c r="S1835" s="3053"/>
    </row>
    <row r="1836" spans="1:20" s="1024" customFormat="1" ht="12.75" customHeight="1">
      <c r="B1836" s="3064" t="s">
        <v>2243</v>
      </c>
      <c r="C1836" s="474" t="s">
        <v>3275</v>
      </c>
      <c r="L1836" s="3053"/>
      <c r="M1836" s="3053"/>
      <c r="N1836" s="3064" t="s">
        <v>2243</v>
      </c>
      <c r="O1836" s="3066">
        <f>'Part VIII Scoring Criteria'!O345</f>
        <v>0</v>
      </c>
      <c r="P1836" s="2976"/>
      <c r="R1836" s="3053"/>
      <c r="S1836" s="3053"/>
    </row>
    <row r="1837" spans="1:20" s="1024" customFormat="1" ht="10">
      <c r="B1837" s="3058" t="s">
        <v>2244</v>
      </c>
      <c r="C1837" s="3046" t="s">
        <v>6603</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4063</v>
      </c>
      <c r="S1839" s="2681"/>
      <c r="T1839" s="2745"/>
    </row>
    <row r="1840" spans="1:20" s="652" customFormat="1" ht="12.75" customHeight="1">
      <c r="A1840" s="3274"/>
      <c r="B1840" s="3242" t="s">
        <v>6720</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6719</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6793</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6240</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6814</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3830</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6241</v>
      </c>
      <c r="C1852" s="474" t="s">
        <v>6902</v>
      </c>
      <c r="I1852" s="3064" t="s">
        <v>6241</v>
      </c>
      <c r="J1852" s="2999">
        <f>'Part VIII Scoring Criteria'!J361</f>
        <v>0</v>
      </c>
      <c r="K1852" s="2999"/>
      <c r="L1852" s="3064" t="s">
        <v>6241</v>
      </c>
      <c r="M1852" s="2989"/>
      <c r="N1852" s="2989"/>
      <c r="O1852" s="2989"/>
      <c r="P1852" s="2989"/>
      <c r="R1852" s="3168"/>
    </row>
    <row r="1853" spans="1:20" s="652" customFormat="1" ht="12.75" customHeight="1">
      <c r="B1853" s="3277" t="s">
        <v>6815</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6243</v>
      </c>
      <c r="H1855" s="652"/>
      <c r="I1855" s="652"/>
      <c r="J1855" s="2989">
        <f>'Part V-Revenues &amp; Expenses'!$P$67</f>
        <v>60</v>
      </c>
      <c r="K1855" s="2989"/>
      <c r="L1855" s="2692"/>
      <c r="M1855" s="2681"/>
      <c r="N1855" s="2681"/>
      <c r="O1855" s="3278"/>
      <c r="P1855" s="2681"/>
    </row>
    <row r="1856" spans="1:20" s="652" customFormat="1" ht="13.5" customHeight="1">
      <c r="C1856" s="2849"/>
      <c r="D1856" s="2849"/>
      <c r="E1856" s="2849"/>
      <c r="F1856" s="3112" t="s">
        <v>6244</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4063</v>
      </c>
      <c r="V1859" s="3260"/>
    </row>
    <row r="1860" spans="1:22" s="3093" customFormat="1" ht="12.75" customHeight="1">
      <c r="A1860" s="2950"/>
      <c r="B1860" s="3196" t="s">
        <v>1845</v>
      </c>
      <c r="C1860" s="3046" t="s">
        <v>6608</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3831</v>
      </c>
      <c r="N1862" s="3187" t="s">
        <v>2333</v>
      </c>
      <c r="O1862" s="3066">
        <f>'Part VIII Scoring Criteria'!O371</f>
        <v>0</v>
      </c>
      <c r="P1862" s="2976"/>
    </row>
    <row r="1863" spans="1:22" s="652" customFormat="1" ht="12" customHeight="1">
      <c r="B1863" s="2967" t="s">
        <v>3242</v>
      </c>
      <c r="N1863" s="2671"/>
      <c r="O1863" s="2671"/>
      <c r="P1863" s="2671"/>
    </row>
    <row r="1864" spans="1:22" s="3093" customFormat="1" ht="15.5">
      <c r="A1864" s="3049" t="str">
        <f>'Part VIII Scoring Criteria'!A373</f>
        <v>N/A</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6903</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6904</v>
      </c>
      <c r="C1873" s="3011"/>
      <c r="D1873" s="3011"/>
      <c r="E1873" s="3011"/>
      <c r="F1873" s="3011"/>
      <c r="G1873" s="3011"/>
      <c r="H1873" s="3011"/>
      <c r="I1873" s="3011"/>
      <c r="J1873" s="3011"/>
      <c r="K1873" s="3011"/>
      <c r="L1873" s="3011"/>
      <c r="M1873" s="2746" t="s">
        <v>6905</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60</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6906</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6816</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60</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15.5">
      <c r="A1883" s="3049" t="str">
        <f>'Part VIII Scoring Criteria'!A392</f>
        <v>N/A</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6611</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6612</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6613</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6614</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6615</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120">
      <c r="A1904" s="3049" t="str">
        <f>'Part VIII Scoring Criteria'!A413</f>
        <v>National Church Residences is a highly experienced 811 provider and intends to accept 811 subsidy from DCA upon request.</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6247</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15.5">
      <c r="A1910" s="3049" t="str">
        <f>'Part VIII Scoring Criteria'!A419</f>
        <v>N/A</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6616</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6617</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15.5">
      <c r="A1920" s="3049" t="str">
        <f>'Part VIII Scoring Criteria'!A429</f>
        <v>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6618</v>
      </c>
      <c r="D1924" s="2967"/>
      <c r="G1924" s="2984" t="s">
        <v>6903</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6139</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6140</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15.5">
      <c r="A1928" s="3049" t="str">
        <f>'Part VIII Scoring Criteria'!A437</f>
        <v>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6907</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67</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4.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4.5">
      <c r="A1935" s="2967" t="s">
        <v>6794</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4.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8" zoomScale="90" zoomScaleNormal="90" workbookViewId="0">
      <selection activeCell="I45" sqref="I45:J45"/>
    </sheetView>
  </sheetViews>
  <sheetFormatPr defaultColWidth="9.1796875" defaultRowHeight="11.5"/>
  <cols>
    <col min="1" max="1" width="4.1796875" style="364" customWidth="1"/>
    <col min="2" max="17" width="8.1796875" style="364" customWidth="1"/>
    <col min="18" max="18" width="3.1796875" style="364" customWidth="1"/>
    <col min="19" max="19" width="13.54296875" style="364" customWidth="1"/>
    <col min="20" max="20" width="98.81640625" style="364" customWidth="1"/>
    <col min="21" max="24" width="9.1796875" style="364"/>
    <col min="25" max="25" width="16.54296875" style="2289" bestFit="1" customWidth="1"/>
    <col min="26" max="26" width="9.1796875" style="2293"/>
    <col min="27" max="51" width="9.1796875" style="364"/>
    <col min="52" max="52" width="9.1796875" style="2211"/>
    <col min="53" max="16384" width="9.179687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5" customHeight="1">
      <c r="A2" s="3466" t="str">
        <f>CONCATENATE("PART TWO - SOURCES OF FUNDS (Proposed)","  -  ",'Part I-Project Identification'!$O$7," ",'Part I-Project Identification'!$F$29,", ",'Part I-Project Identification'!$F$30,", ",'Part I-Project Identification'!$J$30," County")</f>
        <v>PART TWO - SOURCES OF FUNDS (Proposed)  -  2022-0 Villa Rica Senior, Villa Rica, Carroll County</v>
      </c>
      <c r="B2" s="3467"/>
      <c r="C2" s="3467"/>
      <c r="D2" s="3467"/>
      <c r="E2" s="3467"/>
      <c r="F2" s="3467"/>
      <c r="G2" s="3467"/>
      <c r="H2" s="3467"/>
      <c r="I2" s="3467"/>
      <c r="J2" s="3467"/>
      <c r="K2" s="3467"/>
      <c r="L2" s="3467"/>
      <c r="M2" s="3467"/>
      <c r="N2" s="3467"/>
      <c r="O2" s="3467"/>
      <c r="P2" s="3467"/>
      <c r="Q2" s="3468"/>
      <c r="S2" s="3585" t="str">
        <f>$A$2</f>
        <v>PART TWO - SOURCES OF FUNDS (Proposed)  -  2022-0 Villa Rica Senior, Villa Rica, Carroll County</v>
      </c>
      <c r="T2" s="3585"/>
      <c r="Y2" s="2290"/>
      <c r="Z2" s="2246">
        <v>2</v>
      </c>
      <c r="AZ2" s="2212"/>
    </row>
    <row r="3" spans="1:52" ht="17.5" customHeight="1">
      <c r="A3" s="332"/>
      <c r="B3" s="332"/>
      <c r="C3" s="332"/>
      <c r="D3" s="332"/>
      <c r="E3" s="332"/>
      <c r="F3" s="332"/>
      <c r="G3" s="1273"/>
      <c r="H3" s="1273"/>
      <c r="I3" s="1273"/>
      <c r="J3" s="1273"/>
      <c r="K3" s="1273"/>
      <c r="L3" s="1273"/>
      <c r="Y3" s="2290"/>
      <c r="Z3" s="2246">
        <v>3</v>
      </c>
      <c r="AZ3" s="2212"/>
    </row>
    <row r="4" spans="1:52" s="291" customFormat="1" ht="13.4" customHeight="1">
      <c r="A4" s="317" t="s">
        <v>573</v>
      </c>
      <c r="B4" s="326" t="s">
        <v>2295</v>
      </c>
      <c r="C4" s="315"/>
      <c r="D4" s="1537"/>
      <c r="E4" s="1537"/>
      <c r="F4" s="1537"/>
      <c r="G4" s="1537"/>
      <c r="L4" s="3600" t="str">
        <f>'Part I-Project Identification'!$A$6</f>
        <v>May 12 2022 Core Application</v>
      </c>
      <c r="M4" s="3601"/>
      <c r="N4" s="3601"/>
      <c r="O4" s="3601"/>
      <c r="P4" s="3602"/>
      <c r="S4" s="365" t="str">
        <f>B4</f>
        <v>GOVERNMENT FUNDING SOURCES  (check all that apply)</v>
      </c>
      <c r="Y4" s="2290"/>
      <c r="Z4" s="2246">
        <v>4</v>
      </c>
      <c r="AZ4" s="2212"/>
    </row>
    <row r="5" spans="1:52" s="291" customFormat="1" ht="15.75" customHeight="1">
      <c r="A5" s="337"/>
      <c r="B5" s="495"/>
      <c r="C5" s="333"/>
      <c r="D5" s="1041"/>
      <c r="E5" s="1041"/>
      <c r="F5" s="1041"/>
      <c r="G5" s="1041"/>
      <c r="S5" s="3546" t="s">
        <v>2449</v>
      </c>
      <c r="T5" s="3546"/>
      <c r="Y5" s="2290"/>
      <c r="Z5" s="2246">
        <v>5</v>
      </c>
      <c r="AZ5" s="2212"/>
    </row>
    <row r="6" spans="1:52" s="291" customFormat="1" ht="16.5" customHeight="1">
      <c r="A6" s="495"/>
      <c r="B6" s="1559" t="s">
        <v>2651</v>
      </c>
      <c r="C6" s="292" t="s">
        <v>2220</v>
      </c>
      <c r="D6" s="315"/>
      <c r="E6" s="1559" t="s">
        <v>2654</v>
      </c>
      <c r="F6" s="292" t="s">
        <v>6084</v>
      </c>
      <c r="G6" s="315"/>
      <c r="I6" s="3589">
        <v>0</v>
      </c>
      <c r="J6" s="3590"/>
      <c r="L6" s="1559" t="s">
        <v>2654</v>
      </c>
      <c r="M6" s="292" t="s">
        <v>1438</v>
      </c>
      <c r="Q6" s="2108"/>
      <c r="S6" s="3532"/>
      <c r="T6" s="3533"/>
      <c r="Y6" s="2290"/>
      <c r="Z6" s="2246">
        <v>6</v>
      </c>
      <c r="AZ6" s="2212"/>
    </row>
    <row r="7" spans="1:52" s="291" customFormat="1" ht="16.5" customHeight="1">
      <c r="A7" s="495"/>
      <c r="B7" s="1543" t="s">
        <v>2654</v>
      </c>
      <c r="C7" s="292" t="s">
        <v>3881</v>
      </c>
      <c r="D7" s="315"/>
      <c r="E7" s="1542" t="s">
        <v>2654</v>
      </c>
      <c r="F7" s="292" t="s">
        <v>6085</v>
      </c>
      <c r="I7" s="3591">
        <v>0</v>
      </c>
      <c r="J7" s="3592"/>
      <c r="L7" s="1543" t="s">
        <v>2654</v>
      </c>
      <c r="M7" s="292" t="s">
        <v>514</v>
      </c>
      <c r="P7" s="2108"/>
      <c r="Q7" s="2108"/>
      <c r="S7" s="3493"/>
      <c r="T7" s="3494"/>
      <c r="Y7" s="2290"/>
      <c r="Z7" s="2246">
        <v>7</v>
      </c>
      <c r="AZ7" s="2212"/>
    </row>
    <row r="8" spans="1:52" s="291" customFormat="1" ht="16.5" customHeight="1">
      <c r="A8" s="315"/>
      <c r="B8" s="1543" t="s">
        <v>2654</v>
      </c>
      <c r="C8" s="292" t="s">
        <v>6669</v>
      </c>
      <c r="F8" s="291" t="s">
        <v>6672</v>
      </c>
      <c r="H8" s="3603" t="s">
        <v>3068</v>
      </c>
      <c r="I8" s="3604"/>
      <c r="J8" s="3605"/>
      <c r="L8" s="1543" t="s">
        <v>2654</v>
      </c>
      <c r="M8" s="310" t="s">
        <v>6674</v>
      </c>
      <c r="P8" s="2108"/>
      <c r="Q8" s="2108"/>
      <c r="S8" s="3493"/>
      <c r="T8" s="3494"/>
      <c r="Y8" s="2290"/>
      <c r="Z8" s="2246">
        <v>8</v>
      </c>
      <c r="AZ8" s="2212"/>
    </row>
    <row r="9" spans="1:52" s="291" customFormat="1" ht="16.5" customHeight="1">
      <c r="A9" s="495"/>
      <c r="B9" s="1543" t="s">
        <v>2654</v>
      </c>
      <c r="C9" s="291" t="s">
        <v>3303</v>
      </c>
      <c r="E9" s="1563" t="s">
        <v>2654</v>
      </c>
      <c r="F9" s="3595" t="s">
        <v>6668</v>
      </c>
      <c r="G9" s="3596"/>
      <c r="H9" s="3593"/>
      <c r="I9" s="3593"/>
      <c r="J9" s="3594"/>
      <c r="L9" s="1543" t="s">
        <v>2654</v>
      </c>
      <c r="M9" s="310" t="s">
        <v>3882</v>
      </c>
      <c r="Q9" s="2108"/>
      <c r="S9" s="3495"/>
      <c r="T9" s="3496"/>
      <c r="Y9" s="2290"/>
      <c r="Z9" s="2246">
        <v>9</v>
      </c>
      <c r="AZ9" s="2212"/>
    </row>
    <row r="10" spans="1:52" s="291" customFormat="1" ht="16.5" customHeight="1">
      <c r="A10" s="495"/>
      <c r="B10" s="1543" t="s">
        <v>2654</v>
      </c>
      <c r="C10" s="292" t="s">
        <v>2395</v>
      </c>
      <c r="F10" s="3597" t="s">
        <v>3772</v>
      </c>
      <c r="G10" s="3598"/>
      <c r="H10" s="3598"/>
      <c r="I10" s="3598"/>
      <c r="J10" s="3599"/>
      <c r="L10" s="1543" t="s">
        <v>2654</v>
      </c>
      <c r="M10" s="292" t="s">
        <v>3195</v>
      </c>
      <c r="P10" s="2108"/>
      <c r="Q10" s="2108"/>
      <c r="S10" s="3532"/>
      <c r="T10" s="3533"/>
      <c r="Y10" s="2290"/>
      <c r="Z10" s="2245">
        <v>10</v>
      </c>
      <c r="AZ10" s="2212"/>
    </row>
    <row r="11" spans="1:52" s="291" customFormat="1" ht="16.5" customHeight="1">
      <c r="A11" s="495"/>
      <c r="B11" s="1543" t="s">
        <v>2654</v>
      </c>
      <c r="C11" s="292" t="s">
        <v>2396</v>
      </c>
      <c r="E11" s="1563" t="s">
        <v>2654</v>
      </c>
      <c r="F11" s="3593" t="s">
        <v>6670</v>
      </c>
      <c r="G11" s="3593"/>
      <c r="H11" s="3593"/>
      <c r="I11" s="3593"/>
      <c r="J11" s="3594"/>
      <c r="L11" s="1543" t="s">
        <v>2654</v>
      </c>
      <c r="M11" s="291" t="s">
        <v>2399</v>
      </c>
      <c r="S11" s="3493"/>
      <c r="T11" s="3494"/>
      <c r="Y11" s="2290"/>
      <c r="Z11" s="2246">
        <v>11</v>
      </c>
      <c r="AZ11" s="2212"/>
    </row>
    <row r="12" spans="1:52" s="291" customFormat="1" ht="16.5" customHeight="1">
      <c r="A12" s="495"/>
      <c r="B12" s="2097" t="s">
        <v>2654</v>
      </c>
      <c r="C12" s="310" t="s">
        <v>3196</v>
      </c>
      <c r="F12" s="3586" t="s">
        <v>3773</v>
      </c>
      <c r="G12" s="3587"/>
      <c r="H12" s="3606"/>
      <c r="I12" s="3606"/>
      <c r="J12" s="3607"/>
      <c r="L12" s="1543" t="s">
        <v>2654</v>
      </c>
      <c r="M12" s="291" t="s">
        <v>3222</v>
      </c>
      <c r="S12" s="3493"/>
      <c r="T12" s="3494"/>
      <c r="Y12" s="2290"/>
      <c r="Z12" s="2246">
        <v>12</v>
      </c>
      <c r="AZ12" s="2212"/>
    </row>
    <row r="13" spans="1:52" s="291" customFormat="1" ht="16.5" customHeight="1">
      <c r="A13" s="495"/>
      <c r="B13" s="2097" t="s">
        <v>2654</v>
      </c>
      <c r="C13" s="310" t="s">
        <v>6671</v>
      </c>
      <c r="E13" s="1559" t="s">
        <v>2654</v>
      </c>
      <c r="F13" s="310" t="s">
        <v>6673</v>
      </c>
      <c r="H13" s="3586" t="s">
        <v>3294</v>
      </c>
      <c r="I13" s="3587"/>
      <c r="J13" s="3588"/>
      <c r="L13" s="2097" t="s">
        <v>2654</v>
      </c>
      <c r="M13" s="291" t="s">
        <v>6083</v>
      </c>
      <c r="S13" s="3493"/>
      <c r="T13" s="3494"/>
      <c r="Y13" s="2290"/>
      <c r="Z13" s="2246">
        <v>13</v>
      </c>
      <c r="AZ13" s="2212"/>
    </row>
    <row r="14" spans="1:52" s="291" customFormat="1" ht="16.5" customHeight="1">
      <c r="A14" s="495"/>
      <c r="B14" s="1543" t="s">
        <v>2654</v>
      </c>
      <c r="C14" s="291" t="s">
        <v>2398</v>
      </c>
      <c r="E14" s="2097" t="s">
        <v>2654</v>
      </c>
      <c r="F14" s="310" t="s">
        <v>3302</v>
      </c>
      <c r="L14" s="2097" t="s">
        <v>2654</v>
      </c>
      <c r="M14" s="291" t="s">
        <v>6718</v>
      </c>
      <c r="S14" s="3495"/>
      <c r="T14" s="3496"/>
      <c r="Y14" s="2290"/>
      <c r="Z14" s="2246">
        <v>14</v>
      </c>
      <c r="AZ14" s="2212"/>
    </row>
    <row r="15" spans="1:52" s="291" customFormat="1" ht="16.5" customHeight="1">
      <c r="A15" s="495"/>
      <c r="B15" s="1543" t="s">
        <v>2654</v>
      </c>
      <c r="C15" s="291" t="s">
        <v>3221</v>
      </c>
      <c r="E15" s="2097" t="s">
        <v>2654</v>
      </c>
      <c r="F15" s="310" t="s">
        <v>6086</v>
      </c>
      <c r="L15" s="2097" t="s">
        <v>2654</v>
      </c>
      <c r="M15" s="2109" t="s">
        <v>6087</v>
      </c>
      <c r="Y15" s="2290"/>
      <c r="Z15" s="2246">
        <v>15</v>
      </c>
      <c r="AZ15" s="2212"/>
    </row>
    <row r="16" spans="1:52" s="291" customFormat="1" ht="16.5" customHeight="1">
      <c r="A16" s="495"/>
      <c r="B16" s="1542" t="s">
        <v>2654</v>
      </c>
      <c r="C16" s="292" t="s">
        <v>1674</v>
      </c>
      <c r="E16" s="2098" t="s">
        <v>2654</v>
      </c>
      <c r="F16" s="292" t="s">
        <v>6505</v>
      </c>
      <c r="I16" s="3608">
        <v>0</v>
      </c>
      <c r="J16" s="3609"/>
      <c r="L16" s="2098" t="s">
        <v>2654</v>
      </c>
      <c r="M16" s="2109" t="s">
        <v>6082</v>
      </c>
      <c r="Y16" s="2290"/>
      <c r="Z16" s="2246">
        <v>16</v>
      </c>
      <c r="AZ16" s="2212"/>
    </row>
    <row r="17" spans="1:52" s="291" customFormat="1" ht="17.149999999999999"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0"/>
      <c r="O19" s="3610"/>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49999999999999" customHeight="1">
      <c r="A21" s="315"/>
      <c r="B21" s="1034" t="s">
        <v>1734</v>
      </c>
      <c r="C21" s="315"/>
      <c r="D21" s="315"/>
      <c r="E21" s="315"/>
      <c r="F21" s="315"/>
      <c r="G21" s="315"/>
      <c r="H21" s="3611" t="s">
        <v>1221</v>
      </c>
      <c r="I21" s="3611"/>
      <c r="J21" s="3611"/>
      <c r="K21" s="3611"/>
      <c r="L21" s="3545" t="s">
        <v>3849</v>
      </c>
      <c r="M21" s="3545"/>
      <c r="N21" s="3545" t="s">
        <v>1411</v>
      </c>
      <c r="O21" s="3545"/>
      <c r="P21" s="3545" t="s">
        <v>1524</v>
      </c>
      <c r="Q21" s="3545"/>
      <c r="S21" s="3546" t="s">
        <v>2449</v>
      </c>
      <c r="T21" s="3546"/>
      <c r="Y21" s="2290"/>
      <c r="Z21" s="2246">
        <v>21</v>
      </c>
      <c r="AZ21" s="2212" t="s">
        <v>6348</v>
      </c>
    </row>
    <row r="22" spans="1:52" s="291" customFormat="1" ht="15.75" customHeight="1">
      <c r="A22" s="315"/>
      <c r="B22" s="3549" t="s">
        <v>1487</v>
      </c>
      <c r="C22" s="3550"/>
      <c r="D22" s="3550"/>
      <c r="E22" s="1042"/>
      <c r="F22" s="1042"/>
      <c r="G22" s="1042"/>
      <c r="H22" s="3518" t="s">
        <v>6918</v>
      </c>
      <c r="I22" s="3519"/>
      <c r="J22" s="3519"/>
      <c r="K22" s="3520"/>
      <c r="L22" s="3568">
        <v>13148434</v>
      </c>
      <c r="M22" s="3569"/>
      <c r="N22" s="3570">
        <v>3.5000000000000003E-2</v>
      </c>
      <c r="O22" s="3571"/>
      <c r="P22" s="3572">
        <v>24</v>
      </c>
      <c r="Q22" s="3573"/>
      <c r="S22" s="3532"/>
      <c r="T22" s="3533"/>
      <c r="Y22" s="2290" t="s">
        <v>6348</v>
      </c>
      <c r="Z22" s="2246">
        <v>22</v>
      </c>
      <c r="AZ22" s="2212" t="s">
        <v>6349</v>
      </c>
    </row>
    <row r="23" spans="1:52" s="291" customFormat="1" ht="15.75" customHeight="1">
      <c r="A23" s="315"/>
      <c r="B23" s="3534" t="s">
        <v>1488</v>
      </c>
      <c r="C23" s="3535"/>
      <c r="D23" s="3535"/>
      <c r="E23" s="1041"/>
      <c r="F23" s="1041"/>
      <c r="G23" s="1041"/>
      <c r="H23" s="3480"/>
      <c r="I23" s="3481"/>
      <c r="J23" s="3481"/>
      <c r="K23" s="3482"/>
      <c r="L23" s="3556"/>
      <c r="M23" s="3557"/>
      <c r="N23" s="3579"/>
      <c r="O23" s="3580"/>
      <c r="P23" s="3581"/>
      <c r="Q23" s="3582"/>
      <c r="S23" s="3493"/>
      <c r="T23" s="3494"/>
      <c r="Y23" s="2290" t="s">
        <v>6349</v>
      </c>
      <c r="Z23" s="2246">
        <v>23</v>
      </c>
      <c r="AZ23" s="2212" t="s">
        <v>6350</v>
      </c>
    </row>
    <row r="24" spans="1:52" s="291" customFormat="1" ht="15.75" customHeight="1">
      <c r="A24" s="315"/>
      <c r="B24" s="3583" t="s">
        <v>1489</v>
      </c>
      <c r="C24" s="3584"/>
      <c r="D24" s="3584"/>
      <c r="E24" s="1048"/>
      <c r="F24" s="1048"/>
      <c r="G24" s="1048"/>
      <c r="H24" s="3498"/>
      <c r="I24" s="3499"/>
      <c r="J24" s="3499"/>
      <c r="K24" s="3500"/>
      <c r="L24" s="3560"/>
      <c r="M24" s="3561"/>
      <c r="N24" s="3612"/>
      <c r="O24" s="3613"/>
      <c r="P24" s="3614"/>
      <c r="Q24" s="3615"/>
      <c r="S24" s="3493"/>
      <c r="T24" s="3494"/>
      <c r="Y24" s="2290" t="s">
        <v>6350</v>
      </c>
      <c r="Z24" s="2246">
        <v>24</v>
      </c>
      <c r="AZ24" s="2212" t="s">
        <v>6351</v>
      </c>
    </row>
    <row r="25" spans="1:52" s="291" customFormat="1" ht="15.75" customHeight="1">
      <c r="A25" s="315"/>
      <c r="B25" s="3549" t="s">
        <v>2048</v>
      </c>
      <c r="C25" s="3550"/>
      <c r="D25" s="3550"/>
      <c r="E25" s="1041"/>
      <c r="F25" s="1041"/>
      <c r="G25" s="1041"/>
      <c r="H25" s="3574"/>
      <c r="I25" s="3575"/>
      <c r="J25" s="3575"/>
      <c r="K25" s="3576"/>
      <c r="L25" s="3577"/>
      <c r="M25" s="3578"/>
      <c r="N25" s="3558"/>
      <c r="O25" s="3559"/>
      <c r="P25" s="3541"/>
      <c r="Q25" s="3541"/>
      <c r="S25" s="3493"/>
      <c r="T25" s="3494"/>
      <c r="Y25" s="2290" t="s">
        <v>6351</v>
      </c>
      <c r="Z25" s="2246">
        <v>25</v>
      </c>
      <c r="AZ25" s="2212" t="s">
        <v>6352</v>
      </c>
    </row>
    <row r="26" spans="1:52" s="291" customFormat="1" ht="15.75" customHeight="1">
      <c r="A26" s="315"/>
      <c r="B26" s="3534" t="s">
        <v>745</v>
      </c>
      <c r="C26" s="3535"/>
      <c r="D26" s="3535"/>
      <c r="E26" s="1041"/>
      <c r="H26" s="3480"/>
      <c r="I26" s="3481"/>
      <c r="J26" s="3481"/>
      <c r="K26" s="3482"/>
      <c r="L26" s="3556"/>
      <c r="M26" s="3557"/>
      <c r="N26" s="3558"/>
      <c r="O26" s="3559"/>
      <c r="P26" s="3541"/>
      <c r="Q26" s="3541"/>
      <c r="S26" s="3493"/>
      <c r="T26" s="3494"/>
      <c r="Y26" s="2290" t="s">
        <v>6352</v>
      </c>
      <c r="Z26" s="2245">
        <v>26</v>
      </c>
      <c r="AZ26" s="2212" t="s">
        <v>6353</v>
      </c>
    </row>
    <row r="27" spans="1:52" s="291" customFormat="1" ht="15.75" customHeight="1">
      <c r="A27" s="315"/>
      <c r="B27" s="3534" t="s">
        <v>595</v>
      </c>
      <c r="C27" s="3535"/>
      <c r="D27" s="3535"/>
      <c r="E27" s="1041"/>
      <c r="H27" s="3480"/>
      <c r="I27" s="3481"/>
      <c r="J27" s="3481"/>
      <c r="K27" s="3482"/>
      <c r="L27" s="3556"/>
      <c r="M27" s="3557"/>
      <c r="N27" s="3558"/>
      <c r="O27" s="3559"/>
      <c r="P27" s="3541"/>
      <c r="Q27" s="3541"/>
      <c r="S27" s="3493"/>
      <c r="T27" s="3494"/>
      <c r="Y27" s="2290" t="s">
        <v>6353</v>
      </c>
      <c r="Z27" s="2246">
        <v>27</v>
      </c>
      <c r="AZ27" s="2212" t="s">
        <v>6354</v>
      </c>
    </row>
    <row r="28" spans="1:52" s="291" customFormat="1" ht="15.75" customHeight="1">
      <c r="A28" s="315"/>
      <c r="B28" s="3534" t="s">
        <v>746</v>
      </c>
      <c r="C28" s="3535"/>
      <c r="D28" s="3535"/>
      <c r="E28" s="1041"/>
      <c r="H28" s="3480" t="s">
        <v>6919</v>
      </c>
      <c r="I28" s="3481"/>
      <c r="J28" s="3481"/>
      <c r="K28" s="3482"/>
      <c r="L28" s="3556">
        <f>2174865*0.620667</f>
        <v>1349866.9349549999</v>
      </c>
      <c r="M28" s="3557"/>
      <c r="N28" s="315"/>
      <c r="Q28" s="315"/>
      <c r="S28" s="3495"/>
      <c r="T28" s="3496"/>
      <c r="Y28" s="2290" t="s">
        <v>6354</v>
      </c>
      <c r="Z28" s="2246">
        <v>28</v>
      </c>
      <c r="AZ28" s="2212" t="s">
        <v>6355</v>
      </c>
    </row>
    <row r="29" spans="1:52" s="291" customFormat="1" ht="15.75" customHeight="1">
      <c r="A29" s="315"/>
      <c r="B29" s="3534" t="s">
        <v>747</v>
      </c>
      <c r="C29" s="3535"/>
      <c r="D29" s="3535"/>
      <c r="E29" s="1041"/>
      <c r="H29" s="3480" t="s">
        <v>6919</v>
      </c>
      <c r="I29" s="3481"/>
      <c r="J29" s="3481"/>
      <c r="K29" s="3482"/>
      <c r="L29" s="3556">
        <f>2174865-L28</f>
        <v>824998.06504500005</v>
      </c>
      <c r="M29" s="3557"/>
      <c r="N29" s="315"/>
      <c r="Q29" s="315"/>
      <c r="S29" s="3532"/>
      <c r="T29" s="3533"/>
      <c r="Y29" s="2290" t="s">
        <v>6355</v>
      </c>
      <c r="Z29" s="2246">
        <v>29</v>
      </c>
      <c r="AZ29" s="2212" t="s">
        <v>6356</v>
      </c>
    </row>
    <row r="30" spans="1:52" s="291" customFormat="1" ht="15.75" customHeight="1">
      <c r="A30" s="315"/>
      <c r="B30" s="1040" t="s">
        <v>232</v>
      </c>
      <c r="C30" s="1041"/>
      <c r="D30" s="3508" t="s">
        <v>6920</v>
      </c>
      <c r="E30" s="3508"/>
      <c r="F30" s="3508"/>
      <c r="G30" s="3508"/>
      <c r="H30" s="3480" t="s">
        <v>6910</v>
      </c>
      <c r="I30" s="3481"/>
      <c r="J30" s="3481"/>
      <c r="K30" s="3482"/>
      <c r="L30" s="3556">
        <v>100</v>
      </c>
      <c r="M30" s="3557"/>
      <c r="N30" s="315"/>
      <c r="Q30" s="315"/>
      <c r="S30" s="3493"/>
      <c r="T30" s="3494"/>
      <c r="Y30" s="2290" t="s">
        <v>6356</v>
      </c>
      <c r="Z30" s="2246">
        <v>30</v>
      </c>
      <c r="AZ30" s="2212" t="s">
        <v>6357</v>
      </c>
    </row>
    <row r="31" spans="1:52" s="291" customFormat="1" ht="15.75" customHeight="1">
      <c r="A31" s="315"/>
      <c r="B31" s="1040" t="s">
        <v>232</v>
      </c>
      <c r="C31" s="1041"/>
      <c r="D31" s="3509"/>
      <c r="E31" s="3509"/>
      <c r="F31" s="3509"/>
      <c r="G31" s="3509"/>
      <c r="H31" s="3480"/>
      <c r="I31" s="3481"/>
      <c r="J31" s="3481"/>
      <c r="K31" s="3482"/>
      <c r="L31" s="3556"/>
      <c r="M31" s="3557"/>
      <c r="N31" s="315"/>
      <c r="S31" s="3493"/>
      <c r="T31" s="3494"/>
      <c r="Y31" s="2290" t="s">
        <v>6357</v>
      </c>
      <c r="Z31" s="2246">
        <v>31</v>
      </c>
      <c r="AZ31" s="2212" t="s">
        <v>6358</v>
      </c>
    </row>
    <row r="32" spans="1:52" s="291" customFormat="1" ht="15.75" customHeight="1">
      <c r="A32" s="315"/>
      <c r="B32" s="1047" t="s">
        <v>232</v>
      </c>
      <c r="C32" s="1048"/>
      <c r="D32" s="3497"/>
      <c r="E32" s="3497"/>
      <c r="F32" s="3497"/>
      <c r="G32" s="3497"/>
      <c r="H32" s="3498"/>
      <c r="I32" s="3499"/>
      <c r="J32" s="3499"/>
      <c r="K32" s="3500"/>
      <c r="L32" s="3560"/>
      <c r="M32" s="3561"/>
      <c r="N32" s="315"/>
      <c r="S32" s="3493"/>
      <c r="T32" s="3494"/>
      <c r="Y32" s="2290" t="s">
        <v>6358</v>
      </c>
      <c r="Z32" s="2246">
        <v>32</v>
      </c>
      <c r="AZ32" s="2212"/>
    </row>
    <row r="33" spans="1:52" s="291" customFormat="1" ht="16.5" customHeight="1">
      <c r="A33" s="315"/>
      <c r="B33" s="290" t="s">
        <v>1222</v>
      </c>
      <c r="C33" s="315"/>
      <c r="D33" s="315"/>
      <c r="E33" s="315"/>
      <c r="F33" s="315"/>
      <c r="G33" s="315"/>
      <c r="H33" s="315"/>
      <c r="I33" s="315"/>
      <c r="L33" s="3562">
        <f>SUM(L22:L32)</f>
        <v>15323399</v>
      </c>
      <c r="M33" s="3563"/>
      <c r="N33" s="332"/>
      <c r="S33" s="3493"/>
      <c r="T33" s="3494"/>
      <c r="Y33" s="2290"/>
      <c r="Z33" s="2246">
        <v>33</v>
      </c>
      <c r="AZ33" s="2212"/>
    </row>
    <row r="34" spans="1:52" s="291" customFormat="1" ht="16.5" customHeight="1">
      <c r="A34" s="315"/>
      <c r="B34" s="2618" t="s">
        <v>1223</v>
      </c>
      <c r="C34" s="315"/>
      <c r="D34" s="315"/>
      <c r="E34" s="315"/>
      <c r="F34" s="315"/>
      <c r="G34" s="315"/>
      <c r="H34" s="315"/>
      <c r="I34" s="315"/>
      <c r="L34" s="3564">
        <f>'Part III-A-Uses of Funds'!$G$146-'Part III-A-Uses of Funds'!$G$103-'Part III-A-Uses of Funds'!$G$109-'Part III-A-Uses of Funds'!$G$130-'Part III-A-Uses of Funds'!$G$131-'Part III-A-Uses of Funds'!$G$132-'Part III-A-Uses of Funds'!$G$127+'Part III-A-Uses of Funds'!$F$123</f>
        <v>15323398.5</v>
      </c>
      <c r="M34" s="3565"/>
      <c r="N34" s="839"/>
      <c r="S34" s="3493"/>
      <c r="T34" s="3494"/>
      <c r="Y34" s="2290"/>
      <c r="Z34" s="2246">
        <v>34</v>
      </c>
      <c r="AZ34" s="2212"/>
    </row>
    <row r="35" spans="1:52" s="291" customFormat="1" ht="16.5" customHeight="1">
      <c r="A35" s="315"/>
      <c r="B35" s="320" t="s">
        <v>2003</v>
      </c>
      <c r="C35" s="315"/>
      <c r="D35" s="315"/>
      <c r="E35" s="315"/>
      <c r="F35" s="315"/>
      <c r="G35" s="315"/>
      <c r="H35" s="315"/>
      <c r="I35" s="315"/>
      <c r="L35" s="3566">
        <f>L33-L34</f>
        <v>0.5</v>
      </c>
      <c r="M35" s="3567"/>
      <c r="N35" s="839"/>
      <c r="S35" s="3495"/>
      <c r="T35" s="3496"/>
      <c r="Y35" s="2290"/>
      <c r="Z35" s="2245">
        <v>35</v>
      </c>
      <c r="AZ35" s="2211"/>
    </row>
    <row r="36" spans="1:52" ht="9.65" customHeight="1">
      <c r="A36" s="337"/>
      <c r="B36" s="290"/>
      <c r="C36" s="332"/>
      <c r="D36" s="332"/>
      <c r="E36" s="332"/>
      <c r="F36" s="332"/>
      <c r="G36" s="332"/>
      <c r="H36" s="332"/>
      <c r="I36" s="332"/>
      <c r="J36" s="332"/>
      <c r="K36" s="332"/>
      <c r="L36" s="332"/>
      <c r="M36" s="1046"/>
      <c r="N36" s="1046"/>
      <c r="Z36" s="2246">
        <v>36</v>
      </c>
    </row>
    <row r="37" spans="1:52" ht="9.65"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4" customHeight="1">
      <c r="A38" s="315"/>
      <c r="B38" s="315"/>
      <c r="C38" s="315"/>
      <c r="D38" s="315"/>
      <c r="E38" s="315"/>
      <c r="F38" s="1046"/>
      <c r="G38" s="1046"/>
      <c r="H38" s="3541"/>
      <c r="I38" s="3541"/>
      <c r="K38" s="390" t="s">
        <v>1949</v>
      </c>
      <c r="L38" s="1046" t="s">
        <v>1219</v>
      </c>
      <c r="M38" s="1046" t="s">
        <v>1224</v>
      </c>
      <c r="P38" s="3542" t="s">
        <v>31</v>
      </c>
      <c r="Q38" s="3542"/>
      <c r="S38" s="365"/>
      <c r="Y38" s="2290"/>
      <c r="Z38" s="2246">
        <v>38</v>
      </c>
      <c r="AZ38" s="2212"/>
    </row>
    <row r="39" spans="1:52" s="291" customFormat="1" ht="13.4" customHeight="1">
      <c r="A39" s="315"/>
      <c r="B39" s="1049" t="s">
        <v>1734</v>
      </c>
      <c r="C39" s="1048"/>
      <c r="D39" s="1048"/>
      <c r="E39" s="3544" t="s">
        <v>1221</v>
      </c>
      <c r="F39" s="3544"/>
      <c r="G39" s="3544"/>
      <c r="H39" s="3544"/>
      <c r="I39" s="3545" t="s">
        <v>3848</v>
      </c>
      <c r="J39" s="3545"/>
      <c r="K39" s="1035" t="s">
        <v>1676</v>
      </c>
      <c r="L39" s="1035" t="s">
        <v>2047</v>
      </c>
      <c r="M39" s="1035" t="s">
        <v>2047</v>
      </c>
      <c r="N39" s="3545" t="s">
        <v>69</v>
      </c>
      <c r="O39" s="3545"/>
      <c r="P39" s="3543"/>
      <c r="Q39" s="3543"/>
      <c r="S39" s="3546" t="s">
        <v>2449</v>
      </c>
      <c r="T39" s="3546"/>
      <c r="Y39" s="2290"/>
      <c r="Z39" s="2246">
        <v>39</v>
      </c>
      <c r="AZ39" s="2212" t="s">
        <v>6359</v>
      </c>
    </row>
    <row r="40" spans="1:52" s="291" customFormat="1" ht="15" customHeight="1">
      <c r="A40" s="315"/>
      <c r="B40" s="3549" t="s">
        <v>2403</v>
      </c>
      <c r="C40" s="3550"/>
      <c r="D40" s="3550"/>
      <c r="E40" s="3518" t="s">
        <v>6921</v>
      </c>
      <c r="F40" s="3519"/>
      <c r="G40" s="3519"/>
      <c r="H40" s="3520"/>
      <c r="I40" s="3513">
        <v>2210000</v>
      </c>
      <c r="J40" s="3514"/>
      <c r="K40" s="836">
        <v>5.5E-2</v>
      </c>
      <c r="L40" s="1043">
        <v>17</v>
      </c>
      <c r="M40" s="1043">
        <v>40</v>
      </c>
      <c r="N40" s="3551" t="s">
        <v>6922</v>
      </c>
      <c r="O40" s="3551"/>
      <c r="P40" s="3512">
        <f>IF(OR(I40&lt;=0,I40=""),"",IF(N40="Cash Flow",0,IF(N40="Amortizing",-PMT(K40/12,M40*12,I40,0,0)*12,"")))</f>
        <v>136782.27860706521</v>
      </c>
      <c r="Q40" s="3512"/>
      <c r="S40" s="3532"/>
      <c r="T40" s="3533"/>
      <c r="Y40" s="2290" t="s">
        <v>6359</v>
      </c>
      <c r="Z40" s="2246">
        <v>40</v>
      </c>
      <c r="AZ40" s="2212" t="s">
        <v>6360</v>
      </c>
    </row>
    <row r="41" spans="1:52" s="291" customFormat="1" ht="15" customHeight="1">
      <c r="A41" s="315"/>
      <c r="B41" s="3534" t="s">
        <v>2404</v>
      </c>
      <c r="C41" s="3535"/>
      <c r="D41" s="3535"/>
      <c r="E41" s="3480"/>
      <c r="F41" s="3481"/>
      <c r="G41" s="3481"/>
      <c r="H41" s="3482"/>
      <c r="I41" s="3483"/>
      <c r="J41" s="3529"/>
      <c r="K41" s="837"/>
      <c r="L41" s="1044"/>
      <c r="M41" s="1044"/>
      <c r="N41" s="3547"/>
      <c r="O41" s="3547"/>
      <c r="P41" s="3548" t="str">
        <f>IF(OR(I41&lt;=0,I41=""),"",IF(N41="Cash Flow",0,IF(N41="Amortizing",-PMT(K41/12,M41*12,I41,0,0)*12,"")))</f>
        <v/>
      </c>
      <c r="Q41" s="3548"/>
      <c r="S41" s="3493"/>
      <c r="T41" s="3494"/>
      <c r="Y41" s="2290" t="s">
        <v>6360</v>
      </c>
      <c r="Z41" s="2246">
        <v>41</v>
      </c>
      <c r="AZ41" s="2212" t="s">
        <v>6361</v>
      </c>
    </row>
    <row r="42" spans="1:52" s="291" customFormat="1" ht="15" customHeight="1">
      <c r="A42" s="315"/>
      <c r="B42" s="3534" t="s">
        <v>2405</v>
      </c>
      <c r="C42" s="3535"/>
      <c r="D42" s="3535"/>
      <c r="E42" s="3480"/>
      <c r="F42" s="3481"/>
      <c r="G42" s="3481"/>
      <c r="H42" s="3482"/>
      <c r="I42" s="3483"/>
      <c r="J42" s="3529"/>
      <c r="K42" s="837"/>
      <c r="L42" s="1044"/>
      <c r="M42" s="1044"/>
      <c r="N42" s="3547"/>
      <c r="O42" s="3547"/>
      <c r="P42" s="3548" t="str">
        <f>IF(OR(I42&lt;=0,I42=""),"",IF(N42="Cash Flow",0,IF(N42="Amortizing",-PMT(K42/12,M42*12,I42,0,0)*12,"")))</f>
        <v/>
      </c>
      <c r="Q42" s="3548"/>
      <c r="S42" s="3493"/>
      <c r="T42" s="3494"/>
      <c r="Y42" s="2290" t="s">
        <v>6361</v>
      </c>
      <c r="Z42" s="2246">
        <v>42</v>
      </c>
      <c r="AZ42" s="2212" t="s">
        <v>6362</v>
      </c>
    </row>
    <row r="43" spans="1:52" s="291" customFormat="1" ht="15" customHeight="1">
      <c r="A43" s="315"/>
      <c r="B43" s="1040" t="s">
        <v>690</v>
      </c>
      <c r="C43" s="3523"/>
      <c r="D43" s="3524"/>
      <c r="E43" s="3480"/>
      <c r="F43" s="3481"/>
      <c r="G43" s="3481"/>
      <c r="H43" s="3482"/>
      <c r="I43" s="3525"/>
      <c r="J43" s="3526"/>
      <c r="K43" s="838"/>
      <c r="L43" s="1038"/>
      <c r="M43" s="1038"/>
      <c r="N43" s="3528"/>
      <c r="O43" s="3528"/>
      <c r="P43" s="3527" t="str">
        <f>IF(OR(I43&lt;=0,I43=""),"",IF(N43="Cash Flow",0,IF(N43="Amortizing",-PMT(K43/12,M43*12,I43,0,0)*12,"")))</f>
        <v/>
      </c>
      <c r="Q43" s="3527"/>
      <c r="S43" s="3493"/>
      <c r="T43" s="3494"/>
      <c r="Y43" s="2290" t="s">
        <v>6362</v>
      </c>
      <c r="Z43" s="2246">
        <v>43</v>
      </c>
      <c r="AZ43" s="2212" t="s">
        <v>6363</v>
      </c>
    </row>
    <row r="44" spans="1:52" s="291" customFormat="1" ht="15" customHeight="1">
      <c r="A44" s="315"/>
      <c r="B44" s="1040" t="s">
        <v>3948</v>
      </c>
      <c r="C44" s="1041"/>
      <c r="D44" s="1045"/>
      <c r="E44" s="3480"/>
      <c r="F44" s="3481"/>
      <c r="G44" s="3481"/>
      <c r="H44" s="3482"/>
      <c r="I44" s="3483"/>
      <c r="J44" s="3529"/>
      <c r="K44" s="476"/>
      <c r="L44" s="1039"/>
      <c r="M44" s="1039"/>
      <c r="N44" s="3531"/>
      <c r="O44" s="3531"/>
      <c r="P44" s="3530"/>
      <c r="Q44" s="3530"/>
      <c r="S44" s="3493"/>
      <c r="T44" s="3494"/>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0.20958119122257055</v>
      </c>
      <c r="E45" s="3498" t="s">
        <v>6910</v>
      </c>
      <c r="F45" s="3499"/>
      <c r="G45" s="3499"/>
      <c r="H45" s="3500"/>
      <c r="I45" s="3552">
        <v>334282</v>
      </c>
      <c r="J45" s="3553"/>
      <c r="K45" s="835">
        <v>0.06</v>
      </c>
      <c r="L45" s="834">
        <v>15</v>
      </c>
      <c r="M45" s="834">
        <v>15</v>
      </c>
      <c r="N45" s="3364" t="s">
        <v>1097</v>
      </c>
      <c r="O45" s="3365"/>
      <c r="P45" s="3554">
        <f>IF(OR(I45&lt;=0,I45=""),"",IF(N45="Cash Flow",0,IF(N45="Amortizing",-PMT(K45/12,M45*12,I45,0,0)*12,"")))</f>
        <v>0</v>
      </c>
      <c r="Q45" s="3555"/>
      <c r="S45" s="3493"/>
      <c r="T45" s="3494"/>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3"/>
      <c r="T46" s="3494"/>
      <c r="Y46" s="2290"/>
      <c r="Z46" s="2246">
        <v>46</v>
      </c>
      <c r="AZ46" s="2212"/>
    </row>
    <row r="47" spans="1:52" s="291" customFormat="1" ht="15" customHeight="1">
      <c r="A47" s="315"/>
      <c r="B47" s="1070" t="s">
        <v>3408</v>
      </c>
      <c r="C47" s="1217"/>
      <c r="E47" s="291" t="s">
        <v>3366</v>
      </c>
      <c r="F47" s="3487">
        <f>IF(OR($I$45="",$I$45=0,'Part VI-Pro Forma'!$S$35=0,'Part VI-Pro Forma'!$S$35=""),"",VLOOKUP($L$45,'Part VI-Pro Forma'!$Q$21:$S$40,3))</f>
        <v>614564.29209816048</v>
      </c>
      <c r="G47" s="3488"/>
      <c r="H47" s="628" t="s">
        <v>3407</v>
      </c>
      <c r="I47" s="3487">
        <f>IF(OR($I$45="",$I$45=0,'Part VI-Pro Forma'!$R$35=0,'Part VI-Pro Forma'!$R$35=""),"",VLOOKUP($L$45,'Part VI-Pro Forma'!$Q$21:$S$35,2))</f>
        <v>399484.61962626688</v>
      </c>
      <c r="J47" s="3488"/>
      <c r="K47" s="628" t="s">
        <v>3409</v>
      </c>
      <c r="L47" s="3510">
        <f>IF(OR($F$47 = 0,$F$47 =""),"",$I$47/$F$47)</f>
        <v>0.65002901203778318</v>
      </c>
      <c r="M47" s="3511"/>
      <c r="N47" s="3491" t="s">
        <v>3852</v>
      </c>
      <c r="O47" s="3492"/>
      <c r="P47" s="3489">
        <f>IF(OR($I$62=0,$I$60&gt;$I$61),0,ABS($I$60-$I$61))</f>
        <v>0</v>
      </c>
      <c r="Q47" s="3490"/>
      <c r="S47" s="3493"/>
      <c r="T47" s="3494"/>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5"/>
      <c r="T48" s="3496"/>
      <c r="Y48" s="2290"/>
      <c r="Z48" s="2246">
        <v>48</v>
      </c>
      <c r="AZ48" s="2212" t="s">
        <v>6365</v>
      </c>
    </row>
    <row r="49" spans="1:52" s="291" customFormat="1" ht="15" customHeight="1">
      <c r="A49" s="315"/>
      <c r="B49" s="3515" t="s">
        <v>2048</v>
      </c>
      <c r="C49" s="3516"/>
      <c r="D49" s="3517"/>
      <c r="E49" s="3518"/>
      <c r="F49" s="3519"/>
      <c r="G49" s="3519"/>
      <c r="H49" s="3520"/>
      <c r="I49" s="3521"/>
      <c r="J49" s="3522"/>
      <c r="K49" s="392"/>
      <c r="L49" s="392"/>
      <c r="M49" s="392"/>
      <c r="N49" s="392"/>
      <c r="O49" s="392"/>
      <c r="P49" s="423" t="s">
        <v>483</v>
      </c>
      <c r="Q49" s="392"/>
      <c r="S49" s="3532"/>
      <c r="T49" s="3533"/>
      <c r="Y49" s="2290" t="s">
        <v>6365</v>
      </c>
      <c r="Z49" s="2246">
        <v>49</v>
      </c>
      <c r="AZ49" s="2212" t="s">
        <v>6366</v>
      </c>
    </row>
    <row r="50" spans="1:52" s="291" customFormat="1" ht="15" customHeight="1">
      <c r="A50" s="315"/>
      <c r="B50" s="3534" t="s">
        <v>745</v>
      </c>
      <c r="C50" s="3535"/>
      <c r="D50" s="3536"/>
      <c r="E50" s="3480"/>
      <c r="F50" s="3481"/>
      <c r="G50" s="3481"/>
      <c r="H50" s="3482"/>
      <c r="I50" s="3483"/>
      <c r="J50" s="3529"/>
      <c r="L50" s="3537" t="s">
        <v>484</v>
      </c>
      <c r="M50" s="3537"/>
      <c r="N50" s="3538" t="s">
        <v>485</v>
      </c>
      <c r="O50" s="3538"/>
      <c r="P50" s="424" t="s">
        <v>2358</v>
      </c>
      <c r="Q50" s="392"/>
      <c r="S50" s="3493"/>
      <c r="T50" s="3494"/>
      <c r="Y50" s="2290" t="s">
        <v>6366</v>
      </c>
      <c r="Z50" s="2246">
        <v>50</v>
      </c>
      <c r="AZ50" s="2212" t="s">
        <v>6367</v>
      </c>
    </row>
    <row r="51" spans="1:52" s="291" customFormat="1" ht="15" customHeight="1">
      <c r="A51" s="315"/>
      <c r="B51" s="3534" t="s">
        <v>746</v>
      </c>
      <c r="C51" s="3535"/>
      <c r="D51" s="3536"/>
      <c r="E51" s="3480" t="s">
        <v>6919</v>
      </c>
      <c r="F51" s="3481"/>
      <c r="G51" s="3481"/>
      <c r="H51" s="3482"/>
      <c r="I51" s="3483">
        <v>8999100</v>
      </c>
      <c r="J51" s="3483"/>
      <c r="L51" s="3539">
        <f>'Part III-A-Uses of Funds'!$J$191*10*'Part III-A-Uses of Funds'!$N$182</f>
        <v>9000000</v>
      </c>
      <c r="M51" s="3539"/>
      <c r="N51" s="3540">
        <f>I51-L51</f>
        <v>-900</v>
      </c>
      <c r="O51" s="3540"/>
      <c r="P51" s="425">
        <f>I51/I61</f>
        <v>0.52800831801882731</v>
      </c>
      <c r="Q51" s="392"/>
      <c r="S51" s="3493"/>
      <c r="T51" s="3494"/>
      <c r="Y51" s="2290" t="s">
        <v>6367</v>
      </c>
      <c r="Z51" s="2245">
        <v>51</v>
      </c>
      <c r="AZ51" s="2212" t="s">
        <v>6368</v>
      </c>
    </row>
    <row r="52" spans="1:52" s="291" customFormat="1" ht="15" customHeight="1">
      <c r="A52" s="315"/>
      <c r="B52" s="3534" t="s">
        <v>747</v>
      </c>
      <c r="C52" s="3535"/>
      <c r="D52" s="3536"/>
      <c r="E52" s="3480" t="s">
        <v>6919</v>
      </c>
      <c r="F52" s="3481"/>
      <c r="G52" s="3481"/>
      <c r="H52" s="3482"/>
      <c r="I52" s="3483">
        <v>5500000</v>
      </c>
      <c r="J52" s="3483"/>
      <c r="L52" s="3539">
        <f>'Part III-A-Uses of Funds'!$J$191*10*'Part III-A-Uses of Funds'!$Q$182</f>
        <v>5500000</v>
      </c>
      <c r="M52" s="3539"/>
      <c r="N52" s="3540">
        <f>I52-L52</f>
        <v>0</v>
      </c>
      <c r="O52" s="3540"/>
      <c r="P52" s="425">
        <f>I52/I61</f>
        <v>0.32270402030242473</v>
      </c>
      <c r="Q52" s="392"/>
      <c r="S52" s="3493"/>
      <c r="T52" s="3494"/>
      <c r="Y52" s="2290" t="s">
        <v>6368</v>
      </c>
      <c r="Z52" s="2246">
        <v>52</v>
      </c>
      <c r="AZ52" s="2212" t="s">
        <v>6369</v>
      </c>
    </row>
    <row r="53" spans="1:52" s="291" customFormat="1" ht="15" customHeight="1">
      <c r="A53" s="315"/>
      <c r="B53" s="3534" t="s">
        <v>1332</v>
      </c>
      <c r="C53" s="3535"/>
      <c r="D53" s="3536"/>
      <c r="E53" s="3480"/>
      <c r="F53" s="3481"/>
      <c r="G53" s="3481"/>
      <c r="H53" s="3482"/>
      <c r="I53" s="3483"/>
      <c r="J53" s="3483"/>
      <c r="P53" s="426">
        <f>SUM(P51:P52)</f>
        <v>0.85071233832125204</v>
      </c>
      <c r="Q53" s="392"/>
      <c r="S53" s="3495"/>
      <c r="T53" s="3496"/>
      <c r="Y53" s="2290" t="s">
        <v>6369</v>
      </c>
      <c r="Z53" s="2246">
        <v>53</v>
      </c>
      <c r="AZ53" s="2212"/>
    </row>
    <row r="54" spans="1:52" s="291" customFormat="1" ht="15" customHeight="1">
      <c r="A54" s="315"/>
      <c r="B54" s="1040" t="s">
        <v>497</v>
      </c>
      <c r="C54" s="1041"/>
      <c r="D54" s="1045"/>
      <c r="E54" s="3480"/>
      <c r="F54" s="3481"/>
      <c r="G54" s="3481"/>
      <c r="H54" s="3482"/>
      <c r="I54" s="3483"/>
      <c r="J54" s="3483"/>
      <c r="K54" s="315"/>
      <c r="Q54" s="392"/>
      <c r="S54" s="3493"/>
      <c r="T54" s="3494"/>
      <c r="Y54" s="2290"/>
      <c r="Z54" s="2246">
        <v>54</v>
      </c>
      <c r="AZ54" s="2212"/>
    </row>
    <row r="55" spans="1:52" s="291" customFormat="1" ht="15" customHeight="1">
      <c r="A55" s="315"/>
      <c r="B55" s="1040" t="s">
        <v>1732</v>
      </c>
      <c r="C55" s="1041"/>
      <c r="D55" s="1045"/>
      <c r="E55" s="3480"/>
      <c r="F55" s="3481"/>
      <c r="G55" s="3481"/>
      <c r="H55" s="3482"/>
      <c r="I55" s="3483"/>
      <c r="J55" s="3483"/>
      <c r="N55" s="393"/>
      <c r="O55" s="393"/>
      <c r="P55" s="393"/>
      <c r="Q55" s="392"/>
      <c r="S55" s="3493"/>
      <c r="T55" s="3494"/>
      <c r="Y55" s="2290"/>
      <c r="Z55" s="2246">
        <v>55</v>
      </c>
      <c r="AZ55" s="2212"/>
    </row>
    <row r="56" spans="1:52" s="291" customFormat="1" ht="15" customHeight="1">
      <c r="A56" s="315"/>
      <c r="B56" s="1040" t="s">
        <v>1733</v>
      </c>
      <c r="C56" s="1041"/>
      <c r="D56" s="1045"/>
      <c r="E56" s="3480"/>
      <c r="F56" s="3481"/>
      <c r="G56" s="3481"/>
      <c r="H56" s="3482"/>
      <c r="I56" s="3483"/>
      <c r="J56" s="3483"/>
      <c r="M56" s="393"/>
      <c r="N56" s="393"/>
      <c r="O56" s="393"/>
      <c r="P56" s="393"/>
      <c r="Q56" s="392"/>
      <c r="S56" s="3493"/>
      <c r="T56" s="3494"/>
      <c r="Y56" s="2290"/>
      <c r="Z56" s="2246">
        <v>56</v>
      </c>
      <c r="AZ56" s="2212" t="s">
        <v>6370</v>
      </c>
    </row>
    <row r="57" spans="1:52" s="291" customFormat="1" ht="15" customHeight="1">
      <c r="A57" s="315"/>
      <c r="B57" s="1040" t="s">
        <v>690</v>
      </c>
      <c r="C57" s="3508" t="s">
        <v>6920</v>
      </c>
      <c r="D57" s="3508"/>
      <c r="E57" s="3480" t="s">
        <v>6910</v>
      </c>
      <c r="F57" s="3481"/>
      <c r="G57" s="3481"/>
      <c r="H57" s="3482"/>
      <c r="I57" s="3483">
        <v>100</v>
      </c>
      <c r="J57" s="3483"/>
      <c r="M57" s="393"/>
      <c r="N57" s="393"/>
      <c r="O57" s="393"/>
      <c r="P57" s="393"/>
      <c r="Q57" s="392"/>
      <c r="S57" s="3493"/>
      <c r="T57" s="3494"/>
      <c r="Y57" s="2290" t="s">
        <v>6370</v>
      </c>
      <c r="Z57" s="2246">
        <v>57</v>
      </c>
      <c r="AZ57" s="2212" t="s">
        <v>6371</v>
      </c>
    </row>
    <row r="58" spans="1:52" s="291" customFormat="1" ht="15" customHeight="1">
      <c r="A58" s="315"/>
      <c r="B58" s="1040" t="s">
        <v>690</v>
      </c>
      <c r="C58" s="3509"/>
      <c r="D58" s="3509"/>
      <c r="E58" s="3480"/>
      <c r="F58" s="3481"/>
      <c r="G58" s="3481"/>
      <c r="H58" s="3482"/>
      <c r="I58" s="3483"/>
      <c r="J58" s="3483"/>
      <c r="K58" s="315"/>
      <c r="L58" s="394"/>
      <c r="M58" s="393"/>
      <c r="N58" s="393"/>
      <c r="O58" s="393"/>
      <c r="P58" s="393"/>
      <c r="Q58" s="392"/>
      <c r="S58" s="3493"/>
      <c r="T58" s="3494"/>
      <c r="Y58" s="2290" t="s">
        <v>6371</v>
      </c>
      <c r="Z58" s="2246">
        <v>58</v>
      </c>
      <c r="AZ58" s="2212" t="s">
        <v>6372</v>
      </c>
    </row>
    <row r="59" spans="1:52" s="291" customFormat="1" ht="15" customHeight="1">
      <c r="A59" s="315"/>
      <c r="B59" s="1047" t="s">
        <v>690</v>
      </c>
      <c r="C59" s="3497"/>
      <c r="D59" s="3497"/>
      <c r="E59" s="3498"/>
      <c r="F59" s="3499"/>
      <c r="G59" s="3499"/>
      <c r="H59" s="3500"/>
      <c r="I59" s="3501"/>
      <c r="J59" s="3501"/>
      <c r="K59" s="315"/>
      <c r="L59" s="394"/>
      <c r="M59" s="393"/>
      <c r="N59" s="393"/>
      <c r="O59" s="393"/>
      <c r="P59" s="393"/>
      <c r="Q59" s="392"/>
      <c r="S59" s="3493"/>
      <c r="T59" s="3494"/>
      <c r="Y59" s="2290" t="s">
        <v>6372</v>
      </c>
      <c r="Z59" s="2246">
        <v>59</v>
      </c>
      <c r="AZ59" s="2212"/>
    </row>
    <row r="60" spans="1:52" s="291" customFormat="1" ht="14.25" customHeight="1">
      <c r="A60" s="315"/>
      <c r="B60" s="1034" t="s">
        <v>2049</v>
      </c>
      <c r="C60" s="315"/>
      <c r="D60" s="315"/>
      <c r="E60" s="315"/>
      <c r="F60" s="315"/>
      <c r="G60" s="315"/>
      <c r="I60" s="3502">
        <f>SUM(I40:J45)+SUM(I49:J59)</f>
        <v>17043482</v>
      </c>
      <c r="J60" s="3503"/>
      <c r="K60" s="315"/>
      <c r="L60" s="394"/>
      <c r="M60" s="393"/>
      <c r="N60" s="393"/>
      <c r="O60" s="393"/>
      <c r="P60" s="393"/>
      <c r="Q60" s="392"/>
      <c r="S60" s="3493"/>
      <c r="T60" s="3494"/>
      <c r="Y60" s="2290"/>
      <c r="Z60" s="2245">
        <v>60</v>
      </c>
      <c r="AZ60" s="2212"/>
    </row>
    <row r="61" spans="1:52" s="291" customFormat="1" ht="14.25" customHeight="1" thickBot="1">
      <c r="A61" s="315"/>
      <c r="B61" s="1034" t="s">
        <v>2050</v>
      </c>
      <c r="C61" s="315"/>
      <c r="D61" s="315"/>
      <c r="E61" s="315"/>
      <c r="F61" s="315"/>
      <c r="G61" s="315"/>
      <c r="I61" s="3504">
        <f>'Part III-A-Uses of Funds'!$G$146</f>
        <v>17043481.5</v>
      </c>
      <c r="J61" s="3505"/>
      <c r="K61" s="315"/>
      <c r="L61" s="394"/>
      <c r="M61" s="393"/>
      <c r="N61" s="393"/>
      <c r="O61" s="393"/>
      <c r="P61" s="393"/>
      <c r="Q61" s="392"/>
      <c r="S61" s="3493"/>
      <c r="T61" s="3494"/>
      <c r="Y61" s="2290"/>
      <c r="Z61" s="2246">
        <v>61</v>
      </c>
      <c r="AZ61" s="2212"/>
    </row>
    <row r="62" spans="1:52" s="291" customFormat="1" ht="14.25" customHeight="1" thickBot="1">
      <c r="A62" s="315"/>
      <c r="B62" s="320" t="s">
        <v>1429</v>
      </c>
      <c r="C62" s="315"/>
      <c r="D62" s="315"/>
      <c r="E62" s="315"/>
      <c r="F62" s="315"/>
      <c r="G62" s="315"/>
      <c r="I62" s="3506">
        <f>I60-I61</f>
        <v>0.5</v>
      </c>
      <c r="J62" s="3507"/>
      <c r="K62" s="315"/>
      <c r="L62" s="394"/>
      <c r="M62" s="393"/>
      <c r="N62" s="393"/>
      <c r="O62" s="393"/>
      <c r="P62" s="393"/>
      <c r="Q62" s="392"/>
      <c r="S62" s="3495"/>
      <c r="T62" s="3496"/>
      <c r="Y62" s="2290"/>
      <c r="Z62" s="2246">
        <v>62</v>
      </c>
      <c r="AZ62" s="2212"/>
    </row>
    <row r="63" spans="1:52" s="291" customFormat="1" ht="13.4"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210" customHeight="1">
      <c r="A66" s="3486" t="s">
        <v>7015</v>
      </c>
      <c r="B66" s="3486"/>
      <c r="C66" s="3486"/>
      <c r="D66" s="3486"/>
      <c r="E66" s="3486"/>
      <c r="F66" s="3486"/>
      <c r="G66" s="3486"/>
      <c r="H66" s="3486"/>
      <c r="I66" s="3486"/>
      <c r="J66" s="3486"/>
      <c r="K66" s="3486"/>
      <c r="L66" s="3486"/>
      <c r="M66" s="3485"/>
      <c r="N66" s="3485"/>
      <c r="O66" s="3485"/>
      <c r="P66" s="3485"/>
      <c r="Q66" s="3485"/>
      <c r="S66" s="3484" t="s">
        <v>2453</v>
      </c>
      <c r="T66" s="3484"/>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5" customHeight="1">
      <c r="AZ70" s="2212"/>
    </row>
    <row r="71" spans="1:52" s="291" customFormat="1" ht="14.5" customHeight="1">
      <c r="Y71" s="2290"/>
      <c r="Z71" s="2294"/>
      <c r="AZ71" s="2212"/>
    </row>
    <row r="72" spans="1:52" s="291" customFormat="1" ht="14.5" customHeight="1">
      <c r="Y72" s="2290"/>
      <c r="Z72" s="2294"/>
      <c r="AZ72" s="2212"/>
    </row>
    <row r="73" spans="1:52" s="291" customFormat="1" ht="14.5" customHeight="1">
      <c r="Y73" s="2290"/>
      <c r="Z73" s="2294"/>
      <c r="AZ73" s="2211"/>
    </row>
    <row r="74" spans="1:52" ht="14.5" customHeight="1">
      <c r="AZ74" s="2212"/>
    </row>
    <row r="75" spans="1:52" s="291" customFormat="1" ht="14.5" customHeight="1">
      <c r="A75" s="368"/>
      <c r="Y75" s="2290"/>
      <c r="Z75" s="2294"/>
      <c r="AZ75" s="2212"/>
    </row>
    <row r="76" spans="1:52" s="291" customFormat="1" ht="14.5" customHeight="1">
      <c r="A76" s="368"/>
      <c r="Y76" s="2290"/>
      <c r="Z76" s="2294"/>
      <c r="AZ76" s="2212"/>
    </row>
    <row r="77" spans="1:52" s="291" customFormat="1" ht="14.5" customHeight="1">
      <c r="Y77" s="2290"/>
      <c r="Z77" s="2294"/>
      <c r="AZ77" s="2212"/>
    </row>
    <row r="78" spans="1:52" s="291" customFormat="1" ht="14.5" customHeight="1">
      <c r="A78" s="368"/>
      <c r="Y78" s="2290"/>
      <c r="Z78" s="2294"/>
      <c r="AZ78" s="2212"/>
    </row>
    <row r="79" spans="1:52" s="291" customFormat="1" ht="14.5" customHeight="1">
      <c r="A79" s="366"/>
      <c r="Y79" s="2290"/>
      <c r="Z79" s="2294"/>
      <c r="AZ79" s="2212"/>
    </row>
    <row r="80" spans="1:52" s="291" customFormat="1" ht="14.5" customHeight="1">
      <c r="A80" s="366"/>
      <c r="Y80" s="2290"/>
      <c r="Z80" s="2294"/>
      <c r="AZ80" s="2212"/>
    </row>
    <row r="81" spans="1:52" s="291" customFormat="1" ht="14.5" customHeight="1">
      <c r="A81" s="369"/>
      <c r="Y81" s="2290"/>
      <c r="Z81" s="2294"/>
      <c r="AZ81" s="2212"/>
    </row>
    <row r="82" spans="1:52" s="291" customFormat="1" ht="14.5" customHeight="1">
      <c r="A82" s="368"/>
      <c r="Y82" s="2290"/>
      <c r="Z82" s="2294"/>
      <c r="AZ82" s="2212"/>
    </row>
    <row r="83" spans="1:52" s="291" customFormat="1" ht="14.5" customHeight="1">
      <c r="A83" s="366"/>
      <c r="Y83" s="2290"/>
      <c r="Z83" s="2294"/>
      <c r="AZ83" s="2212"/>
    </row>
    <row r="84" spans="1:52" s="291" customFormat="1" ht="14.5" customHeight="1">
      <c r="A84" s="366"/>
      <c r="Y84" s="2290"/>
      <c r="Z84" s="2294"/>
      <c r="AZ84" s="2212"/>
    </row>
    <row r="85" spans="1:52" s="291" customFormat="1" ht="14.5" customHeight="1">
      <c r="A85" s="369"/>
      <c r="Y85" s="2290"/>
      <c r="Z85" s="2294"/>
      <c r="AZ85" s="2212"/>
    </row>
    <row r="86" spans="1:52" s="291" customFormat="1" ht="14.5" customHeight="1">
      <c r="A86" s="368"/>
      <c r="Y86" s="2290"/>
      <c r="Z86" s="2294"/>
      <c r="AZ86" s="2212"/>
    </row>
    <row r="87" spans="1:52" s="291" customFormat="1" ht="14.5" customHeight="1">
      <c r="A87" s="366"/>
      <c r="Y87" s="2290"/>
      <c r="Z87" s="2294"/>
      <c r="AZ87" s="2212"/>
    </row>
    <row r="88" spans="1:52" s="291" customFormat="1" ht="14.5" customHeight="1">
      <c r="A88" s="366"/>
      <c r="Y88" s="2290"/>
      <c r="Z88" s="2294"/>
      <c r="AZ88" s="2212"/>
    </row>
    <row r="89" spans="1:52" s="291" customFormat="1" ht="14.5" customHeight="1">
      <c r="A89" s="369"/>
      <c r="Y89" s="2290"/>
      <c r="Z89" s="2294"/>
      <c r="AZ89" s="2212"/>
    </row>
    <row r="90" spans="1:52" s="291" customFormat="1" ht="14.5" customHeight="1">
      <c r="A90" s="369"/>
      <c r="Y90" s="2290"/>
      <c r="Z90" s="2294"/>
      <c r="AZ90" s="2212"/>
    </row>
    <row r="91" spans="1:52" s="291" customFormat="1" ht="14.5" customHeight="1">
      <c r="A91" s="369"/>
      <c r="Y91" s="2290"/>
      <c r="Z91" s="2294"/>
      <c r="AZ91" s="2212"/>
    </row>
    <row r="92" spans="1:52" s="291" customFormat="1" ht="14.5" customHeight="1">
      <c r="A92" s="369"/>
      <c r="Y92" s="2290"/>
      <c r="Z92" s="2294"/>
      <c r="AZ92" s="2212"/>
    </row>
    <row r="93" spans="1:52" s="291" customFormat="1" ht="14.5" customHeight="1">
      <c r="Y93" s="2290"/>
      <c r="Z93" s="2294"/>
      <c r="AZ93" s="2212"/>
    </row>
    <row r="94" spans="1:52" s="291" customFormat="1" ht="14.5" customHeight="1">
      <c r="Y94" s="2290"/>
      <c r="Z94" s="2294"/>
      <c r="AZ94" s="2211"/>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315"/>
      <c r="L101" s="291"/>
      <c r="M101" s="291"/>
      <c r="N101" s="291"/>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76" customFormat="1" ht="16.399999999999999" customHeight="1">
      <c r="A1" s="3616" t="e">
        <f>CONCATENATE("PART III B: USD 538 LOAN","  -  ",#REF!," ",#REF!,", ",#REF!,", ",#REF!," County")</f>
        <v>#REF!</v>
      </c>
      <c r="B1" s="3617"/>
      <c r="C1" s="3617"/>
      <c r="D1" s="3617"/>
      <c r="E1" s="3617"/>
      <c r="F1" s="3618"/>
      <c r="G1" s="174"/>
      <c r="H1" s="174"/>
      <c r="I1" s="174"/>
      <c r="J1" s="174"/>
      <c r="K1" s="174"/>
      <c r="L1" s="174"/>
      <c r="M1" s="174"/>
      <c r="N1" s="174"/>
      <c r="O1" s="174"/>
      <c r="P1" s="174"/>
      <c r="Q1" s="174"/>
    </row>
    <row r="2" spans="1:17" ht="11.15" customHeight="1">
      <c r="A2" s="207"/>
      <c r="B2" s="207"/>
      <c r="C2" s="207"/>
      <c r="D2" s="207"/>
      <c r="E2" s="207"/>
      <c r="F2" s="207"/>
      <c r="G2" s="207"/>
      <c r="H2" s="207"/>
    </row>
    <row r="3" spans="1:17" ht="14.5" customHeight="1">
      <c r="A3" s="3625" t="s">
        <v>210</v>
      </c>
      <c r="B3" s="3625"/>
      <c r="C3" s="3625"/>
      <c r="D3" s="3625"/>
      <c r="E3" s="3625"/>
      <c r="F3" s="3625"/>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4"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5" customHeight="1">
      <c r="A13" s="207"/>
      <c r="B13" s="207"/>
      <c r="C13" s="207"/>
      <c r="D13" s="207"/>
      <c r="E13" s="207"/>
      <c r="F13" s="207"/>
      <c r="G13" s="207"/>
      <c r="H13" s="207"/>
    </row>
    <row r="14" spans="1:17" ht="12.65" customHeight="1">
      <c r="A14" s="3626" t="s">
        <v>122</v>
      </c>
      <c r="B14" s="3626"/>
      <c r="C14" s="3626"/>
      <c r="D14" s="3626"/>
      <c r="E14" s="3626"/>
      <c r="F14" s="3626"/>
      <c r="G14" s="207"/>
      <c r="H14" s="207"/>
    </row>
    <row r="15" spans="1:17" ht="5.5" customHeight="1">
      <c r="A15" s="28"/>
      <c r="E15" s="218"/>
      <c r="F15" s="207"/>
      <c r="G15" s="207"/>
      <c r="H15" s="207"/>
    </row>
    <row r="16" spans="1:17" ht="13.4" customHeight="1">
      <c r="A16" s="220" t="s">
        <v>2285</v>
      </c>
      <c r="B16" s="221" t="s">
        <v>2282</v>
      </c>
      <c r="C16" s="221" t="s">
        <v>2283</v>
      </c>
      <c r="D16" s="3622" t="s">
        <v>2083</v>
      </c>
      <c r="E16" s="3622"/>
      <c r="F16" s="207"/>
      <c r="G16" s="207"/>
      <c r="H16" s="207"/>
    </row>
    <row r="17" spans="1:8" ht="12.65" customHeight="1">
      <c r="A17" s="81">
        <v>1</v>
      </c>
      <c r="B17" s="196">
        <f>IF(A17&gt;$C$9,0,SUM(C64:C75)*($C$6/$C$7))</f>
        <v>0</v>
      </c>
      <c r="C17" s="219">
        <f>IF(A17&gt;C9,0,(E63+K63)*$C$8)</f>
        <v>0</v>
      </c>
      <c r="D17" s="3627">
        <f t="shared" ref="D17:D56" si="0">IF(A17&gt;$C$9,0,$C$11+C17)</f>
        <v>0</v>
      </c>
      <c r="E17" s="3627"/>
      <c r="F17" s="207"/>
      <c r="G17" s="207"/>
      <c r="H17" s="207"/>
    </row>
    <row r="18" spans="1:8" ht="12.65" customHeight="1">
      <c r="A18" s="81">
        <v>2</v>
      </c>
      <c r="B18" s="196">
        <f>IF(A18&gt;C9,0,SUM(C76:C87)*($C$6/$C$7))</f>
        <v>0</v>
      </c>
      <c r="C18" s="226">
        <f>IF(A18&gt;C9,0,(E75+K75)*$C$8)</f>
        <v>0</v>
      </c>
      <c r="D18" s="3619">
        <f t="shared" si="0"/>
        <v>0</v>
      </c>
      <c r="E18" s="3619"/>
      <c r="F18" s="207"/>
      <c r="G18" s="207"/>
      <c r="H18" s="207"/>
    </row>
    <row r="19" spans="1:8" ht="12.65" customHeight="1">
      <c r="A19" s="81">
        <v>3</v>
      </c>
      <c r="B19" s="196">
        <f>IF(A19&gt;C9,0,SUM(C88:C99)*($C$6/$C$7))</f>
        <v>0</v>
      </c>
      <c r="C19" s="219">
        <f>IF(A19&gt;C9,0,(E87+K87)*$C$8)</f>
        <v>0</v>
      </c>
      <c r="D19" s="3619">
        <f t="shared" si="0"/>
        <v>0</v>
      </c>
      <c r="E19" s="3619"/>
      <c r="F19" s="207"/>
      <c r="G19" s="207"/>
      <c r="H19" s="207"/>
    </row>
    <row r="20" spans="1:8" ht="12.65" customHeight="1">
      <c r="A20" s="81">
        <v>4</v>
      </c>
      <c r="B20" s="196">
        <f>IF(A20&gt;C9,0,SUM(C100:C111)*($C$6/$C$7))</f>
        <v>0</v>
      </c>
      <c r="C20" s="219">
        <f>IF(A20&gt;C9,0,(E99+K99)*$C$8)</f>
        <v>0</v>
      </c>
      <c r="D20" s="3619">
        <f t="shared" si="0"/>
        <v>0</v>
      </c>
      <c r="E20" s="3619"/>
      <c r="F20" s="207"/>
      <c r="G20" s="207"/>
      <c r="H20" s="207"/>
    </row>
    <row r="21" spans="1:8" ht="12.65" customHeight="1">
      <c r="A21" s="81">
        <v>5</v>
      </c>
      <c r="B21" s="196">
        <f>IF(A21&gt;C9,0,SUM(C112:C123)*($C$6/$C$7))</f>
        <v>0</v>
      </c>
      <c r="C21" s="219">
        <f>IF(A21&gt;C9,0,(E111+K111)*$C$8)</f>
        <v>0</v>
      </c>
      <c r="D21" s="3620">
        <f t="shared" si="0"/>
        <v>0</v>
      </c>
      <c r="E21" s="3620"/>
      <c r="F21" s="207"/>
      <c r="G21" s="207"/>
      <c r="H21" s="207"/>
    </row>
    <row r="22" spans="1:8" ht="12.65" customHeight="1">
      <c r="A22" s="197">
        <v>6</v>
      </c>
      <c r="B22" s="198">
        <f>IF(A22&gt;C9,0,SUM(C124:C135)*($C$6/$C$7))</f>
        <v>0</v>
      </c>
      <c r="C22" s="223">
        <f>IF(A22&gt;C9,0,(E123+K123)*$C$8)</f>
        <v>0</v>
      </c>
      <c r="D22" s="3619">
        <f t="shared" si="0"/>
        <v>0</v>
      </c>
      <c r="E22" s="3619"/>
      <c r="F22" s="207"/>
      <c r="G22" s="207"/>
      <c r="H22" s="207"/>
    </row>
    <row r="23" spans="1:8" ht="12.65" customHeight="1">
      <c r="A23" s="199">
        <v>7</v>
      </c>
      <c r="B23" s="200">
        <f>IF(A23&gt;C9,0,SUM(C136:C147)*($C$6/$C$7))</f>
        <v>0</v>
      </c>
      <c r="C23" s="201">
        <f>IF(A23&gt;C9,0,(E135+K135)*$C$8)</f>
        <v>0</v>
      </c>
      <c r="D23" s="3619">
        <f t="shared" si="0"/>
        <v>0</v>
      </c>
      <c r="E23" s="3619"/>
      <c r="F23" s="207"/>
      <c r="G23" s="207"/>
      <c r="H23" s="207"/>
    </row>
    <row r="24" spans="1:8" ht="12.65" customHeight="1">
      <c r="A24" s="199">
        <v>8</v>
      </c>
      <c r="B24" s="200">
        <f>IF(A24&gt;C9,0,SUM(C148:C159)*($C$6/$C$7))</f>
        <v>0</v>
      </c>
      <c r="C24" s="201">
        <f>IF(A24&gt;C9,0,(E147+K147)*$C$8)</f>
        <v>0</v>
      </c>
      <c r="D24" s="3619">
        <f t="shared" si="0"/>
        <v>0</v>
      </c>
      <c r="E24" s="3619"/>
      <c r="F24" s="207"/>
      <c r="G24" s="207"/>
      <c r="H24" s="207"/>
    </row>
    <row r="25" spans="1:8" ht="12.65" customHeight="1">
      <c r="A25" s="199">
        <v>9</v>
      </c>
      <c r="B25" s="200">
        <f>IF(A25&gt;C9,0,SUM(C160:C171)*($C$6/$C$7))</f>
        <v>0</v>
      </c>
      <c r="C25" s="201">
        <f>IF(A25&gt;C9,0,(E159+K159)*$C$8)</f>
        <v>0</v>
      </c>
      <c r="D25" s="3619">
        <f t="shared" si="0"/>
        <v>0</v>
      </c>
      <c r="E25" s="3619"/>
      <c r="F25" s="207"/>
      <c r="G25" s="207"/>
      <c r="H25" s="207"/>
    </row>
    <row r="26" spans="1:8" ht="12.65" customHeight="1">
      <c r="A26" s="202">
        <v>10</v>
      </c>
      <c r="B26" s="203">
        <f>IF(A26&gt;C9,0,SUM(C172:C183)*($C$6/$C$7))</f>
        <v>0</v>
      </c>
      <c r="C26" s="222">
        <f>IF(A26&gt;C9,0,(E171+K171)*$C$8)</f>
        <v>0</v>
      </c>
      <c r="D26" s="3620">
        <f t="shared" si="0"/>
        <v>0</v>
      </c>
      <c r="E26" s="3620"/>
      <c r="F26" s="207"/>
      <c r="G26" s="207"/>
      <c r="H26" s="207"/>
    </row>
    <row r="27" spans="1:8" ht="12.65" customHeight="1">
      <c r="A27" s="204">
        <v>11</v>
      </c>
      <c r="B27" s="196">
        <f>IF(A27&gt;C9,0,SUM(C184:C195)*($C$6/$C$7))</f>
        <v>0</v>
      </c>
      <c r="C27" s="219">
        <f>IF(A27&gt;C9,0,(E183+K183)*$C$8)</f>
        <v>0</v>
      </c>
      <c r="D27" s="3619">
        <f t="shared" si="0"/>
        <v>0</v>
      </c>
      <c r="E27" s="3619"/>
      <c r="F27" s="207"/>
      <c r="G27" s="207"/>
      <c r="H27" s="207"/>
    </row>
    <row r="28" spans="1:8" ht="12.65" customHeight="1">
      <c r="A28" s="204">
        <v>12</v>
      </c>
      <c r="B28" s="196">
        <f>IF(A28&gt;C9,0,SUM(C196:C207)*($C$6/$C$7))</f>
        <v>0</v>
      </c>
      <c r="C28" s="219">
        <f>IF(A28&gt;C9,0,(E195+K195)*$C$8)</f>
        <v>0</v>
      </c>
      <c r="D28" s="3619">
        <f t="shared" si="0"/>
        <v>0</v>
      </c>
      <c r="E28" s="3619"/>
      <c r="F28" s="207"/>
      <c r="G28" s="207"/>
      <c r="H28" s="207"/>
    </row>
    <row r="29" spans="1:8" ht="12.65" customHeight="1">
      <c r="A29" s="204">
        <v>13</v>
      </c>
      <c r="B29" s="196">
        <f>IF(A29&gt;C9,0,SUM(C208:C219)*($C$6/$C$7))</f>
        <v>0</v>
      </c>
      <c r="C29" s="219">
        <f>IF(A29&gt;C9,0,(E207+K207)*$C$8)</f>
        <v>0</v>
      </c>
      <c r="D29" s="3619">
        <f t="shared" si="0"/>
        <v>0</v>
      </c>
      <c r="E29" s="3619"/>
      <c r="F29" s="207"/>
      <c r="G29" s="207"/>
      <c r="H29" s="207"/>
    </row>
    <row r="30" spans="1:8" ht="12.65" customHeight="1">
      <c r="A30" s="204">
        <v>14</v>
      </c>
      <c r="B30" s="196">
        <f>IF(A30&gt;C9,0,SUM(C220:C231)*($C$6/$C$7))</f>
        <v>0</v>
      </c>
      <c r="C30" s="219">
        <f>IF(A30&gt;C9,0,(E219+K219)*$C$8)</f>
        <v>0</v>
      </c>
      <c r="D30" s="3619">
        <f t="shared" si="0"/>
        <v>0</v>
      </c>
      <c r="E30" s="3619"/>
      <c r="F30" s="207"/>
      <c r="G30" s="207"/>
      <c r="H30" s="207"/>
    </row>
    <row r="31" spans="1:8" ht="12.65" customHeight="1">
      <c r="A31" s="204">
        <v>15</v>
      </c>
      <c r="B31" s="196">
        <f>IF(A31&gt;C9,0,SUM(C232:C243)*($C$6/$C$7))</f>
        <v>0</v>
      </c>
      <c r="C31" s="219">
        <f>IF(A31&gt;C9,0,(E231+K231)*$C$8)</f>
        <v>0</v>
      </c>
      <c r="D31" s="3620">
        <f t="shared" si="0"/>
        <v>0</v>
      </c>
      <c r="E31" s="3620"/>
      <c r="F31" s="207"/>
      <c r="G31" s="207"/>
      <c r="H31" s="207"/>
    </row>
    <row r="32" spans="1:8" ht="12.65" customHeight="1">
      <c r="A32" s="206">
        <v>16</v>
      </c>
      <c r="B32" s="198">
        <f>IF(A32&gt;C9,0,SUM(C244:C255)*($C$6/$C$7))</f>
        <v>0</v>
      </c>
      <c r="C32" s="223">
        <f>IF(A32&gt;C9,0,(E243+K243)*$C$8)</f>
        <v>0</v>
      </c>
      <c r="D32" s="3619">
        <f t="shared" si="0"/>
        <v>0</v>
      </c>
      <c r="E32" s="3619"/>
      <c r="F32" s="207"/>
      <c r="G32" s="207"/>
      <c r="H32" s="207"/>
    </row>
    <row r="33" spans="1:8" ht="12.65" customHeight="1">
      <c r="A33" s="199">
        <v>17</v>
      </c>
      <c r="B33" s="200">
        <f>IF(A33&gt;C9,0,SUM(C256:C267)*($C$6/$C$7))</f>
        <v>0</v>
      </c>
      <c r="C33" s="201">
        <f>IF(A33&gt;C9,0,(E255+K255)*$C$8)</f>
        <v>0</v>
      </c>
      <c r="D33" s="3619">
        <f t="shared" si="0"/>
        <v>0</v>
      </c>
      <c r="E33" s="3619"/>
      <c r="F33" s="207"/>
      <c r="G33" s="207"/>
      <c r="H33" s="207"/>
    </row>
    <row r="34" spans="1:8" ht="12.65" customHeight="1">
      <c r="A34" s="199">
        <v>18</v>
      </c>
      <c r="B34" s="200">
        <f>IF(A34&gt;C9,0,SUM(C268:C279)*($C$6/$C$7))</f>
        <v>0</v>
      </c>
      <c r="C34" s="201">
        <f>IF(A34&gt;C9,0,(E267+K267)*$C$8)</f>
        <v>0</v>
      </c>
      <c r="D34" s="3619">
        <f t="shared" si="0"/>
        <v>0</v>
      </c>
      <c r="E34" s="3619"/>
      <c r="F34" s="207"/>
      <c r="G34" s="207"/>
      <c r="H34" s="207"/>
    </row>
    <row r="35" spans="1:8" ht="12.65" customHeight="1">
      <c r="A35" s="199">
        <v>19</v>
      </c>
      <c r="B35" s="200">
        <f>IF(A35&gt;C9,0,SUM(C280:C291)*($C$6/$C$7))</f>
        <v>0</v>
      </c>
      <c r="C35" s="201">
        <f>IF(A35&gt;C9,0,(E279+K279)*$C$8)</f>
        <v>0</v>
      </c>
      <c r="D35" s="3619">
        <f t="shared" si="0"/>
        <v>0</v>
      </c>
      <c r="E35" s="3619"/>
      <c r="F35" s="207"/>
      <c r="G35" s="207"/>
      <c r="H35" s="207"/>
    </row>
    <row r="36" spans="1:8" ht="12.65" customHeight="1">
      <c r="A36" s="202">
        <v>20</v>
      </c>
      <c r="B36" s="203">
        <f>IF(A36&gt;C9,0,SUM(C292:C303)*($C$6/$C$7))</f>
        <v>0</v>
      </c>
      <c r="C36" s="222">
        <f>IF(A36&gt;C9,0,(E291+K291)*$C$8)</f>
        <v>0</v>
      </c>
      <c r="D36" s="3620">
        <f t="shared" si="0"/>
        <v>0</v>
      </c>
      <c r="E36" s="3620"/>
      <c r="F36" s="207"/>
      <c r="G36" s="207"/>
      <c r="H36" s="207"/>
    </row>
    <row r="37" spans="1:8" ht="12.65" customHeight="1">
      <c r="A37" s="81">
        <v>21</v>
      </c>
      <c r="B37" s="198">
        <f>IF(A37&gt;C9,0,SUM(C293:C304)*($C$6/$C$7))</f>
        <v>0</v>
      </c>
      <c r="C37" s="223">
        <f>IF(A37&gt;C9,0,(E303+K303)*$C$8)</f>
        <v>0</v>
      </c>
      <c r="D37" s="3621">
        <f t="shared" si="0"/>
        <v>0</v>
      </c>
      <c r="E37" s="3621"/>
      <c r="F37" s="207"/>
      <c r="G37" s="207"/>
      <c r="H37" s="207"/>
    </row>
    <row r="38" spans="1:8" ht="12.65" customHeight="1">
      <c r="A38" s="81">
        <v>22</v>
      </c>
      <c r="B38" s="200">
        <f>IF(A38&gt;C9,0,SUM(C294:C305)*($C$6/$C$7))</f>
        <v>0</v>
      </c>
      <c r="C38" s="201">
        <f>IF(A38&gt;C9,0,(E315+K315)*$C$8)</f>
        <v>0</v>
      </c>
      <c r="D38" s="3619">
        <f t="shared" si="0"/>
        <v>0</v>
      </c>
      <c r="E38" s="3619"/>
      <c r="F38" s="207"/>
      <c r="G38" s="207"/>
      <c r="H38" s="207"/>
    </row>
    <row r="39" spans="1:8" ht="12.65" customHeight="1">
      <c r="A39" s="81">
        <v>23</v>
      </c>
      <c r="B39" s="200">
        <f>IF(A39&gt;C9,0,SUM(C295:C306)*($C$6/$C$7))</f>
        <v>0</v>
      </c>
      <c r="C39" s="201">
        <f>IF(A39&gt;C9,0,(E327+K327)*$C$8)</f>
        <v>0</v>
      </c>
      <c r="D39" s="3619">
        <f t="shared" si="0"/>
        <v>0</v>
      </c>
      <c r="E39" s="3619"/>
      <c r="F39" s="207"/>
      <c r="G39" s="207"/>
      <c r="H39" s="207"/>
    </row>
    <row r="40" spans="1:8" ht="12.65" customHeight="1">
      <c r="A40" s="81">
        <v>24</v>
      </c>
      <c r="B40" s="200">
        <f>IF(A40&gt;C9,0,SUM(C296:C307)*($C$6/$C$7))</f>
        <v>0</v>
      </c>
      <c r="C40" s="201">
        <f>IF(A40&gt;C9,0,(E339+K339)*$C$8)</f>
        <v>0</v>
      </c>
      <c r="D40" s="3619">
        <f t="shared" si="0"/>
        <v>0</v>
      </c>
      <c r="E40" s="3619"/>
      <c r="F40" s="207"/>
      <c r="G40" s="207"/>
      <c r="H40" s="207"/>
    </row>
    <row r="41" spans="1:8" ht="12.65" customHeight="1">
      <c r="A41" s="81">
        <v>25</v>
      </c>
      <c r="B41" s="203">
        <f>IF(A41&gt;C9,0,SUM(C297:C308)*($C$6/$C$7))</f>
        <v>0</v>
      </c>
      <c r="C41" s="222">
        <f>IF(A41&gt;C9,0,(E351+K351)*$C$8)</f>
        <v>0</v>
      </c>
      <c r="D41" s="3620">
        <f t="shared" si="0"/>
        <v>0</v>
      </c>
      <c r="E41" s="3620"/>
      <c r="F41" s="207"/>
      <c r="G41" s="207"/>
      <c r="H41" s="207"/>
    </row>
    <row r="42" spans="1:8" ht="12.65" customHeight="1">
      <c r="A42" s="197">
        <v>26</v>
      </c>
      <c r="B42" s="198">
        <f>IF(A42&gt;C9,0,SUM(C298:C309)*($C$6/$C$7))</f>
        <v>0</v>
      </c>
      <c r="C42" s="223">
        <f>IF(A42&gt;C9,0,(E363+K363)*$C$8)</f>
        <v>0</v>
      </c>
      <c r="D42" s="3621">
        <f t="shared" si="0"/>
        <v>0</v>
      </c>
      <c r="E42" s="3621"/>
      <c r="F42" s="207"/>
      <c r="G42" s="207"/>
      <c r="H42" s="207"/>
    </row>
    <row r="43" spans="1:8" ht="12.65" customHeight="1">
      <c r="A43" s="199">
        <v>27</v>
      </c>
      <c r="B43" s="200">
        <f>IF(A43&gt;C9,0,SUM(C299:C310)*($C$6/$C$7))</f>
        <v>0</v>
      </c>
      <c r="C43" s="201">
        <f>IF(A43&gt;C9,0,(E375+K375)*$C$8)</f>
        <v>0</v>
      </c>
      <c r="D43" s="3619">
        <f t="shared" si="0"/>
        <v>0</v>
      </c>
      <c r="E43" s="3619"/>
      <c r="F43" s="207"/>
      <c r="G43" s="207"/>
      <c r="H43" s="207"/>
    </row>
    <row r="44" spans="1:8" ht="12.65" customHeight="1">
      <c r="A44" s="199">
        <v>28</v>
      </c>
      <c r="B44" s="200">
        <f>IF(A44&gt;C9,0,SUM(C300:C311)*($C$6/$C$7))</f>
        <v>0</v>
      </c>
      <c r="C44" s="201">
        <f>IF(A44&gt;C9,0,(E387+K387)*$C$8)</f>
        <v>0</v>
      </c>
      <c r="D44" s="3619">
        <f t="shared" si="0"/>
        <v>0</v>
      </c>
      <c r="E44" s="3619"/>
      <c r="F44" s="207"/>
      <c r="G44" s="207"/>
      <c r="H44" s="207"/>
    </row>
    <row r="45" spans="1:8" ht="12.65" customHeight="1">
      <c r="A45" s="199">
        <v>29</v>
      </c>
      <c r="B45" s="200">
        <f>IF(A45&gt;C9,0,SUM(C301:C312)*($C$6/$C$7))</f>
        <v>0</v>
      </c>
      <c r="C45" s="201">
        <f>IF(A45&gt;C9,0,(E411+K411)*$C$8)</f>
        <v>0</v>
      </c>
      <c r="D45" s="3619">
        <f t="shared" si="0"/>
        <v>0</v>
      </c>
      <c r="E45" s="3619"/>
      <c r="F45" s="207"/>
      <c r="G45" s="207"/>
      <c r="H45" s="207"/>
    </row>
    <row r="46" spans="1:8" ht="12.65" customHeight="1">
      <c r="A46" s="202">
        <v>30</v>
      </c>
      <c r="B46" s="203">
        <f>IF(A46&gt;C9,0,SUM(C302:C313)*($C$6/$C$7))</f>
        <v>0</v>
      </c>
      <c r="C46" s="222">
        <f>IF(A46&gt;C9,0,(E423+K423)*$C$8)</f>
        <v>0</v>
      </c>
      <c r="D46" s="3620">
        <f t="shared" si="0"/>
        <v>0</v>
      </c>
      <c r="E46" s="3620"/>
      <c r="F46" s="207"/>
      <c r="G46" s="207"/>
      <c r="H46" s="207"/>
    </row>
    <row r="47" spans="1:8" ht="12.65" customHeight="1">
      <c r="A47" s="206">
        <v>31</v>
      </c>
      <c r="B47" s="198">
        <f>IF(A47&gt;C9,0,SUM(C303:C314)*($C$6/$C$7))</f>
        <v>0</v>
      </c>
      <c r="C47" s="223">
        <f>IF(A47&gt;C9,0,(E435+K435)*$C$8)</f>
        <v>0</v>
      </c>
      <c r="D47" s="3621">
        <f t="shared" si="0"/>
        <v>0</v>
      </c>
      <c r="E47" s="3621"/>
      <c r="F47" s="207"/>
      <c r="G47" s="207"/>
      <c r="H47" s="207"/>
    </row>
    <row r="48" spans="1:8" ht="12.65" customHeight="1">
      <c r="A48" s="199">
        <v>32</v>
      </c>
      <c r="B48" s="200">
        <f>IF(A48&gt;C9,0,SUM(C304:C315)*($C$6/$C$7))</f>
        <v>0</v>
      </c>
      <c r="C48" s="201">
        <f>IF(A48&gt;C9,0,(E447+K447)*$C$8)</f>
        <v>0</v>
      </c>
      <c r="D48" s="3619">
        <f t="shared" si="0"/>
        <v>0</v>
      </c>
      <c r="E48" s="3619"/>
      <c r="F48" s="207"/>
      <c r="G48" s="207"/>
      <c r="H48" s="207"/>
    </row>
    <row r="49" spans="1:12" ht="12.65" customHeight="1">
      <c r="A49" s="199">
        <v>33</v>
      </c>
      <c r="B49" s="200">
        <f>IF(A49&gt;C9,0,SUM(C305:C316)*($C$6/$C$7))</f>
        <v>0</v>
      </c>
      <c r="C49" s="201">
        <f>IF(A49&gt;C9,0,(E459+K459)*$C$8)</f>
        <v>0</v>
      </c>
      <c r="D49" s="3619">
        <f t="shared" si="0"/>
        <v>0</v>
      </c>
      <c r="E49" s="3619"/>
      <c r="F49" s="207"/>
      <c r="G49" s="207"/>
      <c r="H49" s="207"/>
    </row>
    <row r="50" spans="1:12" ht="12.65" customHeight="1">
      <c r="A50" s="199">
        <v>34</v>
      </c>
      <c r="B50" s="200">
        <f>IF(A50&gt;C9,0,SUM(C306:C317)*($C$6/$C$7))</f>
        <v>0</v>
      </c>
      <c r="C50" s="201">
        <f>IF(A50&gt;C9,0,(E471+K471)*$C$8)</f>
        <v>0</v>
      </c>
      <c r="D50" s="3619">
        <f t="shared" si="0"/>
        <v>0</v>
      </c>
      <c r="E50" s="3619"/>
      <c r="F50" s="207"/>
      <c r="G50" s="207"/>
      <c r="H50" s="207"/>
    </row>
    <row r="51" spans="1:12" ht="12.65" customHeight="1">
      <c r="A51" s="202">
        <v>35</v>
      </c>
      <c r="B51" s="203">
        <f>IF(A51&gt;C9,0,SUM(C307:C318)*($C$6/$C$7))</f>
        <v>0</v>
      </c>
      <c r="C51" s="222">
        <f>IF(A51&gt;C9,0,(E483+K483)*$C$8)</f>
        <v>0</v>
      </c>
      <c r="D51" s="3620">
        <f t="shared" si="0"/>
        <v>0</v>
      </c>
      <c r="E51" s="3620"/>
      <c r="F51" s="207"/>
      <c r="G51" s="207"/>
      <c r="H51" s="207"/>
    </row>
    <row r="52" spans="1:12" ht="12.65" customHeight="1">
      <c r="A52" s="206">
        <v>36</v>
      </c>
      <c r="B52" s="198">
        <f>IF(A52&gt;C9,0,SUM(C308:C319)*($C$6/$C$7))</f>
        <v>0</v>
      </c>
      <c r="C52" s="223">
        <f>IF(A52&gt;C9,0,(E495+K495)*$C$8)</f>
        <v>0</v>
      </c>
      <c r="D52" s="3621">
        <f t="shared" si="0"/>
        <v>0</v>
      </c>
      <c r="E52" s="3621"/>
      <c r="F52" s="207"/>
      <c r="G52" s="207"/>
      <c r="H52" s="207"/>
    </row>
    <row r="53" spans="1:12" ht="12.65" customHeight="1">
      <c r="A53" s="199">
        <v>37</v>
      </c>
      <c r="B53" s="200">
        <f>IF(A53&gt;C9,0,SUM(C309:C320)*($C$6/$C$7))</f>
        <v>0</v>
      </c>
      <c r="C53" s="201">
        <f>IF(A53&gt;C9,0,(E507+K507)*$C$8)</f>
        <v>0</v>
      </c>
      <c r="D53" s="3619">
        <f t="shared" si="0"/>
        <v>0</v>
      </c>
      <c r="E53" s="3619"/>
      <c r="F53" s="207"/>
      <c r="G53" s="207"/>
      <c r="H53" s="207"/>
    </row>
    <row r="54" spans="1:12" ht="12.65" customHeight="1">
      <c r="A54" s="199">
        <v>38</v>
      </c>
      <c r="B54" s="200">
        <f>IF(A54&gt;C9,0,SUM(C310:C321)*($C$6/$C$7))</f>
        <v>0</v>
      </c>
      <c r="C54" s="201">
        <f>IF(A54&gt;C9,0,(E519+K519)*$C$8)</f>
        <v>0</v>
      </c>
      <c r="D54" s="3619">
        <f t="shared" si="0"/>
        <v>0</v>
      </c>
      <c r="E54" s="3619"/>
      <c r="F54" s="207"/>
      <c r="G54" s="207"/>
      <c r="H54" s="207"/>
    </row>
    <row r="55" spans="1:12" ht="12.65" customHeight="1">
      <c r="A55" s="199">
        <v>39</v>
      </c>
      <c r="B55" s="200">
        <f>IF(A55&gt;C9,0,SUM(C311:C322)*($C$6/$C$7))</f>
        <v>0</v>
      </c>
      <c r="C55" s="201">
        <f>IF(A55&gt;C9,0,(E531+K531)*$C$8)</f>
        <v>0</v>
      </c>
      <c r="D55" s="3619">
        <f t="shared" si="0"/>
        <v>0</v>
      </c>
      <c r="E55" s="3619"/>
      <c r="F55" s="207"/>
      <c r="G55" s="207"/>
      <c r="H55" s="207"/>
    </row>
    <row r="56" spans="1:12" ht="12.65" customHeight="1">
      <c r="A56" s="202">
        <v>40</v>
      </c>
      <c r="B56" s="203">
        <f>IF(A56&gt;C9,0,SUM(C312:C323)*($C$6/$C$7))</f>
        <v>0</v>
      </c>
      <c r="C56" s="222">
        <f>IF(A56&gt;C9,0,(E543+K543)*$C$8)</f>
        <v>0</v>
      </c>
      <c r="D56" s="3620">
        <f t="shared" si="0"/>
        <v>0</v>
      </c>
      <c r="E56" s="3620"/>
      <c r="F56" s="207"/>
      <c r="G56" s="207"/>
      <c r="H56" s="207"/>
    </row>
    <row r="57" spans="1:12" ht="3" customHeight="1">
      <c r="A57" s="207"/>
      <c r="B57" s="207"/>
      <c r="C57" s="207"/>
      <c r="D57" s="207"/>
      <c r="E57" s="207"/>
      <c r="F57" s="207"/>
      <c r="G57" s="207"/>
      <c r="H57" s="207"/>
    </row>
    <row r="58" spans="1:12" ht="13.4"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4">
      <c r="A59" s="3624" t="s">
        <v>2276</v>
      </c>
      <c r="B59" s="3624"/>
      <c r="C59" s="3624"/>
      <c r="D59" s="3624"/>
      <c r="E59" s="3624"/>
      <c r="F59" s="3624"/>
      <c r="G59" s="3624" t="s">
        <v>2276</v>
      </c>
      <c r="H59" s="3624"/>
      <c r="I59" s="3624"/>
      <c r="J59" s="3624"/>
      <c r="K59" s="3624"/>
      <c r="L59" s="3624"/>
    </row>
    <row r="60" spans="1:12" ht="6" customHeight="1">
      <c r="C60" s="205"/>
      <c r="D60" s="205"/>
      <c r="I60" s="205"/>
      <c r="J60" s="205"/>
    </row>
    <row r="61" spans="1:12" ht="13">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5"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76" customFormat="1" ht="16.399999999999999" customHeight="1">
      <c r="A1" s="3616" t="e">
        <f>CONCATENATE("PART III C  - HUD INSURED LOAN","  -  ",#REF!," ",#REF!,", ",#REF!,", ",#REF!," County")</f>
        <v>#REF!</v>
      </c>
      <c r="B1" s="3617"/>
      <c r="C1" s="3617"/>
      <c r="D1" s="3617"/>
      <c r="E1" s="3617"/>
      <c r="F1" s="3618"/>
      <c r="G1" s="174"/>
      <c r="H1" s="174"/>
      <c r="I1" s="174"/>
      <c r="J1" s="174"/>
      <c r="K1" s="174"/>
      <c r="L1" s="174"/>
      <c r="M1" s="174"/>
      <c r="N1" s="174"/>
      <c r="O1" s="174"/>
      <c r="P1" s="174"/>
      <c r="Q1" s="174"/>
    </row>
    <row r="2" spans="1:17" ht="13">
      <c r="A2" s="13"/>
      <c r="B2" s="195"/>
      <c r="C2" s="195"/>
      <c r="D2" s="195"/>
    </row>
    <row r="3" spans="1:17" ht="15.65" customHeight="1">
      <c r="A3" s="3625" t="s">
        <v>210</v>
      </c>
      <c r="B3" s="3625"/>
      <c r="C3" s="3625"/>
      <c r="D3" s="3625"/>
      <c r="E3" s="3625"/>
      <c r="F3" s="3625"/>
      <c r="G3" s="244"/>
      <c r="H3" s="244"/>
    </row>
    <row r="4" spans="1:17" ht="13">
      <c r="A4" s="13"/>
      <c r="B4" s="195"/>
      <c r="C4" s="195"/>
      <c r="D4" s="195"/>
    </row>
    <row r="5" spans="1:17" ht="13.4" customHeight="1">
      <c r="A5" s="27" t="s">
        <v>2084</v>
      </c>
      <c r="D5" s="238"/>
      <c r="E5" s="3628" t="s">
        <v>896</v>
      </c>
      <c r="F5" s="3629"/>
      <c r="G5" s="161"/>
    </row>
    <row r="6" spans="1:17">
      <c r="E6" s="3629"/>
      <c r="F6" s="3629"/>
      <c r="G6" s="161"/>
    </row>
    <row r="7" spans="1:17">
      <c r="A7" s="27" t="s">
        <v>2268</v>
      </c>
      <c r="C7" s="27" t="s">
        <v>2269</v>
      </c>
      <c r="D7" s="239"/>
      <c r="E7" s="3629"/>
      <c r="F7" s="3629"/>
      <c r="G7" s="161"/>
    </row>
    <row r="8" spans="1:17">
      <c r="C8" s="27" t="s">
        <v>2270</v>
      </c>
      <c r="D8" s="239"/>
      <c r="E8" s="3629"/>
      <c r="F8" s="3629"/>
      <c r="G8" s="161"/>
    </row>
    <row r="9" spans="1:17">
      <c r="C9" s="27" t="s">
        <v>2271</v>
      </c>
      <c r="D9" s="239"/>
      <c r="E9" s="3629"/>
      <c r="F9" s="3629"/>
      <c r="G9" s="161"/>
    </row>
    <row r="10" spans="1:17">
      <c r="C10" s="27" t="s">
        <v>2284</v>
      </c>
      <c r="D10" s="245">
        <f>D7+D8+D9</f>
        <v>0</v>
      </c>
      <c r="E10" s="3629"/>
      <c r="F10" s="3629"/>
      <c r="G10" s="161"/>
    </row>
    <row r="11" spans="1:17">
      <c r="F11" s="161"/>
      <c r="G11" s="161"/>
    </row>
    <row r="12" spans="1:17">
      <c r="A12" s="27" t="s">
        <v>1596</v>
      </c>
      <c r="D12" s="237"/>
      <c r="E12" s="27" t="s">
        <v>1982</v>
      </c>
      <c r="F12" s="161"/>
      <c r="G12" s="161"/>
    </row>
    <row r="13" spans="1:17">
      <c r="D13" s="205"/>
      <c r="F13" s="161"/>
      <c r="G13" s="161"/>
    </row>
    <row r="14" spans="1:17" ht="13">
      <c r="A14" s="27" t="s">
        <v>2273</v>
      </c>
      <c r="D14" s="236"/>
      <c r="E14" s="27" t="s">
        <v>2274</v>
      </c>
      <c r="F14" s="246"/>
    </row>
    <row r="15" spans="1:17" ht="13">
      <c r="D15" s="225"/>
      <c r="F15" s="246"/>
    </row>
    <row r="16" spans="1:17" ht="13">
      <c r="A16" s="27" t="s">
        <v>2275</v>
      </c>
      <c r="D16" s="236"/>
      <c r="E16" s="27" t="s">
        <v>2274</v>
      </c>
      <c r="F16" s="246"/>
    </row>
    <row r="17" spans="1:10" ht="13">
      <c r="D17" s="205"/>
      <c r="F17" s="246"/>
    </row>
    <row r="18" spans="1:10" ht="13">
      <c r="A18" s="27" t="s">
        <v>871</v>
      </c>
      <c r="D18" s="247" t="e">
        <f>PMT(D10/12,D16*12,-D5,0,0)*12</f>
        <v>#NUM!</v>
      </c>
      <c r="E18" s="27" t="s">
        <v>1406</v>
      </c>
      <c r="F18" s="246"/>
    </row>
    <row r="19" spans="1:10" ht="13">
      <c r="D19" s="205"/>
      <c r="F19" s="246"/>
    </row>
    <row r="20" spans="1:10" ht="13">
      <c r="A20" s="27" t="s">
        <v>1407</v>
      </c>
      <c r="D20" s="205" t="e">
        <f>D18/12</f>
        <v>#NUM!</v>
      </c>
      <c r="E20" s="27" t="s">
        <v>1406</v>
      </c>
      <c r="F20" s="246"/>
    </row>
    <row r="24" spans="1:10" ht="18" customHeight="1">
      <c r="A24" s="3626" t="s">
        <v>1597</v>
      </c>
      <c r="B24" s="3626"/>
      <c r="C24" s="3626"/>
      <c r="D24" s="3626"/>
      <c r="E24" s="3626"/>
      <c r="F24" s="3626"/>
      <c r="J24" s="248"/>
    </row>
    <row r="25" spans="1:10">
      <c r="C25" s="205"/>
      <c r="J25" s="248"/>
    </row>
    <row r="26" spans="1:10">
      <c r="A26" s="105"/>
      <c r="B26" s="81"/>
      <c r="C26" s="3630" t="s">
        <v>2083</v>
      </c>
      <c r="D26" s="243"/>
      <c r="E26" s="81"/>
      <c r="F26" s="3630" t="s">
        <v>2083</v>
      </c>
      <c r="J26" s="248"/>
    </row>
    <row r="27" spans="1:10" ht="13">
      <c r="A27" s="249" t="s">
        <v>2285</v>
      </c>
      <c r="B27" s="71" t="s">
        <v>963</v>
      </c>
      <c r="C27" s="3631"/>
      <c r="D27" s="250" t="s">
        <v>2285</v>
      </c>
      <c r="E27" s="71" t="s">
        <v>963</v>
      </c>
      <c r="F27" s="3631"/>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5" customHeight="1">
      <c r="A50" s="3623" t="e">
        <f>CONCATENATE(#REF!," ",#REF!,", ",#REF!,", ",#REF!," County")</f>
        <v>#REF!</v>
      </c>
      <c r="B50" s="3623"/>
      <c r="C50" s="3623"/>
      <c r="D50" s="3623"/>
      <c r="E50" s="3623"/>
      <c r="F50" s="3623"/>
      <c r="G50" s="228"/>
      <c r="H50" s="228"/>
    </row>
    <row r="51" spans="1:10" ht="14">
      <c r="A51" s="3624" t="s">
        <v>2276</v>
      </c>
      <c r="B51" s="3624"/>
      <c r="C51" s="3624"/>
      <c r="D51" s="3624"/>
      <c r="E51" s="3624"/>
      <c r="F51" s="3624"/>
      <c r="G51" s="260"/>
      <c r="H51" s="260"/>
      <c r="I51" s="260"/>
      <c r="J51" s="260"/>
    </row>
    <row r="52" spans="1:10" ht="5.5" customHeight="1">
      <c r="C52" s="205"/>
      <c r="D52" s="205"/>
      <c r="G52" s="210"/>
      <c r="H52" s="204"/>
      <c r="I52" s="210"/>
    </row>
    <row r="53" spans="1:10" ht="13">
      <c r="A53" s="208" t="s">
        <v>2277</v>
      </c>
      <c r="B53" s="208" t="s">
        <v>2278</v>
      </c>
      <c r="C53" s="208" t="s">
        <v>1218</v>
      </c>
      <c r="D53" s="208" t="s">
        <v>2279</v>
      </c>
      <c r="E53" s="208" t="s">
        <v>2280</v>
      </c>
      <c r="F53" s="240" t="s">
        <v>2285</v>
      </c>
      <c r="G53" s="261"/>
      <c r="H53" s="261"/>
      <c r="I53" s="261"/>
    </row>
    <row r="54" spans="1:10" ht="3.65"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8" zoomScaleNormal="100" workbookViewId="0">
      <selection activeCell="G131" sqref="G131:H131"/>
    </sheetView>
  </sheetViews>
  <sheetFormatPr defaultColWidth="9.1796875" defaultRowHeight="13"/>
  <cols>
    <col min="1" max="1" width="2.453125" style="332" customWidth="1"/>
    <col min="2" max="2" width="5.453125" style="332" customWidth="1"/>
    <col min="3" max="3" width="18.26953125" style="332" customWidth="1"/>
    <col min="4" max="4" width="7.1796875" style="332" customWidth="1"/>
    <col min="5" max="5" width="12.54296875" style="332" customWidth="1"/>
    <col min="6" max="6" width="10.453125" style="332" customWidth="1"/>
    <col min="7" max="8" width="6.453125" style="332" customWidth="1"/>
    <col min="9" max="9" width="1.81640625" style="332" customWidth="1"/>
    <col min="10" max="11" width="6.453125" style="332" customWidth="1"/>
    <col min="12" max="12" width="1.81640625" style="332" customWidth="1"/>
    <col min="13" max="14" width="6.453125" style="332" customWidth="1"/>
    <col min="15" max="15" width="1.81640625" style="332" customWidth="1"/>
    <col min="16" max="17" width="6.453125" style="332" customWidth="1"/>
    <col min="18" max="18" width="1.81640625" style="332" customWidth="1"/>
    <col min="19" max="20" width="7" style="332" customWidth="1"/>
    <col min="21" max="21" width="5.81640625" style="332" customWidth="1"/>
    <col min="22" max="22" width="13.1796875" style="332" customWidth="1"/>
    <col min="23" max="23" width="24.81640625" style="332" customWidth="1"/>
    <col min="24" max="24" width="73.453125" style="332" customWidth="1"/>
    <col min="25" max="25" width="9.1796875" style="332"/>
    <col min="26" max="29" width="8" style="332" customWidth="1"/>
    <col min="30" max="31" width="9.1796875" style="332" bestFit="1" customWidth="1"/>
    <col min="32" max="32" width="10.453125" style="332" customWidth="1"/>
    <col min="33" max="33" width="10.26953125" style="332" customWidth="1"/>
    <col min="34" max="51" width="8" style="332" customWidth="1"/>
    <col min="52" max="52" width="9.1796875" style="2660"/>
    <col min="53" max="53" width="9.1796875" style="2296"/>
    <col min="54" max="16384" width="9.179687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792" t="str">
        <f>CONCATENATE("PART THREE (A):  USES OF FUNDS","  -  ",'Part I-Project Identification'!$O$7," ",'Part I-Project Identification'!$F$29,", ",'Part I-Project Identification'!F30,", ",'Part I-Project Identification'!J30," County")</f>
        <v>PART THREE (A):  USES OF FUNDS  -  2022-0 Villa Rica Senior, Villa Rica, Carroll County</v>
      </c>
      <c r="B2" s="3793"/>
      <c r="C2" s="3793"/>
      <c r="D2" s="3793"/>
      <c r="E2" s="3793"/>
      <c r="F2" s="3793"/>
      <c r="G2" s="3793"/>
      <c r="H2" s="3793"/>
      <c r="I2" s="3793"/>
      <c r="J2" s="3793"/>
      <c r="K2" s="3793"/>
      <c r="L2" s="3793"/>
      <c r="M2" s="3793"/>
      <c r="N2" s="3793"/>
      <c r="O2" s="3793"/>
      <c r="P2" s="3793"/>
      <c r="Q2" s="3793"/>
      <c r="R2" s="3793"/>
      <c r="S2" s="3793"/>
      <c r="T2" s="3793"/>
      <c r="W2" s="3794" t="str">
        <f>A2</f>
        <v>PART THREE (A):  USES OF FUNDS  -  2022-0 Villa Rica Senior, Villa Rica, Carroll County</v>
      </c>
      <c r="X2" s="3794"/>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5"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3" t="str">
        <f>'Part I-Project Identification'!$A$6</f>
        <v>May 12 2022 Core Application</v>
      </c>
      <c r="E6" s="3673"/>
      <c r="F6" s="3673"/>
      <c r="G6" s="3673"/>
      <c r="H6" s="3673"/>
      <c r="I6" s="496"/>
      <c r="J6" s="3648" t="s">
        <v>259</v>
      </c>
      <c r="K6" s="3649"/>
      <c r="L6" s="370"/>
      <c r="M6" s="3767" t="s">
        <v>460</v>
      </c>
      <c r="N6" s="3768"/>
      <c r="P6" s="3648" t="s">
        <v>260</v>
      </c>
      <c r="Q6" s="3649"/>
      <c r="S6" s="3648" t="s">
        <v>261</v>
      </c>
      <c r="T6" s="3649"/>
      <c r="V6" s="450" t="str">
        <f>B6</f>
        <v>DEVELOPMENT BUDGET</v>
      </c>
      <c r="AZ6" s="2661"/>
      <c r="BA6" s="2246">
        <v>6</v>
      </c>
    </row>
    <row r="7" spans="1:53" s="315" customFormat="1" ht="19.5" customHeight="1" thickBot="1">
      <c r="D7" s="1553"/>
      <c r="E7" s="1553"/>
      <c r="F7" s="1553"/>
      <c r="G7" s="3763" t="s">
        <v>95</v>
      </c>
      <c r="H7" s="3764"/>
      <c r="J7" s="3650"/>
      <c r="K7" s="3651"/>
      <c r="L7" s="370"/>
      <c r="M7" s="3769"/>
      <c r="N7" s="3770"/>
      <c r="P7" s="3650"/>
      <c r="Q7" s="3651"/>
      <c r="S7" s="3650"/>
      <c r="T7" s="3651"/>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68">
        <v>20000</v>
      </c>
      <c r="H9" s="3569"/>
      <c r="J9" s="3568"/>
      <c r="K9" s="3569"/>
      <c r="L9" s="1050"/>
      <c r="M9" s="3568"/>
      <c r="N9" s="3569"/>
      <c r="P9" s="3568"/>
      <c r="Q9" s="3569"/>
      <c r="S9" s="3568"/>
      <c r="T9" s="3569"/>
      <c r="V9" s="1082"/>
      <c r="W9" s="3685"/>
      <c r="X9" s="3686"/>
      <c r="AZ9" s="2661"/>
      <c r="BA9" s="2246">
        <v>9</v>
      </c>
    </row>
    <row r="10" spans="1:53" s="315" customFormat="1" ht="11.25" customHeight="1">
      <c r="B10" s="315" t="s">
        <v>431</v>
      </c>
      <c r="G10" s="3556">
        <v>20000</v>
      </c>
      <c r="H10" s="3557"/>
      <c r="J10" s="3556"/>
      <c r="K10" s="3557"/>
      <c r="L10" s="1050"/>
      <c r="M10" s="3556"/>
      <c r="N10" s="3557"/>
      <c r="P10" s="3556"/>
      <c r="Q10" s="3557"/>
      <c r="S10" s="3556"/>
      <c r="T10" s="3557"/>
      <c r="V10" s="1082"/>
      <c r="W10" s="3685"/>
      <c r="X10" s="3686"/>
      <c r="AZ10" s="2661"/>
      <c r="BA10" s="2245">
        <v>10</v>
      </c>
    </row>
    <row r="11" spans="1:53" s="315" customFormat="1" ht="11.25" customHeight="1">
      <c r="B11" s="315" t="s">
        <v>458</v>
      </c>
      <c r="G11" s="3556">
        <v>20000</v>
      </c>
      <c r="H11" s="3557"/>
      <c r="J11" s="3556"/>
      <c r="K11" s="3557"/>
      <c r="L11" s="1050"/>
      <c r="M11" s="3556"/>
      <c r="N11" s="3557"/>
      <c r="P11" s="3556"/>
      <c r="Q11" s="3557"/>
      <c r="S11" s="3556"/>
      <c r="T11" s="3557"/>
      <c r="V11" s="1082"/>
      <c r="W11" s="3685"/>
      <c r="X11" s="3686"/>
      <c r="AZ11" s="2661"/>
      <c r="BA11" s="2246">
        <v>11</v>
      </c>
    </row>
    <row r="12" spans="1:53" s="315" customFormat="1" ht="11.25" customHeight="1">
      <c r="B12" s="315" t="s">
        <v>459</v>
      </c>
      <c r="G12" s="3556"/>
      <c r="H12" s="3557"/>
      <c r="J12" s="3556"/>
      <c r="K12" s="3557"/>
      <c r="L12" s="1050"/>
      <c r="M12" s="3556"/>
      <c r="N12" s="3557"/>
      <c r="P12" s="3556"/>
      <c r="Q12" s="3557"/>
      <c r="S12" s="3556"/>
      <c r="T12" s="3557"/>
      <c r="V12" s="1082"/>
      <c r="W12" s="3685"/>
      <c r="X12" s="3686"/>
      <c r="AZ12" s="2661"/>
      <c r="BA12" s="2246">
        <v>12</v>
      </c>
    </row>
    <row r="13" spans="1:53" s="315" customFormat="1" ht="11.25" customHeight="1">
      <c r="B13" s="315" t="s">
        <v>2302</v>
      </c>
      <c r="G13" s="3556">
        <v>5000</v>
      </c>
      <c r="H13" s="3557"/>
      <c r="J13" s="3556"/>
      <c r="K13" s="3557"/>
      <c r="L13" s="1050"/>
      <c r="M13" s="3556"/>
      <c r="N13" s="3557"/>
      <c r="P13" s="3556"/>
      <c r="Q13" s="3557"/>
      <c r="S13" s="3556"/>
      <c r="T13" s="3557"/>
      <c r="V13" s="1082"/>
      <c r="W13" s="3685"/>
      <c r="X13" s="3686"/>
      <c r="AZ13" s="2661"/>
      <c r="BA13" s="2246">
        <v>13</v>
      </c>
    </row>
    <row r="14" spans="1:53" s="315" customFormat="1" ht="11.25" customHeight="1">
      <c r="B14" s="315" t="s">
        <v>183</v>
      </c>
      <c r="G14" s="3556"/>
      <c r="H14" s="3557"/>
      <c r="J14" s="3556"/>
      <c r="K14" s="3557"/>
      <c r="L14" s="1050"/>
      <c r="M14" s="3556"/>
      <c r="N14" s="3557"/>
      <c r="P14" s="3556"/>
      <c r="Q14" s="3557"/>
      <c r="S14" s="3556"/>
      <c r="T14" s="3557"/>
      <c r="V14" s="1082"/>
      <c r="W14" s="3685"/>
      <c r="X14" s="3686"/>
      <c r="AZ14" s="2661"/>
      <c r="BA14" s="2246">
        <v>14</v>
      </c>
    </row>
    <row r="15" spans="1:53" s="315" customFormat="1" ht="11.25" customHeight="1">
      <c r="A15" s="396" t="str">
        <f>IF(AND(G15&gt;0,OR(C15="",C15="&lt;Enter detailed description here; use Comments section if needed&gt;")),"X","")</f>
        <v/>
      </c>
      <c r="B15" s="185" t="s">
        <v>6279</v>
      </c>
      <c r="C15" s="3754" t="s">
        <v>6727</v>
      </c>
      <c r="D15" s="3754"/>
      <c r="E15" s="3754"/>
      <c r="F15" s="3755"/>
      <c r="G15" s="3556"/>
      <c r="H15" s="3557"/>
      <c r="J15" s="3556"/>
      <c r="K15" s="3557"/>
      <c r="L15" s="1050"/>
      <c r="M15" s="3556"/>
      <c r="N15" s="3557"/>
      <c r="P15" s="3556"/>
      <c r="Q15" s="3557"/>
      <c r="S15" s="3556"/>
      <c r="T15" s="3557"/>
      <c r="U15" s="395" t="str">
        <f>IF(AND(G15&gt;0,OR(C15="",C15="&lt;Enter detailed description here; use Comments section if needed&gt;")),"NO DESCRIPTION PROVIDED - please enter detailed description in Other box at left; use Comments section below if needed.","")</f>
        <v/>
      </c>
      <c r="V15" s="1083"/>
      <c r="W15" s="3685"/>
      <c r="X15" s="3686"/>
      <c r="AZ15" s="2661" t="s">
        <v>6373</v>
      </c>
      <c r="BA15" s="2246">
        <v>15</v>
      </c>
    </row>
    <row r="16" spans="1:53" s="315" customFormat="1" ht="11.25" customHeight="1">
      <c r="A16" s="396" t="str">
        <f>IF(AND(G16&gt;0,OR(C16="",C16="&lt;Enter detailed description here; use Comments section if needed&gt;")),"X","")</f>
        <v/>
      </c>
      <c r="B16" s="185" t="s">
        <v>6280</v>
      </c>
      <c r="C16" s="3754" t="s">
        <v>6727</v>
      </c>
      <c r="D16" s="3754"/>
      <c r="E16" s="3754"/>
      <c r="F16" s="3755"/>
      <c r="G16" s="3556"/>
      <c r="H16" s="3557"/>
      <c r="J16" s="3556"/>
      <c r="K16" s="3557"/>
      <c r="L16" s="1050"/>
      <c r="M16" s="3556"/>
      <c r="N16" s="3557"/>
      <c r="P16" s="3556"/>
      <c r="Q16" s="3557"/>
      <c r="S16" s="3556"/>
      <c r="T16" s="3557"/>
      <c r="U16" s="395" t="str">
        <f>IF(AND(G16&gt;0,OR(C16="",C16="&lt;Enter detailed description here; use Comments section if needed&gt;")),"NO DESCRIPTION PROVIDED - please enter detailed description in Other box at left; use Comments section below if needed.","")</f>
        <v/>
      </c>
      <c r="V16" s="1083"/>
      <c r="W16" s="3685"/>
      <c r="X16" s="3686"/>
      <c r="AZ16" s="2661" t="s">
        <v>6374</v>
      </c>
      <c r="BA16" s="2246">
        <v>16</v>
      </c>
    </row>
    <row r="17" spans="1:53" s="315" customFormat="1" ht="11.25" customHeight="1" thickBot="1">
      <c r="A17" s="396" t="str">
        <f>IF(AND(G17&gt;0,OR(C17="",C17="&lt;Enter detailed description here; use Comments section if needed&gt;")),"X","")</f>
        <v/>
      </c>
      <c r="B17" s="185" t="s">
        <v>6281</v>
      </c>
      <c r="C17" s="3754" t="s">
        <v>6727</v>
      </c>
      <c r="D17" s="3754"/>
      <c r="E17" s="3754"/>
      <c r="F17" s="3755"/>
      <c r="G17" s="3757"/>
      <c r="H17" s="3758"/>
      <c r="J17" s="3757"/>
      <c r="K17" s="3758"/>
      <c r="L17" s="1050"/>
      <c r="M17" s="3757"/>
      <c r="N17" s="3758"/>
      <c r="P17" s="3757"/>
      <c r="Q17" s="3758"/>
      <c r="S17" s="3757"/>
      <c r="T17" s="3758"/>
      <c r="U17" s="395" t="str">
        <f>IF(AND(G17&gt;0,OR(C17="",C17="&lt;Enter detailed description here; use Comments section if needed&gt;")),"NO DESCRIPTION PROVIDED - please enter detailed description in Other box at left; use Comments section below if needed.","")</f>
        <v/>
      </c>
      <c r="V17" s="1083"/>
      <c r="W17" s="3687"/>
      <c r="X17" s="3688"/>
      <c r="AZ17" s="2661" t="s">
        <v>6375</v>
      </c>
      <c r="BA17" s="2246">
        <v>17</v>
      </c>
    </row>
    <row r="18" spans="1:53" s="315" customFormat="1" ht="12.65" customHeight="1" thickTop="1">
      <c r="F18" s="371" t="s">
        <v>184</v>
      </c>
      <c r="G18" s="3671">
        <f>SUM(G9:G17)</f>
        <v>65000</v>
      </c>
      <c r="H18" s="3672"/>
      <c r="J18" s="3671">
        <f>SUM(J9:J17)</f>
        <v>0</v>
      </c>
      <c r="K18" s="3672"/>
      <c r="L18" s="1050"/>
      <c r="M18" s="3671">
        <f>SUM(M9:M17)</f>
        <v>0</v>
      </c>
      <c r="N18" s="3672"/>
      <c r="P18" s="3671">
        <f>SUM(P9:P17)</f>
        <v>0</v>
      </c>
      <c r="Q18" s="3672"/>
      <c r="S18" s="3671">
        <f>SUM(S9:S17)</f>
        <v>0</v>
      </c>
      <c r="T18" s="3672"/>
      <c r="V18" s="1084">
        <f>SUM(V9:V17)</f>
        <v>0</v>
      </c>
      <c r="W18" s="3689"/>
      <c r="X18" s="3690"/>
      <c r="AZ18" s="2661" t="s">
        <v>6376</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303859.00941962929</v>
      </c>
      <c r="G20" s="3568">
        <v>1000000</v>
      </c>
      <c r="H20" s="3569"/>
      <c r="J20" s="373"/>
      <c r="K20" s="370"/>
      <c r="L20" s="373"/>
      <c r="M20" s="373"/>
      <c r="N20" s="370"/>
      <c r="P20" s="373"/>
      <c r="Q20" s="370"/>
      <c r="S20" s="3568">
        <v>1000000</v>
      </c>
      <c r="T20" s="3569"/>
      <c r="V20" s="1082"/>
      <c r="W20" s="3685"/>
      <c r="X20" s="3686"/>
      <c r="AZ20" s="2661"/>
      <c r="BA20" s="2246">
        <v>20</v>
      </c>
    </row>
    <row r="21" spans="1:53" s="315" customFormat="1" ht="11.25" customHeight="1">
      <c r="B21" s="315" t="s">
        <v>1055</v>
      </c>
      <c r="G21" s="3556"/>
      <c r="H21" s="3557"/>
      <c r="J21" s="373"/>
      <c r="K21" s="370"/>
      <c r="L21" s="373"/>
      <c r="M21" s="373"/>
      <c r="N21" s="370"/>
      <c r="P21" s="373"/>
      <c r="Q21" s="370"/>
      <c r="S21" s="3556"/>
      <c r="T21" s="3557"/>
      <c r="V21" s="1082"/>
      <c r="W21" s="3685"/>
      <c r="X21" s="3686"/>
      <c r="AZ21" s="2661"/>
      <c r="BA21" s="2246">
        <v>21</v>
      </c>
    </row>
    <row r="22" spans="1:53" s="315" customFormat="1" ht="11.25" customHeight="1">
      <c r="B22" s="315" t="s">
        <v>432</v>
      </c>
      <c r="G22" s="3556"/>
      <c r="H22" s="3557"/>
      <c r="J22" s="373"/>
      <c r="K22" s="370"/>
      <c r="L22" s="373"/>
      <c r="M22" s="3568"/>
      <c r="N22" s="3569"/>
      <c r="P22" s="373"/>
      <c r="Q22" s="370"/>
      <c r="S22" s="3556"/>
      <c r="T22" s="3557"/>
      <c r="V22" s="1082"/>
      <c r="W22" s="3685"/>
      <c r="X22" s="3686"/>
      <c r="AZ22" s="2661"/>
      <c r="BA22" s="2246">
        <v>22</v>
      </c>
    </row>
    <row r="23" spans="1:53" s="315" customFormat="1" ht="11.25" customHeight="1" thickBot="1">
      <c r="B23" s="315" t="s">
        <v>405</v>
      </c>
      <c r="G23" s="3757"/>
      <c r="H23" s="3758"/>
      <c r="J23" s="373"/>
      <c r="K23" s="370"/>
      <c r="L23" s="373"/>
      <c r="M23" s="3757"/>
      <c r="N23" s="3758"/>
      <c r="P23" s="373"/>
      <c r="Q23" s="370"/>
      <c r="S23" s="3757"/>
      <c r="T23" s="3758"/>
      <c r="V23" s="1082"/>
      <c r="W23" s="3687"/>
      <c r="X23" s="3688"/>
      <c r="AZ23" s="2661"/>
      <c r="BA23" s="2246">
        <v>23</v>
      </c>
    </row>
    <row r="24" spans="1:53" s="315" customFormat="1" ht="12.65" customHeight="1" thickTop="1">
      <c r="F24" s="371" t="s">
        <v>184</v>
      </c>
      <c r="G24" s="3671">
        <f>SUM(G20:G23)</f>
        <v>1000000</v>
      </c>
      <c r="H24" s="3672"/>
      <c r="J24" s="373"/>
      <c r="K24" s="370"/>
      <c r="L24" s="373"/>
      <c r="M24" s="3671">
        <f>SUM(M22:M23)</f>
        <v>0</v>
      </c>
      <c r="N24" s="3672"/>
      <c r="P24" s="373"/>
      <c r="Q24" s="370"/>
      <c r="S24" s="3671">
        <f>SUM(S20:S23)</f>
        <v>1000000</v>
      </c>
      <c r="T24" s="3672"/>
      <c r="V24" s="1084">
        <f>SUM(V20:V23)</f>
        <v>0</v>
      </c>
      <c r="W24" s="3689"/>
      <c r="X24" s="3690"/>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197508.35612275905</v>
      </c>
      <c r="G26" s="3568">
        <v>650000</v>
      </c>
      <c r="H26" s="3569"/>
      <c r="J26" s="3568">
        <v>650000</v>
      </c>
      <c r="K26" s="3569"/>
      <c r="L26" s="1050"/>
      <c r="M26" s="3788"/>
      <c r="N26" s="3789"/>
      <c r="P26" s="3788"/>
      <c r="Q26" s="3789"/>
      <c r="S26" s="3568"/>
      <c r="T26" s="3569"/>
      <c r="V26" s="1082"/>
      <c r="W26" s="3685"/>
      <c r="X26" s="3686"/>
      <c r="AZ26" s="2661"/>
      <c r="BA26" s="2245">
        <v>26</v>
      </c>
    </row>
    <row r="27" spans="1:53" s="315" customFormat="1" ht="11.25" customHeight="1" thickBot="1">
      <c r="B27" s="315" t="s">
        <v>1058</v>
      </c>
      <c r="G27" s="3757"/>
      <c r="H27" s="3758"/>
      <c r="J27" s="3757"/>
      <c r="K27" s="3758"/>
      <c r="L27" s="374"/>
      <c r="M27" s="3787"/>
      <c r="N27" s="3787"/>
      <c r="P27" s="3787"/>
      <c r="Q27" s="3787"/>
      <c r="S27" s="3757"/>
      <c r="T27" s="3758"/>
      <c r="V27" s="1082"/>
      <c r="W27" s="3687"/>
      <c r="X27" s="3688"/>
      <c r="AZ27" s="2661"/>
      <c r="BA27" s="2246">
        <v>27</v>
      </c>
    </row>
    <row r="28" spans="1:53" s="315" customFormat="1" ht="12.65" customHeight="1" thickTop="1">
      <c r="F28" s="371" t="s">
        <v>184</v>
      </c>
      <c r="G28" s="3671">
        <f>SUM(G26:G27)</f>
        <v>650000</v>
      </c>
      <c r="H28" s="3672"/>
      <c r="J28" s="3671">
        <f>SUM(J26:J27)</f>
        <v>650000</v>
      </c>
      <c r="K28" s="3672"/>
      <c r="L28" s="373"/>
      <c r="M28" s="3671">
        <f>M26</f>
        <v>0</v>
      </c>
      <c r="N28" s="3672"/>
      <c r="P28" s="3671">
        <f>P26</f>
        <v>0</v>
      </c>
      <c r="Q28" s="3672"/>
      <c r="S28" s="3671">
        <f>SUM(S26:S27)</f>
        <v>0</v>
      </c>
      <c r="T28" s="3672"/>
      <c r="V28" s="1084">
        <f>SUM(V26:V27)</f>
        <v>0</v>
      </c>
      <c r="W28" s="3689"/>
      <c r="X28" s="3690"/>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68">
        <f>8701842+150000+60000</f>
        <v>8911842</v>
      </c>
      <c r="H30" s="3569"/>
      <c r="J30" s="3568">
        <f>G30</f>
        <v>8911842</v>
      </c>
      <c r="K30" s="3569"/>
      <c r="L30" s="1050"/>
      <c r="M30" s="3568"/>
      <c r="N30" s="3569"/>
      <c r="P30" s="3568"/>
      <c r="Q30" s="3569"/>
      <c r="S30" s="3568"/>
      <c r="T30" s="3569"/>
      <c r="V30" s="1082"/>
      <c r="W30" s="3685"/>
      <c r="X30" s="3686"/>
      <c r="AZ30" s="2661"/>
      <c r="BA30" s="2246">
        <v>30</v>
      </c>
    </row>
    <row r="31" spans="1:53" s="315" customFormat="1" ht="11.25" customHeight="1">
      <c r="B31" s="315" t="s">
        <v>1061</v>
      </c>
      <c r="G31" s="3556"/>
      <c r="H31" s="3557"/>
      <c r="J31" s="3556"/>
      <c r="K31" s="3557"/>
      <c r="L31" s="1050"/>
      <c r="M31" s="3556"/>
      <c r="N31" s="3557"/>
      <c r="P31" s="3556"/>
      <c r="Q31" s="3557"/>
      <c r="S31" s="3556"/>
      <c r="T31" s="3557"/>
      <c r="V31" s="1082"/>
      <c r="W31" s="3685"/>
      <c r="X31" s="3686"/>
      <c r="AZ31" s="2661"/>
      <c r="BA31" s="2246">
        <v>31</v>
      </c>
    </row>
    <row r="32" spans="1:53" s="315" customFormat="1" ht="11.25" customHeight="1">
      <c r="B32" s="315" t="s">
        <v>6093</v>
      </c>
      <c r="G32" s="3556"/>
      <c r="H32" s="3557"/>
      <c r="J32" s="3556"/>
      <c r="K32" s="3557"/>
      <c r="L32" s="1050"/>
      <c r="M32" s="3556"/>
      <c r="N32" s="3557"/>
      <c r="P32" s="3556"/>
      <c r="Q32" s="3557"/>
      <c r="S32" s="3556"/>
      <c r="T32" s="3557"/>
      <c r="V32" s="1082"/>
      <c r="W32" s="3685"/>
      <c r="X32" s="3686"/>
      <c r="AZ32" s="2661"/>
      <c r="BA32" s="2246">
        <v>32</v>
      </c>
    </row>
    <row r="33" spans="1:53" s="315" customFormat="1" ht="11.25" customHeight="1">
      <c r="B33" s="315" t="s">
        <v>6091</v>
      </c>
      <c r="G33" s="3556"/>
      <c r="H33" s="3557"/>
      <c r="J33" s="3556"/>
      <c r="K33" s="3557"/>
      <c r="L33" s="1927"/>
      <c r="M33" s="3556"/>
      <c r="N33" s="3557"/>
      <c r="P33" s="3556"/>
      <c r="Q33" s="3557"/>
      <c r="S33" s="3556"/>
      <c r="T33" s="3557"/>
      <c r="V33" s="1082"/>
      <c r="W33" s="3685"/>
      <c r="X33" s="3686"/>
      <c r="AZ33" s="2661"/>
      <c r="BA33" s="2246">
        <v>33</v>
      </c>
    </row>
    <row r="34" spans="1:53" ht="11.25" customHeight="1">
      <c r="B34" s="315" t="s">
        <v>2496</v>
      </c>
      <c r="G34" s="3556"/>
      <c r="H34" s="3557"/>
      <c r="I34" s="315"/>
      <c r="J34" s="3556"/>
      <c r="K34" s="3557"/>
      <c r="L34" s="1927"/>
      <c r="M34" s="3556"/>
      <c r="N34" s="3557"/>
      <c r="O34" s="315"/>
      <c r="P34" s="3556"/>
      <c r="Q34" s="3557"/>
      <c r="R34" s="315"/>
      <c r="S34" s="3556"/>
      <c r="T34" s="3557"/>
      <c r="V34" s="1082"/>
      <c r="W34" s="3687"/>
      <c r="X34" s="3688"/>
      <c r="BA34" s="2246">
        <v>34</v>
      </c>
    </row>
    <row r="35" spans="1:53" ht="11.25" customHeight="1" thickBot="1">
      <c r="B35" s="315" t="s">
        <v>6092</v>
      </c>
      <c r="G35" s="3785"/>
      <c r="H35" s="3786"/>
      <c r="I35" s="315"/>
      <c r="J35" s="3785"/>
      <c r="K35" s="3786"/>
      <c r="L35" s="1050"/>
      <c r="M35" s="3785"/>
      <c r="N35" s="3786"/>
      <c r="O35" s="315"/>
      <c r="P35" s="3785"/>
      <c r="Q35" s="3786"/>
      <c r="R35" s="315"/>
      <c r="S35" s="3785"/>
      <c r="T35" s="3786"/>
      <c r="V35" s="1082"/>
      <c r="W35" s="3687"/>
      <c r="X35" s="3688"/>
      <c r="BA35" s="2245">
        <v>35</v>
      </c>
    </row>
    <row r="36" spans="1:53" s="315" customFormat="1" ht="12.65" customHeight="1" thickTop="1">
      <c r="C36" s="3784"/>
      <c r="D36" s="3784"/>
      <c r="E36" s="1051"/>
      <c r="F36" s="371" t="s">
        <v>184</v>
      </c>
      <c r="G36" s="3671">
        <f>SUM(G30:G35)</f>
        <v>8911842</v>
      </c>
      <c r="H36" s="3672"/>
      <c r="J36" s="3671">
        <f>SUM(J30:J35)</f>
        <v>8911842</v>
      </c>
      <c r="K36" s="3672"/>
      <c r="L36" s="1050"/>
      <c r="M36" s="3671">
        <f>SUM(M30:M35)</f>
        <v>0</v>
      </c>
      <c r="N36" s="3672"/>
      <c r="P36" s="3671">
        <f>SUM(P30:P35)</f>
        <v>0</v>
      </c>
      <c r="Q36" s="3672"/>
      <c r="S36" s="3671">
        <f>SUM(S30:S35)</f>
        <v>0</v>
      </c>
      <c r="T36" s="3672"/>
      <c r="V36" s="1084">
        <f>SUM(V30:V35)</f>
        <v>0</v>
      </c>
      <c r="W36" s="3689"/>
      <c r="X36" s="3690"/>
      <c r="AZ36" s="2661" t="s">
        <v>6379</v>
      </c>
      <c r="BA36" s="2246">
        <v>36</v>
      </c>
    </row>
    <row r="37" spans="1:53" s="315" customFormat="1" ht="12" customHeight="1">
      <c r="B37" s="317" t="s">
        <v>2164</v>
      </c>
      <c r="D37" s="3783" t="s">
        <v>3227</v>
      </c>
      <c r="E37" s="3783"/>
      <c r="F37" s="964">
        <f>SUM(F38:F40)</f>
        <v>0.13999980338516366</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573710</v>
      </c>
      <c r="F38" s="2633">
        <f>IF(($G$28+$G$36)=0,0,G38/($G$28+$G$36))</f>
        <v>5.9999945617172923E-2</v>
      </c>
      <c r="G38" s="3568">
        <v>573710</v>
      </c>
      <c r="H38" s="3569"/>
      <c r="I38" s="332"/>
      <c r="J38" s="3568">
        <f>G38</f>
        <v>573710</v>
      </c>
      <c r="K38" s="3569"/>
      <c r="L38" s="1050"/>
      <c r="M38" s="3568"/>
      <c r="N38" s="3569"/>
      <c r="P38" s="3568"/>
      <c r="Q38" s="3569"/>
      <c r="S38" s="3568"/>
      <c r="T38" s="3569"/>
      <c r="V38" s="1082"/>
      <c r="W38" s="3685"/>
      <c r="X38" s="3686"/>
      <c r="AZ38" s="2661"/>
      <c r="BA38" s="2245">
        <v>38</v>
      </c>
    </row>
    <row r="39" spans="1:53" s="315" customFormat="1" ht="11.25" customHeight="1">
      <c r="B39" s="315" t="s">
        <v>2476</v>
      </c>
      <c r="D39" s="2634">
        <f>'DCA Underwriting Assumptions'!$R$39</f>
        <v>0.02</v>
      </c>
      <c r="E39" s="2632">
        <f>ROUNDDOWN(D39*(G28+G36),0)</f>
        <v>191236</v>
      </c>
      <c r="F39" s="2633">
        <f>IF(($G$28+$G$36)=0,0,G39/($G$28+$G$36))</f>
        <v>1.9999912150817804E-2</v>
      </c>
      <c r="G39" s="3556">
        <v>191236</v>
      </c>
      <c r="H39" s="3557"/>
      <c r="I39" s="332"/>
      <c r="J39" s="3556">
        <f>G39</f>
        <v>191236</v>
      </c>
      <c r="K39" s="3557"/>
      <c r="L39" s="1050"/>
      <c r="M39" s="3556"/>
      <c r="N39" s="3557"/>
      <c r="P39" s="3556"/>
      <c r="Q39" s="3557"/>
      <c r="S39" s="3556"/>
      <c r="T39" s="3557"/>
      <c r="V39" s="1082"/>
      <c r="W39" s="3685"/>
      <c r="X39" s="3686"/>
      <c r="AZ39" s="2661"/>
      <c r="BA39" s="2246">
        <v>39</v>
      </c>
    </row>
    <row r="40" spans="1:53" s="315" customFormat="1" ht="11.25" customHeight="1" thickBot="1">
      <c r="B40" s="315" t="s">
        <v>2477</v>
      </c>
      <c r="D40" s="2635">
        <f>'DCA Underwriting Assumptions'!$R$40</f>
        <v>0.06</v>
      </c>
      <c r="E40" s="2636">
        <f>ROUNDDOWN(D40*(G28+G36),0)</f>
        <v>573710</v>
      </c>
      <c r="F40" s="2637">
        <f>IF(($G$28+$G$36)=0,0,G40/($G$28+$G$36))</f>
        <v>5.9999945617172923E-2</v>
      </c>
      <c r="G40" s="3757">
        <v>573710</v>
      </c>
      <c r="H40" s="3758"/>
      <c r="I40" s="332"/>
      <c r="J40" s="3757">
        <f>G40</f>
        <v>573710</v>
      </c>
      <c r="K40" s="3758"/>
      <c r="L40" s="1050"/>
      <c r="M40" s="3757"/>
      <c r="N40" s="3758"/>
      <c r="P40" s="3757"/>
      <c r="Q40" s="3758"/>
      <c r="S40" s="3757"/>
      <c r="T40" s="3758"/>
      <c r="V40" s="1082"/>
      <c r="W40" s="3687"/>
      <c r="X40" s="3688"/>
      <c r="AZ40" s="2661"/>
      <c r="BA40" s="2246">
        <v>40</v>
      </c>
    </row>
    <row r="41" spans="1:53" s="315" customFormat="1" ht="12.65" customHeight="1" thickTop="1">
      <c r="B41" s="185" t="s">
        <v>3228</v>
      </c>
      <c r="D41" s="965">
        <f>SUM(D38:D40)</f>
        <v>0.14000000000000001</v>
      </c>
      <c r="E41" s="966">
        <f>SUM(E38:E40)</f>
        <v>1338656</v>
      </c>
      <c r="F41" s="2630" t="s">
        <v>184</v>
      </c>
      <c r="G41" s="3671">
        <f>SUM(G38:G40)</f>
        <v>1338656</v>
      </c>
      <c r="H41" s="3672"/>
      <c r="J41" s="3671">
        <f>SUM(J38:J40)</f>
        <v>1338656</v>
      </c>
      <c r="K41" s="3672"/>
      <c r="L41" s="373"/>
      <c r="M41" s="3671">
        <f>SUM(M38:M40)</f>
        <v>0</v>
      </c>
      <c r="N41" s="3672"/>
      <c r="P41" s="3671">
        <f>SUM(P38:P40)</f>
        <v>0</v>
      </c>
      <c r="Q41" s="3672"/>
      <c r="S41" s="3671">
        <f>SUM(S38:S40)</f>
        <v>0</v>
      </c>
      <c r="T41" s="3672"/>
      <c r="V41" s="1084">
        <f>SUM(V38:V40)</f>
        <v>0</v>
      </c>
      <c r="W41" s="3689"/>
      <c r="X41" s="3690"/>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81">
        <f>G28+G36+G41</f>
        <v>10900498</v>
      </c>
      <c r="H43" s="3782"/>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754" t="s">
        <v>6727</v>
      </c>
      <c r="D46" s="3779"/>
      <c r="E46" s="3779"/>
      <c r="F46" s="3780"/>
      <c r="G46" s="3775"/>
      <c r="H46" s="3776"/>
      <c r="I46" s="315"/>
      <c r="J46" s="3775"/>
      <c r="K46" s="3776"/>
      <c r="L46" s="1050"/>
      <c r="M46" s="3775"/>
      <c r="N46" s="3776"/>
      <c r="O46" s="315"/>
      <c r="P46" s="3775"/>
      <c r="Q46" s="3776"/>
      <c r="R46" s="315"/>
      <c r="S46" s="3775"/>
      <c r="T46" s="3776"/>
      <c r="V46" s="1082"/>
      <c r="W46" s="3693"/>
      <c r="X46" s="3694"/>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5"/>
      <c r="X47" s="3696"/>
      <c r="AZ47" s="2661" t="s">
        <v>6382</v>
      </c>
      <c r="BA47" s="2245">
        <v>47</v>
      </c>
    </row>
    <row r="48" spans="1:53" s="315" customFormat="1" ht="12.65" customHeight="1">
      <c r="B48" s="2201" t="s">
        <v>2481</v>
      </c>
      <c r="C48" s="2202"/>
      <c r="E48" s="3777" t="s">
        <v>2480</v>
      </c>
      <c r="F48" s="2203">
        <f>C49/'Part V-Revenues &amp; Expenses'!$P$65</f>
        <v>181674.96666666667</v>
      </c>
      <c r="G48" s="2204" t="s">
        <v>2494</v>
      </c>
      <c r="H48" s="2205"/>
      <c r="I48" s="2205"/>
      <c r="J48" s="3662">
        <f>C49/'Part V-Revenues &amp; Expenses'!$P$67</f>
        <v>181674.96666666667</v>
      </c>
      <c r="K48" s="3662"/>
      <c r="L48" s="2205"/>
      <c r="M48" s="3663" t="s">
        <v>6481</v>
      </c>
      <c r="N48" s="3663"/>
      <c r="O48" s="2205"/>
      <c r="P48" s="3662">
        <f>C49/'Part V-Revenues &amp; Expenses'!$K$175</f>
        <v>214.99996055226825</v>
      </c>
      <c r="Q48" s="3662"/>
      <c r="R48" s="2205"/>
      <c r="S48" s="3664" t="s">
        <v>6483</v>
      </c>
      <c r="T48" s="3665"/>
      <c r="V48" s="1085"/>
      <c r="W48" s="3695"/>
      <c r="X48" s="3696"/>
      <c r="AZ48" s="2661"/>
      <c r="BA48" s="2246">
        <v>48</v>
      </c>
    </row>
    <row r="49" spans="1:53" s="315" customFormat="1" ht="12.65" customHeight="1">
      <c r="B49" s="2254" t="s">
        <v>6494</v>
      </c>
      <c r="C49" s="2253">
        <f>G28+G36+G41+G46</f>
        <v>10900498</v>
      </c>
      <c r="E49" s="3778"/>
      <c r="F49" s="2206">
        <f>C49/'Part V-Revenues &amp; Expenses'!$P$166</f>
        <v>279.49994871794871</v>
      </c>
      <c r="G49" s="2207" t="s">
        <v>2495</v>
      </c>
      <c r="H49" s="2208"/>
      <c r="I49" s="2208"/>
      <c r="J49" s="3666">
        <f>C49/'Part V-Revenues &amp; Expenses'!$P$168</f>
        <v>279.49994871794871</v>
      </c>
      <c r="K49" s="3666"/>
      <c r="L49" s="2208"/>
      <c r="M49" s="3667" t="s">
        <v>6482</v>
      </c>
      <c r="N49" s="3667"/>
      <c r="O49" s="2208"/>
      <c r="P49" s="2208"/>
      <c r="Q49" s="2208"/>
      <c r="R49" s="2208"/>
      <c r="S49" s="2208"/>
      <c r="T49" s="2209"/>
      <c r="V49" s="1085"/>
      <c r="W49" s="3697"/>
      <c r="X49" s="3698"/>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48" t="s">
        <v>259</v>
      </c>
      <c r="K51" s="3649"/>
      <c r="L51" s="370"/>
      <c r="M51" s="3767" t="s">
        <v>460</v>
      </c>
      <c r="N51" s="3768"/>
      <c r="P51" s="3648" t="s">
        <v>260</v>
      </c>
      <c r="Q51" s="3649"/>
      <c r="S51" s="3648" t="s">
        <v>261</v>
      </c>
      <c r="T51" s="3649"/>
      <c r="V51" s="1085"/>
      <c r="W51" s="450" t="str">
        <f>B51</f>
        <v>DEVELOPMENT BUDGET (cont'd)</v>
      </c>
      <c r="AZ51" s="2661"/>
      <c r="BA51" s="2246">
        <v>58</v>
      </c>
    </row>
    <row r="52" spans="1:53" s="315" customFormat="1" ht="18.75" customHeight="1" thickBot="1">
      <c r="G52" s="3763" t="s">
        <v>95</v>
      </c>
      <c r="H52" s="3764"/>
      <c r="J52" s="3650"/>
      <c r="K52" s="3651"/>
      <c r="L52" s="370"/>
      <c r="M52" s="3769"/>
      <c r="N52" s="3770"/>
      <c r="P52" s="3650"/>
      <c r="Q52" s="3651"/>
      <c r="S52" s="3650"/>
      <c r="T52" s="3651"/>
      <c r="V52" s="1085"/>
      <c r="W52" s="3700" t="s">
        <v>2449</v>
      </c>
      <c r="X52" s="3700"/>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545024.9</v>
      </c>
      <c r="F55" s="2310">
        <f>G55/C49</f>
        <v>4.9999963304428845E-2</v>
      </c>
      <c r="G55" s="3775">
        <v>545024.5</v>
      </c>
      <c r="H55" s="3776"/>
      <c r="I55" s="315"/>
      <c r="J55" s="3775">
        <f>G55</f>
        <v>545024.5</v>
      </c>
      <c r="K55" s="3776"/>
      <c r="L55" s="1050"/>
      <c r="M55" s="3775"/>
      <c r="N55" s="3776"/>
      <c r="O55" s="315"/>
      <c r="P55" s="3775"/>
      <c r="Q55" s="3776"/>
      <c r="R55" s="315"/>
      <c r="S55" s="3775"/>
      <c r="T55" s="3776"/>
      <c r="V55" s="1082"/>
      <c r="W55" s="3685"/>
      <c r="X55" s="3686"/>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3"/>
      <c r="X56" s="3694"/>
      <c r="AZ56" s="2661"/>
      <c r="BA56" s="2246">
        <v>53</v>
      </c>
    </row>
    <row r="57" spans="1:53" s="315" customFormat="1" ht="12.65" customHeight="1">
      <c r="B57" s="2210" t="s">
        <v>6305</v>
      </c>
      <c r="C57" s="2202"/>
      <c r="E57" s="3660" t="s">
        <v>6306</v>
      </c>
      <c r="F57" s="2203">
        <f>B58/'Part V-Revenues &amp; Expenses'!$P$65</f>
        <v>190758.70833333334</v>
      </c>
      <c r="G57" s="2204" t="s">
        <v>2494</v>
      </c>
      <c r="H57" s="2205"/>
      <c r="I57" s="2205"/>
      <c r="J57" s="3662">
        <f>B58/'Part V-Revenues &amp; Expenses'!$P$67</f>
        <v>190758.70833333334</v>
      </c>
      <c r="K57" s="3662"/>
      <c r="L57" s="2205"/>
      <c r="M57" s="3663" t="s">
        <v>6481</v>
      </c>
      <c r="N57" s="3663"/>
      <c r="O57" s="2205"/>
      <c r="P57" s="3662">
        <f>B58/'Part V-Revenues &amp; Expenses'!$K$175</f>
        <v>225.74995069033531</v>
      </c>
      <c r="Q57" s="3662"/>
      <c r="R57" s="2205"/>
      <c r="S57" s="3664" t="s">
        <v>6483</v>
      </c>
      <c r="T57" s="3665"/>
      <c r="V57" s="1085"/>
      <c r="W57" s="3695"/>
      <c r="X57" s="3696"/>
      <c r="AZ57" s="2661"/>
      <c r="BA57" s="2246">
        <v>54</v>
      </c>
    </row>
    <row r="58" spans="1:53" s="315" customFormat="1" ht="12.65" customHeight="1">
      <c r="B58" s="3658">
        <f>C49+G55</f>
        <v>11445522.5</v>
      </c>
      <c r="C58" s="3659"/>
      <c r="E58" s="3661"/>
      <c r="F58" s="2206">
        <f>B58/'Part V-Revenues &amp; Expenses'!$P$166</f>
        <v>293.4749358974359</v>
      </c>
      <c r="G58" s="2207" t="s">
        <v>2495</v>
      </c>
      <c r="H58" s="2208"/>
      <c r="I58" s="2208"/>
      <c r="J58" s="3666">
        <f>B58/'Part V-Revenues &amp; Expenses'!$P$168</f>
        <v>293.4749358974359</v>
      </c>
      <c r="K58" s="3666"/>
      <c r="L58" s="2208"/>
      <c r="M58" s="3667" t="s">
        <v>6482</v>
      </c>
      <c r="N58" s="3667"/>
      <c r="O58" s="2208"/>
      <c r="P58" s="2208"/>
      <c r="Q58" s="2208"/>
      <c r="R58" s="2208"/>
      <c r="S58" s="2208"/>
      <c r="T58" s="2209"/>
      <c r="V58" s="1085"/>
      <c r="W58" s="3695"/>
      <c r="X58" s="3696"/>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697"/>
      <c r="X59" s="3698"/>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68"/>
      <c r="H61" s="3569"/>
      <c r="J61" s="3568"/>
      <c r="K61" s="3569"/>
      <c r="L61" s="1050"/>
      <c r="M61" s="3568"/>
      <c r="N61" s="3569"/>
      <c r="P61" s="3568"/>
      <c r="Q61" s="3569"/>
      <c r="S61" s="3568"/>
      <c r="T61" s="3569"/>
      <c r="V61" s="1086"/>
      <c r="W61" s="3685"/>
      <c r="X61" s="3686"/>
      <c r="AZ61" s="2661"/>
      <c r="BA61" s="2246">
        <v>61</v>
      </c>
    </row>
    <row r="62" spans="1:53" s="315" customFormat="1" ht="12" customHeight="1">
      <c r="B62" s="315" t="s">
        <v>3230</v>
      </c>
      <c r="G62" s="3556"/>
      <c r="H62" s="3557"/>
      <c r="J62" s="3556"/>
      <c r="K62" s="3557"/>
      <c r="L62" s="1050"/>
      <c r="M62" s="3556"/>
      <c r="N62" s="3557"/>
      <c r="P62" s="3556"/>
      <c r="Q62" s="3557"/>
      <c r="S62" s="3556"/>
      <c r="T62" s="3557"/>
      <c r="V62" s="1086"/>
      <c r="W62" s="3685"/>
      <c r="X62" s="3686"/>
      <c r="AZ62" s="2661"/>
      <c r="BA62" s="2246">
        <v>62</v>
      </c>
    </row>
    <row r="63" spans="1:53" s="315" customFormat="1" ht="12" customHeight="1">
      <c r="B63" s="315" t="s">
        <v>2167</v>
      </c>
      <c r="G63" s="3556">
        <v>66859</v>
      </c>
      <c r="H63" s="3557"/>
      <c r="J63" s="3556">
        <v>66859</v>
      </c>
      <c r="K63" s="3557"/>
      <c r="L63" s="1050"/>
      <c r="M63" s="3556"/>
      <c r="N63" s="3557"/>
      <c r="P63" s="3556"/>
      <c r="Q63" s="3557"/>
      <c r="S63" s="3556"/>
      <c r="T63" s="3557"/>
      <c r="V63" s="1086"/>
      <c r="W63" s="3685"/>
      <c r="X63" s="3686"/>
      <c r="AZ63" s="2661"/>
      <c r="BA63" s="2245">
        <v>63</v>
      </c>
    </row>
    <row r="64" spans="1:53" s="315" customFormat="1" ht="12" customHeight="1">
      <c r="B64" s="315" t="s">
        <v>2168</v>
      </c>
      <c r="G64" s="3556">
        <v>558903</v>
      </c>
      <c r="H64" s="3557"/>
      <c r="J64" s="3556">
        <v>186301</v>
      </c>
      <c r="K64" s="3557"/>
      <c r="L64" s="1050"/>
      <c r="M64" s="3556"/>
      <c r="N64" s="3557"/>
      <c r="P64" s="3556"/>
      <c r="Q64" s="3557"/>
      <c r="S64" s="3556">
        <f>G64-J64</f>
        <v>372602</v>
      </c>
      <c r="T64" s="3557"/>
      <c r="V64" s="1086"/>
      <c r="W64" s="3685"/>
      <c r="X64" s="3686"/>
      <c r="AZ64" s="2661"/>
      <c r="BA64" s="2246">
        <v>64</v>
      </c>
    </row>
    <row r="65" spans="1:53" s="315" customFormat="1" ht="12" customHeight="1">
      <c r="B65" s="315" t="s">
        <v>2169</v>
      </c>
      <c r="G65" s="3556">
        <v>35000</v>
      </c>
      <c r="H65" s="3557"/>
      <c r="J65" s="3556">
        <v>35000</v>
      </c>
      <c r="K65" s="3557"/>
      <c r="L65" s="1050"/>
      <c r="M65" s="3556"/>
      <c r="N65" s="3557"/>
      <c r="P65" s="3556"/>
      <c r="Q65" s="3557"/>
      <c r="S65" s="3556"/>
      <c r="T65" s="3557"/>
      <c r="V65" s="1086"/>
      <c r="W65" s="3685"/>
      <c r="X65" s="3686"/>
      <c r="AZ65" s="2661" t="s">
        <v>6383</v>
      </c>
      <c r="BA65" s="2246">
        <v>65</v>
      </c>
    </row>
    <row r="66" spans="1:53" s="315" customFormat="1" ht="12" customHeight="1">
      <c r="B66" s="315" t="s">
        <v>2451</v>
      </c>
      <c r="G66" s="3556">
        <v>15000</v>
      </c>
      <c r="H66" s="3557"/>
      <c r="J66" s="3556">
        <v>15000</v>
      </c>
      <c r="K66" s="3557"/>
      <c r="L66" s="1050"/>
      <c r="M66" s="3556"/>
      <c r="N66" s="3557"/>
      <c r="P66" s="3556"/>
      <c r="Q66" s="3557"/>
      <c r="S66" s="3556"/>
      <c r="T66" s="3557"/>
      <c r="V66" s="1086"/>
      <c r="W66" s="3685"/>
      <c r="X66" s="3686"/>
      <c r="AZ66" s="2661" t="s">
        <v>6384</v>
      </c>
      <c r="BA66" s="2246">
        <v>66</v>
      </c>
    </row>
    <row r="67" spans="1:53" s="315" customFormat="1" ht="12" customHeight="1">
      <c r="B67" s="315" t="s">
        <v>676</v>
      </c>
      <c r="G67" s="3556">
        <v>5000</v>
      </c>
      <c r="H67" s="3557"/>
      <c r="J67" s="3556">
        <v>5000</v>
      </c>
      <c r="K67" s="3557"/>
      <c r="L67" s="1050"/>
      <c r="M67" s="3556"/>
      <c r="N67" s="3557"/>
      <c r="P67" s="3556"/>
      <c r="Q67" s="3557"/>
      <c r="S67" s="3556"/>
      <c r="T67" s="3557"/>
      <c r="V67" s="1086"/>
      <c r="W67" s="3685"/>
      <c r="X67" s="3686"/>
      <c r="AZ67" s="2661" t="s">
        <v>6385</v>
      </c>
      <c r="BA67" s="2246">
        <v>67</v>
      </c>
    </row>
    <row r="68" spans="1:53" s="315" customFormat="1" ht="12" customHeight="1">
      <c r="B68" s="315" t="s">
        <v>2170</v>
      </c>
      <c r="G68" s="3556">
        <v>60829</v>
      </c>
      <c r="H68" s="3557"/>
      <c r="J68" s="3556">
        <v>60829</v>
      </c>
      <c r="K68" s="3557"/>
      <c r="L68" s="1050"/>
      <c r="M68" s="3556"/>
      <c r="N68" s="3557"/>
      <c r="P68" s="3556"/>
      <c r="Q68" s="3557"/>
      <c r="S68" s="3556"/>
      <c r="T68" s="3557"/>
      <c r="V68" s="1086"/>
      <c r="W68" s="3685"/>
      <c r="X68" s="3686"/>
      <c r="AZ68" s="2661"/>
      <c r="BA68" s="2246">
        <v>68</v>
      </c>
    </row>
    <row r="69" spans="1:53" s="315" customFormat="1" ht="12" customHeight="1">
      <c r="B69" s="315" t="s">
        <v>1201</v>
      </c>
      <c r="G69" s="3556">
        <v>60000</v>
      </c>
      <c r="H69" s="3557"/>
      <c r="J69" s="3556">
        <v>40000</v>
      </c>
      <c r="K69" s="3557"/>
      <c r="L69" s="1050"/>
      <c r="M69" s="3556"/>
      <c r="N69" s="3557"/>
      <c r="P69" s="3556"/>
      <c r="Q69" s="3557"/>
      <c r="S69" s="3556">
        <v>20000</v>
      </c>
      <c r="T69" s="3557"/>
      <c r="V69" s="1086"/>
      <c r="W69" s="3685"/>
      <c r="X69" s="3686"/>
      <c r="AZ69" s="2661"/>
      <c r="BA69" s="2246">
        <v>69</v>
      </c>
    </row>
    <row r="70" spans="1:53" s="315" customFormat="1" ht="12" customHeight="1">
      <c r="B70" s="377" t="s">
        <v>1086</v>
      </c>
      <c r="D70" s="375"/>
      <c r="E70" s="375"/>
      <c r="F70" s="376"/>
      <c r="G70" s="3556">
        <v>58863</v>
      </c>
      <c r="H70" s="3557"/>
      <c r="I70" s="332"/>
      <c r="J70" s="3556">
        <v>58863</v>
      </c>
      <c r="K70" s="3557"/>
      <c r="L70" s="1050"/>
      <c r="M70" s="3556"/>
      <c r="N70" s="3557"/>
      <c r="P70" s="3556"/>
      <c r="Q70" s="3557"/>
      <c r="S70" s="3556"/>
      <c r="T70" s="3557"/>
      <c r="V70" s="1086"/>
      <c r="W70" s="3685"/>
      <c r="X70" s="3686"/>
      <c r="AZ70" s="2661"/>
      <c r="BA70" s="2246">
        <v>70</v>
      </c>
    </row>
    <row r="71" spans="1:53" s="315" customFormat="1" ht="12" customHeight="1">
      <c r="A71" s="396" t="str">
        <f>IF(AND(G71&gt;0,OR(C71="",C71="&lt;Enter detailed description here; use Comments section if needed&gt;")),"X","")</f>
        <v/>
      </c>
      <c r="B71" s="185" t="s">
        <v>6284</v>
      </c>
      <c r="C71" s="3771"/>
      <c r="D71" s="3771"/>
      <c r="E71" s="3771"/>
      <c r="F71" s="3772"/>
      <c r="G71" s="3556"/>
      <c r="H71" s="3557"/>
      <c r="J71" s="3556">
        <v>15000</v>
      </c>
      <c r="K71" s="3557"/>
      <c r="L71" s="1050"/>
      <c r="M71" s="3556"/>
      <c r="N71" s="3557"/>
      <c r="P71" s="3556"/>
      <c r="Q71" s="3557"/>
      <c r="S71" s="3556"/>
      <c r="T71" s="3557"/>
      <c r="U71" s="395" t="str">
        <f>IF(AND(G71&gt;0,OR(C71="",C71="&lt;Enter detailed description here; use Comments section if needed&gt;")),"NO DESCRIPTION PROVIDED - please enter detailed description in Other box at left; use Comments section below if needed.","")</f>
        <v/>
      </c>
      <c r="V71" s="1086"/>
      <c r="W71" s="3685"/>
      <c r="X71" s="3686"/>
      <c r="AZ71" s="2661"/>
      <c r="BA71" s="2246">
        <v>71</v>
      </c>
    </row>
    <row r="72" spans="1:53" s="315" customFormat="1" ht="12" customHeight="1" thickBot="1">
      <c r="A72" s="396" t="str">
        <f>IF(AND(G72&gt;0,OR(C72="",C72="&lt;Enter detailed description here; use Comments section if needed&gt;")),"X","")</f>
        <v/>
      </c>
      <c r="B72" s="185" t="s">
        <v>6285</v>
      </c>
      <c r="C72" s="3773" t="s">
        <v>6727</v>
      </c>
      <c r="D72" s="3773"/>
      <c r="E72" s="3773"/>
      <c r="F72" s="3774"/>
      <c r="G72" s="3560"/>
      <c r="H72" s="3561"/>
      <c r="J72" s="3560"/>
      <c r="K72" s="3561"/>
      <c r="L72" s="1050"/>
      <c r="M72" s="3560"/>
      <c r="N72" s="3561"/>
      <c r="P72" s="3560"/>
      <c r="Q72" s="3561"/>
      <c r="S72" s="3560"/>
      <c r="T72" s="3561"/>
      <c r="U72" s="395" t="str">
        <f>IF(AND(G72&gt;0,OR(C72="",C72="&lt;Enter detailed description here; use Comments section if needed&gt;")),"NO DESCRIPTION PROVIDED - please enter detailed description in Other box at left; use Comments section below if needed.","")</f>
        <v/>
      </c>
      <c r="V72" s="1086"/>
      <c r="W72" s="3687"/>
      <c r="X72" s="3688"/>
      <c r="AZ72" s="2661"/>
      <c r="BA72" s="2245">
        <v>72</v>
      </c>
    </row>
    <row r="73" spans="1:53" s="315" customFormat="1" ht="12" customHeight="1" thickTop="1">
      <c r="F73" s="371" t="s">
        <v>184</v>
      </c>
      <c r="G73" s="3671">
        <f>SUM(G61:G72)</f>
        <v>860454</v>
      </c>
      <c r="H73" s="3672"/>
      <c r="J73" s="3671">
        <f>SUM(J61:J72)</f>
        <v>482852</v>
      </c>
      <c r="K73" s="3672"/>
      <c r="L73" s="373"/>
      <c r="M73" s="3671">
        <f>SUM(M61:M72)</f>
        <v>0</v>
      </c>
      <c r="N73" s="3672"/>
      <c r="P73" s="3671">
        <f>SUM(P61:P72)</f>
        <v>0</v>
      </c>
      <c r="Q73" s="3672"/>
      <c r="S73" s="3671">
        <f>SUM(S61:S72)</f>
        <v>392602</v>
      </c>
      <c r="T73" s="3672"/>
      <c r="V73" s="1087">
        <f>SUM(V61:V72)</f>
        <v>0</v>
      </c>
      <c r="W73" s="3689"/>
      <c r="X73" s="3690"/>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68">
        <v>545025</v>
      </c>
      <c r="H75" s="3569"/>
      <c r="J75" s="3568">
        <v>545025</v>
      </c>
      <c r="K75" s="3569"/>
      <c r="L75" s="1050"/>
      <c r="M75" s="3568"/>
      <c r="N75" s="3569"/>
      <c r="P75" s="3568"/>
      <c r="Q75" s="3569"/>
      <c r="S75" s="3568"/>
      <c r="T75" s="3569"/>
      <c r="V75" s="1082"/>
      <c r="W75" s="3685"/>
      <c r="X75" s="3686"/>
      <c r="AZ75" s="2661"/>
      <c r="BA75" s="2245">
        <v>75</v>
      </c>
    </row>
    <row r="76" spans="1:53" s="315" customFormat="1" ht="12" customHeight="1">
      <c r="B76" s="315" t="s">
        <v>451</v>
      </c>
      <c r="G76" s="3556">
        <v>163508</v>
      </c>
      <c r="H76" s="3557"/>
      <c r="J76" s="3556">
        <v>163508</v>
      </c>
      <c r="K76" s="3557"/>
      <c r="L76" s="1050"/>
      <c r="M76" s="3556"/>
      <c r="N76" s="3557"/>
      <c r="P76" s="3556"/>
      <c r="Q76" s="3557"/>
      <c r="S76" s="3556"/>
      <c r="T76" s="3557"/>
      <c r="V76" s="1082"/>
      <c r="W76" s="3685"/>
      <c r="X76" s="3686"/>
      <c r="AZ76" s="2661"/>
      <c r="BA76" s="2246">
        <v>76</v>
      </c>
    </row>
    <row r="77" spans="1:53" s="315" customFormat="1" ht="12" customHeight="1">
      <c r="B77" s="315" t="s">
        <v>1062</v>
      </c>
      <c r="D77" s="328"/>
      <c r="E77" s="1075"/>
      <c r="F77" s="1076"/>
      <c r="G77" s="3556"/>
      <c r="H77" s="3557"/>
      <c r="J77" s="3556"/>
      <c r="K77" s="3557"/>
      <c r="L77" s="1050"/>
      <c r="M77" s="3556"/>
      <c r="N77" s="3557"/>
      <c r="P77" s="3556"/>
      <c r="Q77" s="3557"/>
      <c r="S77" s="3556"/>
      <c r="T77" s="3557"/>
      <c r="V77" s="1082"/>
      <c r="W77" s="3685"/>
      <c r="X77" s="3686"/>
      <c r="AZ77" s="2661"/>
      <c r="BA77" s="2246">
        <v>77</v>
      </c>
    </row>
    <row r="78" spans="1:53" s="315" customFormat="1" ht="12" customHeight="1">
      <c r="B78" s="315" t="s">
        <v>1063</v>
      </c>
      <c r="G78" s="3556">
        <f>95000/2</f>
        <v>47500</v>
      </c>
      <c r="H78" s="3557"/>
      <c r="J78" s="3556">
        <v>47500</v>
      </c>
      <c r="K78" s="3557"/>
      <c r="L78" s="1050"/>
      <c r="M78" s="3556"/>
      <c r="N78" s="3557"/>
      <c r="P78" s="3556"/>
      <c r="Q78" s="3557"/>
      <c r="S78" s="3556"/>
      <c r="T78" s="3557"/>
      <c r="V78" s="1082"/>
      <c r="W78" s="3685"/>
      <c r="X78" s="3686"/>
      <c r="AZ78" s="2661"/>
      <c r="BA78" s="2246">
        <v>78</v>
      </c>
    </row>
    <row r="79" spans="1:53" s="315" customFormat="1" ht="12" customHeight="1">
      <c r="B79" s="315" t="s">
        <v>1064</v>
      </c>
      <c r="G79" s="3556">
        <v>47500</v>
      </c>
      <c r="H79" s="3557"/>
      <c r="J79" s="3556">
        <v>47500</v>
      </c>
      <c r="K79" s="3557"/>
      <c r="L79" s="1050"/>
      <c r="M79" s="3556"/>
      <c r="N79" s="3557"/>
      <c r="P79" s="3556"/>
      <c r="Q79" s="3557"/>
      <c r="S79" s="3556"/>
      <c r="T79" s="3557"/>
      <c r="V79" s="1082"/>
      <c r="W79" s="3685"/>
      <c r="X79" s="3686"/>
      <c r="AZ79" s="2661" t="s">
        <v>6386</v>
      </c>
      <c r="BA79" s="2246">
        <v>79</v>
      </c>
    </row>
    <row r="80" spans="1:53" s="315" customFormat="1" ht="12" customHeight="1">
      <c r="B80" s="315" t="s">
        <v>1065</v>
      </c>
      <c r="G80" s="3556">
        <f>7500+30000</f>
        <v>37500</v>
      </c>
      <c r="H80" s="3557"/>
      <c r="J80" s="3556">
        <v>30000</v>
      </c>
      <c r="K80" s="3557"/>
      <c r="L80" s="1050"/>
      <c r="M80" s="3556"/>
      <c r="N80" s="3557"/>
      <c r="P80" s="3556"/>
      <c r="Q80" s="3557"/>
      <c r="S80" s="3556">
        <v>7500</v>
      </c>
      <c r="T80" s="3557"/>
      <c r="V80" s="1082"/>
      <c r="W80" s="3685"/>
      <c r="X80" s="3686"/>
      <c r="AZ80" s="2661" t="s">
        <v>6387</v>
      </c>
      <c r="BA80" s="2246">
        <v>80</v>
      </c>
    </row>
    <row r="81" spans="1:53" s="315" customFormat="1" ht="12" customHeight="1">
      <c r="B81" s="315" t="s">
        <v>452</v>
      </c>
      <c r="G81" s="3556">
        <f>15000+20000</f>
        <v>35000</v>
      </c>
      <c r="H81" s="3557"/>
      <c r="J81" s="3556">
        <v>35000</v>
      </c>
      <c r="K81" s="3557"/>
      <c r="L81" s="1050"/>
      <c r="M81" s="3556"/>
      <c r="N81" s="3557"/>
      <c r="P81" s="3556"/>
      <c r="Q81" s="3557"/>
      <c r="S81" s="3556"/>
      <c r="T81" s="3557"/>
      <c r="V81" s="1082"/>
      <c r="W81" s="3685"/>
      <c r="X81" s="3686"/>
      <c r="AZ81" s="2660"/>
      <c r="BA81" s="2246">
        <v>81</v>
      </c>
    </row>
    <row r="82" spans="1:53" s="315" customFormat="1" ht="12" customHeight="1">
      <c r="B82" s="315" t="s">
        <v>453</v>
      </c>
      <c r="G82" s="3556">
        <v>115000</v>
      </c>
      <c r="H82" s="3557"/>
      <c r="J82" s="3556">
        <v>115000</v>
      </c>
      <c r="K82" s="3557"/>
      <c r="L82" s="1050"/>
      <c r="M82" s="3556"/>
      <c r="N82" s="3557"/>
      <c r="P82" s="3556"/>
      <c r="Q82" s="3557"/>
      <c r="S82" s="3556"/>
      <c r="T82" s="3557"/>
      <c r="V82" s="1082"/>
      <c r="W82" s="3685"/>
      <c r="X82" s="3686"/>
      <c r="AZ82" s="2661"/>
      <c r="BA82" s="2246">
        <v>82</v>
      </c>
    </row>
    <row r="83" spans="1:53" s="315" customFormat="1" ht="12" customHeight="1">
      <c r="B83" s="315" t="s">
        <v>1900</v>
      </c>
      <c r="G83" s="3556">
        <v>16000</v>
      </c>
      <c r="H83" s="3557"/>
      <c r="J83" s="3556">
        <v>0</v>
      </c>
      <c r="K83" s="3557"/>
      <c r="L83" s="1050"/>
      <c r="M83" s="3556"/>
      <c r="N83" s="3557"/>
      <c r="P83" s="3556"/>
      <c r="Q83" s="3557"/>
      <c r="S83" s="3556">
        <v>16000</v>
      </c>
      <c r="T83" s="3557"/>
      <c r="V83" s="1082"/>
      <c r="W83" s="3685"/>
      <c r="X83" s="3686"/>
      <c r="AZ83" s="2661"/>
      <c r="BA83" s="2246">
        <v>83</v>
      </c>
    </row>
    <row r="84" spans="1:53" s="315" customFormat="1" ht="12" customHeight="1">
      <c r="B84" s="315" t="s">
        <v>1202</v>
      </c>
      <c r="G84" s="3556">
        <v>15000</v>
      </c>
      <c r="H84" s="3557"/>
      <c r="J84" s="3556">
        <v>15000</v>
      </c>
      <c r="K84" s="3557"/>
      <c r="L84" s="1050"/>
      <c r="M84" s="3556"/>
      <c r="N84" s="3557"/>
      <c r="P84" s="3556"/>
      <c r="Q84" s="3557"/>
      <c r="S84" s="3556"/>
      <c r="T84" s="3557"/>
      <c r="V84" s="1082"/>
      <c r="W84" s="3685"/>
      <c r="X84" s="3686"/>
      <c r="AZ84" s="2661"/>
      <c r="BA84" s="2245">
        <v>84</v>
      </c>
    </row>
    <row r="85" spans="1:53" s="315" customFormat="1" ht="12" customHeight="1" thickBot="1">
      <c r="A85" s="396" t="str">
        <f>IF(AND(G85&gt;0,OR(C85="",C85="&lt;Enter detailed description here; use Comments section if needed&gt;")),"X","")</f>
        <v/>
      </c>
      <c r="B85" s="185" t="s">
        <v>6286</v>
      </c>
      <c r="C85" s="3754"/>
      <c r="D85" s="3754"/>
      <c r="E85" s="3754"/>
      <c r="F85" s="3755"/>
      <c r="G85" s="3560"/>
      <c r="H85" s="3561"/>
      <c r="J85" s="3560">
        <v>40000</v>
      </c>
      <c r="K85" s="3561"/>
      <c r="L85" s="1050"/>
      <c r="M85" s="3560"/>
      <c r="N85" s="3561"/>
      <c r="P85" s="3560"/>
      <c r="Q85" s="3561"/>
      <c r="S85" s="3560"/>
      <c r="T85" s="3561"/>
      <c r="U85" s="395" t="str">
        <f>IF(AND(G85&gt;0,OR(C85="",C85="&lt;Enter detailed description here; use Comments section if needed&gt;")),"NO DESCRIPTION PROVIDED - please enter detailed description in Other box at left; use Comments section below if needed.","")</f>
        <v/>
      </c>
      <c r="V85" s="1082"/>
      <c r="W85" s="3687"/>
      <c r="X85" s="3688"/>
      <c r="AZ85" s="2661"/>
      <c r="BA85" s="2246">
        <v>85</v>
      </c>
    </row>
    <row r="86" spans="1:53" s="315" customFormat="1" ht="12" customHeight="1" thickTop="1">
      <c r="F86" s="371" t="s">
        <v>184</v>
      </c>
      <c r="G86" s="3671">
        <f>SUM(G75:G85)</f>
        <v>1022033</v>
      </c>
      <c r="H86" s="3672"/>
      <c r="J86" s="3671">
        <f>SUM(J75:J85)</f>
        <v>1038533</v>
      </c>
      <c r="K86" s="3672"/>
      <c r="L86" s="373"/>
      <c r="M86" s="3671">
        <f>SUM(M75:M85)</f>
        <v>0</v>
      </c>
      <c r="N86" s="3672"/>
      <c r="P86" s="3671">
        <f>SUM(P75:P85)</f>
        <v>0</v>
      </c>
      <c r="Q86" s="3672"/>
      <c r="S86" s="3671">
        <f>SUM(S75:S85)</f>
        <v>23500</v>
      </c>
      <c r="T86" s="3672"/>
      <c r="V86" s="1084">
        <f>SUM(V75:V85)</f>
        <v>0</v>
      </c>
      <c r="W86" s="3689"/>
      <c r="X86" s="3690"/>
      <c r="AZ86" s="2661" t="s">
        <v>6388</v>
      </c>
      <c r="BA86" s="2246">
        <v>86</v>
      </c>
    </row>
    <row r="87" spans="1:53" ht="12" customHeight="1">
      <c r="A87" s="315"/>
      <c r="B87" s="317" t="s">
        <v>1194</v>
      </c>
      <c r="C87" s="315"/>
      <c r="D87" s="884" t="s">
        <v>3231</v>
      </c>
      <c r="E87" s="968">
        <f>G92/'Part V-Revenues &amp; Expenses'!$P$67</f>
        <v>2795.4</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68">
        <v>34324</v>
      </c>
      <c r="H88" s="3569"/>
      <c r="J88" s="3568">
        <v>34324</v>
      </c>
      <c r="K88" s="3569"/>
      <c r="L88" s="1050"/>
      <c r="M88" s="3568"/>
      <c r="N88" s="3569"/>
      <c r="P88" s="3568"/>
      <c r="Q88" s="3569"/>
      <c r="S88" s="3568"/>
      <c r="T88" s="3569"/>
      <c r="V88" s="1082"/>
      <c r="W88" s="3685"/>
      <c r="X88" s="3686"/>
      <c r="AZ88" s="2661"/>
      <c r="BA88" s="2246">
        <v>88</v>
      </c>
    </row>
    <row r="89" spans="1:53" s="315" customFormat="1" ht="12" customHeight="1">
      <c r="B89" s="315" t="s">
        <v>1196</v>
      </c>
      <c r="G89" s="3556">
        <v>30000</v>
      </c>
      <c r="H89" s="3557"/>
      <c r="J89" s="3556">
        <v>30000</v>
      </c>
      <c r="K89" s="3557"/>
      <c r="L89" s="1050"/>
      <c r="M89" s="3556"/>
      <c r="N89" s="3557"/>
      <c r="P89" s="3556"/>
      <c r="Q89" s="3557"/>
      <c r="S89" s="3556"/>
      <c r="T89" s="3557"/>
      <c r="V89" s="1082"/>
      <c r="W89" s="3685"/>
      <c r="X89" s="3686"/>
      <c r="AZ89" s="2661"/>
      <c r="BA89" s="2246">
        <v>89</v>
      </c>
    </row>
    <row r="90" spans="1:53" s="315" customFormat="1" ht="12" customHeight="1">
      <c r="B90" s="315" t="s">
        <v>1197</v>
      </c>
      <c r="D90" s="379" t="s">
        <v>1325</v>
      </c>
      <c r="E90" s="1099"/>
      <c r="G90" s="3556">
        <v>30000</v>
      </c>
      <c r="H90" s="3557"/>
      <c r="I90" s="332"/>
      <c r="J90" s="3556">
        <v>30000</v>
      </c>
      <c r="K90" s="3557"/>
      <c r="L90" s="1050"/>
      <c r="M90" s="3556"/>
      <c r="N90" s="3557"/>
      <c r="P90" s="3556"/>
      <c r="Q90" s="3557"/>
      <c r="S90" s="3556"/>
      <c r="T90" s="3557"/>
      <c r="V90" s="1082"/>
      <c r="W90" s="3685"/>
      <c r="X90" s="3686"/>
      <c r="AZ90" s="2661"/>
      <c r="BA90" s="2246">
        <v>90</v>
      </c>
    </row>
    <row r="91" spans="1:53" s="315" customFormat="1" ht="12" customHeight="1" thickBot="1">
      <c r="B91" s="315" t="s">
        <v>1198</v>
      </c>
      <c r="D91" s="379" t="s">
        <v>1325</v>
      </c>
      <c r="E91" s="1100"/>
      <c r="G91" s="3560">
        <v>73400</v>
      </c>
      <c r="H91" s="3561"/>
      <c r="I91" s="332"/>
      <c r="J91" s="3560">
        <v>73400</v>
      </c>
      <c r="K91" s="3561"/>
      <c r="L91" s="1050"/>
      <c r="M91" s="3560"/>
      <c r="N91" s="3561"/>
      <c r="P91" s="3560"/>
      <c r="Q91" s="3561"/>
      <c r="S91" s="3560"/>
      <c r="T91" s="3561"/>
      <c r="V91" s="1082"/>
      <c r="W91" s="3687"/>
      <c r="X91" s="3688"/>
      <c r="AZ91" s="2661"/>
      <c r="BA91" s="2246">
        <v>91</v>
      </c>
    </row>
    <row r="92" spans="1:53" s="315" customFormat="1" ht="12" customHeight="1" thickTop="1">
      <c r="F92" s="371" t="s">
        <v>184</v>
      </c>
      <c r="G92" s="3671">
        <f>SUM(G88:G91)</f>
        <v>167724</v>
      </c>
      <c r="H92" s="3672"/>
      <c r="J92" s="3671">
        <f>SUM(J88:J91)</f>
        <v>167724</v>
      </c>
      <c r="K92" s="3672"/>
      <c r="L92" s="373"/>
      <c r="M92" s="3671">
        <f>SUM(M88:M91)</f>
        <v>0</v>
      </c>
      <c r="N92" s="3672"/>
      <c r="P92" s="3671">
        <f>SUM(P88:P91)</f>
        <v>0</v>
      </c>
      <c r="Q92" s="3672"/>
      <c r="S92" s="3671">
        <f>SUM(S88:S91)</f>
        <v>0</v>
      </c>
      <c r="T92" s="3672"/>
      <c r="V92" s="1084">
        <f>SUM(V88:V91)</f>
        <v>0</v>
      </c>
      <c r="W92" s="3689"/>
      <c r="X92" s="3690"/>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48" t="s">
        <v>259</v>
      </c>
      <c r="K94" s="3649"/>
      <c r="L94" s="370"/>
      <c r="M94" s="3767" t="s">
        <v>460</v>
      </c>
      <c r="N94" s="3768"/>
      <c r="P94" s="3648" t="s">
        <v>260</v>
      </c>
      <c r="Q94" s="3649"/>
      <c r="S94" s="3648" t="s">
        <v>261</v>
      </c>
      <c r="T94" s="3649"/>
      <c r="V94" s="450" t="str">
        <f>B94</f>
        <v>DEVELOPMENT BUDGET  (cont'd)</v>
      </c>
      <c r="AZ94" s="2661"/>
      <c r="BA94" s="2246">
        <v>94</v>
      </c>
    </row>
    <row r="95" spans="1:53" s="315" customFormat="1" ht="18" customHeight="1" thickBot="1">
      <c r="G95" s="3763" t="s">
        <v>95</v>
      </c>
      <c r="H95" s="3764"/>
      <c r="J95" s="3650"/>
      <c r="K95" s="3651"/>
      <c r="L95" s="370"/>
      <c r="M95" s="3769"/>
      <c r="N95" s="3770"/>
      <c r="P95" s="3650"/>
      <c r="Q95" s="3651"/>
      <c r="S95" s="3650"/>
      <c r="T95" s="3651"/>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68">
        <v>25500</v>
      </c>
      <c r="H97" s="3569"/>
      <c r="J97" s="3762"/>
      <c r="K97" s="3762"/>
      <c r="L97" s="1050"/>
      <c r="M97" s="3762"/>
      <c r="N97" s="3762"/>
      <c r="P97" s="3762"/>
      <c r="Q97" s="3762"/>
      <c r="S97" s="3568">
        <f>G97</f>
        <v>25500</v>
      </c>
      <c r="T97" s="3569"/>
      <c r="V97" s="1082"/>
      <c r="W97" s="3685"/>
      <c r="X97" s="3686"/>
      <c r="AZ97" s="2661" t="s">
        <v>6390</v>
      </c>
      <c r="BA97" s="2246">
        <v>97</v>
      </c>
    </row>
    <row r="98" spans="1:53" s="315" customFormat="1" ht="12" customHeight="1">
      <c r="B98" s="315" t="s">
        <v>1200</v>
      </c>
      <c r="G98" s="3556">
        <f>25000+25000</f>
        <v>50000</v>
      </c>
      <c r="H98" s="3557"/>
      <c r="J98" s="3762"/>
      <c r="K98" s="3762"/>
      <c r="L98" s="1050"/>
      <c r="M98" s="3762"/>
      <c r="N98" s="3762"/>
      <c r="P98" s="3762"/>
      <c r="Q98" s="3762"/>
      <c r="S98" s="3556">
        <v>50000</v>
      </c>
      <c r="T98" s="3557"/>
      <c r="V98" s="1082"/>
      <c r="W98" s="3685"/>
      <c r="X98" s="3686"/>
      <c r="AZ98" s="2661"/>
      <c r="BA98" s="2246">
        <v>98</v>
      </c>
    </row>
    <row r="99" spans="1:53" s="315" customFormat="1" ht="12" customHeight="1">
      <c r="B99" s="315" t="s">
        <v>1201</v>
      </c>
      <c r="G99" s="3556"/>
      <c r="H99" s="3557"/>
      <c r="J99" s="3762"/>
      <c r="K99" s="3762"/>
      <c r="L99" s="1050"/>
      <c r="M99" s="3762"/>
      <c r="N99" s="3762"/>
      <c r="P99" s="3762"/>
      <c r="Q99" s="3762"/>
      <c r="S99" s="3556"/>
      <c r="T99" s="3557"/>
      <c r="V99" s="1082"/>
      <c r="W99" s="3685"/>
      <c r="X99" s="3686"/>
      <c r="AZ99" s="2661"/>
      <c r="BA99" s="2246">
        <v>99</v>
      </c>
    </row>
    <row r="100" spans="1:53" s="315" customFormat="1" ht="12" customHeight="1">
      <c r="B100" s="315" t="s">
        <v>1203</v>
      </c>
      <c r="G100" s="3556"/>
      <c r="H100" s="3557"/>
      <c r="J100" s="3762"/>
      <c r="K100" s="3762"/>
      <c r="L100" s="1050"/>
      <c r="M100" s="3762"/>
      <c r="N100" s="3762"/>
      <c r="P100" s="3762"/>
      <c r="Q100" s="3762"/>
      <c r="S100" s="3556"/>
      <c r="T100" s="3557"/>
      <c r="V100" s="1082"/>
      <c r="W100" s="3685"/>
      <c r="X100" s="3686"/>
      <c r="AZ100" s="2661"/>
      <c r="BA100" s="2245">
        <v>100</v>
      </c>
    </row>
    <row r="101" spans="1:53" s="315" customFormat="1" ht="12" customHeight="1">
      <c r="B101" s="315" t="s">
        <v>2122</v>
      </c>
      <c r="G101" s="3556"/>
      <c r="H101" s="3557"/>
      <c r="J101" s="3762"/>
      <c r="K101" s="3762"/>
      <c r="L101" s="1050"/>
      <c r="M101" s="3762"/>
      <c r="N101" s="3762"/>
      <c r="P101" s="3762"/>
      <c r="Q101" s="3762"/>
      <c r="S101" s="3556"/>
      <c r="T101" s="3557"/>
      <c r="V101" s="1082"/>
      <c r="W101" s="3685"/>
      <c r="X101" s="3686"/>
      <c r="AZ101" s="2661"/>
      <c r="BA101" s="2246">
        <v>101</v>
      </c>
    </row>
    <row r="102" spans="1:53" s="315" customFormat="1" ht="12" customHeight="1" thickBot="1">
      <c r="A102" s="396" t="str">
        <f>IF(AND(G102&gt;0,OR(C102="",C102="&lt;Enter detailed description here; use Comments section if needed&gt;")),"X","")</f>
        <v/>
      </c>
      <c r="B102" s="185" t="s">
        <v>6287</v>
      </c>
      <c r="C102" s="3754"/>
      <c r="D102" s="3754"/>
      <c r="E102" s="3754"/>
      <c r="F102" s="3755"/>
      <c r="G102" s="3560"/>
      <c r="H102" s="3561"/>
      <c r="J102" s="3762"/>
      <c r="K102" s="3762"/>
      <c r="L102" s="1050"/>
      <c r="M102" s="3762"/>
      <c r="N102" s="3762"/>
      <c r="P102" s="3762"/>
      <c r="Q102" s="3762"/>
      <c r="S102" s="3560"/>
      <c r="T102" s="3561"/>
      <c r="U102" s="395" t="str">
        <f>IF(AND(G102&gt;0,OR(C102="",C102="&lt;Enter detailed description here; use Comments section if needed&gt;")),"NO DESCRIPTION PROVIDED - please enter detailed description in Other box at left; use Comments section below if needed.","")</f>
        <v/>
      </c>
      <c r="V102" s="1082"/>
      <c r="W102" s="3687"/>
      <c r="X102" s="3688"/>
      <c r="AZ102" s="2661"/>
      <c r="BA102" s="2246">
        <v>102</v>
      </c>
    </row>
    <row r="103" spans="1:53" s="315" customFormat="1" ht="12" customHeight="1" thickTop="1">
      <c r="F103" s="371" t="s">
        <v>184</v>
      </c>
      <c r="G103" s="3671">
        <f>SUM(G97:G102)</f>
        <v>75500</v>
      </c>
      <c r="H103" s="3672"/>
      <c r="J103" s="3762"/>
      <c r="K103" s="3762"/>
      <c r="L103" s="373"/>
      <c r="M103" s="3762"/>
      <c r="N103" s="3762"/>
      <c r="P103" s="3762"/>
      <c r="Q103" s="3762"/>
      <c r="S103" s="3671">
        <f>SUM(S97:S102)</f>
        <v>75500</v>
      </c>
      <c r="T103" s="3672"/>
      <c r="V103" s="1084">
        <f>SUM(V97:V102)</f>
        <v>0</v>
      </c>
      <c r="W103" s="3689"/>
      <c r="X103" s="3690"/>
      <c r="AZ103" s="2661"/>
      <c r="BA103" s="2246">
        <v>103</v>
      </c>
    </row>
    <row r="104" spans="1:53" s="315" customFormat="1" ht="13.4"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5" customHeight="1">
      <c r="B105" s="315" t="str">
        <f>CONCATENATE("DCA HOME Loan Consent Pre-Application Fee ($",'DCA Underwriting Assumptions'!$Q$42, " FP/JV, $",'DCA Underwriting Assumptions'!$Q$43, " NP)")</f>
        <v>DCA HOME Loan Consent Pre-Application Fee ($1000 FP/JV, $500 NP)</v>
      </c>
      <c r="G105" s="3568">
        <v>0</v>
      </c>
      <c r="H105" s="3569"/>
      <c r="J105" s="373"/>
      <c r="K105" s="373"/>
      <c r="L105" s="1050"/>
      <c r="M105" s="373"/>
      <c r="N105" s="373"/>
      <c r="P105" s="373"/>
      <c r="Q105" s="373"/>
      <c r="S105" s="3568"/>
      <c r="T105" s="3569"/>
      <c r="V105" s="1082"/>
      <c r="W105" s="3685"/>
      <c r="X105" s="3686"/>
      <c r="Y105" s="3802" t="s">
        <v>6711</v>
      </c>
      <c r="AA105" s="414" t="s">
        <v>6654</v>
      </c>
      <c r="AB105" s="185"/>
      <c r="AC105" s="185"/>
      <c r="AD105" s="2604" t="str">
        <f>'Part V-Revenues &amp; Expenses'!$O$53</f>
        <v>40% of Units at 60% of AMI</v>
      </c>
      <c r="AE105" s="2602"/>
      <c r="AF105" s="2602"/>
      <c r="AZ105" s="2661"/>
      <c r="BA105" s="2246">
        <v>105</v>
      </c>
    </row>
    <row r="106" spans="1:53" s="315" customFormat="1" ht="12.65" customHeight="1">
      <c r="B106" s="315" t="str">
        <f>CONCATENATE("Tax Credit Application Fee ($",'DCA Underwriting Assumptions'!$Q$48, " ForProf/JntVent, $",'DCA Underwriting Assumptions'!$Q$49, " NonProf)")</f>
        <v>Tax Credit Application Fee ($6500 ForProf/JntVent, $5500 NonProf)</v>
      </c>
      <c r="G106" s="3556">
        <v>5500</v>
      </c>
      <c r="H106" s="3557"/>
      <c r="J106" s="373"/>
      <c r="K106" s="373"/>
      <c r="L106" s="380"/>
      <c r="M106" s="373"/>
      <c r="N106" s="373"/>
      <c r="P106" s="373"/>
      <c r="Q106" s="373"/>
      <c r="S106" s="3556">
        <v>5500</v>
      </c>
      <c r="T106" s="3557"/>
      <c r="V106" s="1082"/>
      <c r="W106" s="3685"/>
      <c r="X106" s="3686"/>
      <c r="Y106" s="3802"/>
      <c r="AA106" s="2606" t="s">
        <v>3154</v>
      </c>
      <c r="AB106" s="2606"/>
      <c r="AC106" s="2606"/>
      <c r="AD106" s="2607">
        <f>'Part V-Revenues &amp; Expenses'!$P$67</f>
        <v>60</v>
      </c>
      <c r="AZ106" s="2661" t="s">
        <v>6391</v>
      </c>
      <c r="BA106" s="2246">
        <v>106</v>
      </c>
    </row>
    <row r="107" spans="1:53" s="315" customFormat="1" ht="12.65" customHeight="1">
      <c r="B107" s="315" t="s">
        <v>3321</v>
      </c>
      <c r="G107" s="3556"/>
      <c r="H107" s="3557"/>
      <c r="J107" s="373"/>
      <c r="K107" s="373"/>
      <c r="L107" s="380"/>
      <c r="M107" s="373"/>
      <c r="N107" s="373"/>
      <c r="O107" s="1041"/>
      <c r="P107" s="373"/>
      <c r="Q107" s="373"/>
      <c r="S107" s="3556"/>
      <c r="T107" s="3557"/>
      <c r="V107" s="1082"/>
      <c r="W107" s="3685"/>
      <c r="X107" s="3686"/>
      <c r="Y107" s="3802"/>
      <c r="Z107" s="2603"/>
      <c r="AA107" s="2608" t="s">
        <v>6716</v>
      </c>
      <c r="AB107" s="185"/>
      <c r="AC107" s="185"/>
      <c r="AD107" s="185"/>
      <c r="AF107" s="2613" t="s">
        <v>6717</v>
      </c>
      <c r="AZ107" s="2661" t="s">
        <v>6392</v>
      </c>
      <c r="BA107" s="2246">
        <v>107</v>
      </c>
    </row>
    <row r="108" spans="1:53" s="315" customFormat="1" ht="12.65" customHeight="1">
      <c r="B108" s="315" t="s">
        <v>486</v>
      </c>
      <c r="E108" s="3765">
        <f>ROUNDUP('DCA Underwriting Assumptions'!$Q$53*J191,0)</f>
        <v>80000</v>
      </c>
      <c r="F108" s="3766"/>
      <c r="G108" s="3556">
        <v>83000</v>
      </c>
      <c r="H108" s="3557"/>
      <c r="J108" s="969" t="str">
        <f>IF(E108&gt;G108,"WARNING!  LIHTC Allocation Fee proposed is below minimum required.","")</f>
        <v/>
      </c>
      <c r="K108" s="373"/>
      <c r="L108" s="1050"/>
      <c r="M108" s="373"/>
      <c r="N108" s="373"/>
      <c r="O108" s="1041"/>
      <c r="P108" s="373"/>
      <c r="Q108" s="373"/>
      <c r="S108" s="3556">
        <v>83000</v>
      </c>
      <c r="T108" s="3557"/>
      <c r="V108" s="1082"/>
      <c r="W108" s="3685"/>
      <c r="X108" s="3686"/>
      <c r="Y108" s="3802"/>
      <c r="Z108" s="2603"/>
      <c r="AA108" s="185" t="s">
        <v>6712</v>
      </c>
      <c r="AB108" s="185"/>
      <c r="AC108" s="185"/>
      <c r="AD108" s="2609">
        <f>'Part V-Revenues &amp; Expenses'!P136+'Part V-Revenues &amp; Expenses'!P137</f>
        <v>0</v>
      </c>
      <c r="AF108" s="2611">
        <f>AD108*'DCA Underwriting Assumptions'!$Q$60</f>
        <v>0</v>
      </c>
      <c r="AZ108" s="2661" t="s">
        <v>6393</v>
      </c>
      <c r="BA108" s="2246">
        <v>108</v>
      </c>
    </row>
    <row r="109" spans="1:53" s="315" customFormat="1" ht="12.65" customHeight="1">
      <c r="B109" s="315" t="s">
        <v>702</v>
      </c>
      <c r="E109" s="3765">
        <f>AF111+AF115</f>
        <v>48000</v>
      </c>
      <c r="F109" s="3766"/>
      <c r="G109" s="3556">
        <v>48000</v>
      </c>
      <c r="H109" s="3557"/>
      <c r="I109" s="3799" t="str">
        <f>IF(E109&gt;G109,"WARNING!  LIHTC Compliance Fee proposed is below minimum required.","")</f>
        <v/>
      </c>
      <c r="J109" s="3800"/>
      <c r="K109" s="3800"/>
      <c r="L109" s="3800"/>
      <c r="M109" s="3800"/>
      <c r="N109" s="3800"/>
      <c r="O109" s="3800"/>
      <c r="P109" s="3800"/>
      <c r="Q109" s="3800"/>
      <c r="R109" s="3801"/>
      <c r="S109" s="3556">
        <v>48000</v>
      </c>
      <c r="T109" s="3557"/>
      <c r="V109" s="1082"/>
      <c r="W109" s="3685"/>
      <c r="X109" s="3686"/>
      <c r="Y109" s="3802"/>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5" customHeight="1">
      <c r="B110" s="315" t="s">
        <v>3452</v>
      </c>
      <c r="F110" s="1237"/>
      <c r="G110" s="3556">
        <v>15000</v>
      </c>
      <c r="H110" s="3557"/>
      <c r="I110" s="3799"/>
      <c r="J110" s="3800"/>
      <c r="K110" s="3800"/>
      <c r="L110" s="3800"/>
      <c r="M110" s="3800"/>
      <c r="N110" s="3800"/>
      <c r="O110" s="3800"/>
      <c r="P110" s="3800"/>
      <c r="Q110" s="3800"/>
      <c r="R110" s="3801"/>
      <c r="S110" s="3556"/>
      <c r="T110" s="3557"/>
      <c r="V110" s="1082"/>
      <c r="W110" s="3685"/>
      <c r="X110" s="3686"/>
      <c r="Y110" s="3802"/>
      <c r="AA110" s="185" t="s">
        <v>6713</v>
      </c>
      <c r="AB110" s="185"/>
      <c r="AC110" s="185"/>
      <c r="AD110" s="2609">
        <f>'Part V-Revenues &amp; Expenses'!$P$142+'Part V-Revenues &amp; Expenses'!$P$143</f>
        <v>0</v>
      </c>
      <c r="AF110" s="2611">
        <f>AD110*'DCA Underwriting Assumptions'!$Q$60</f>
        <v>0</v>
      </c>
      <c r="AZ110" s="2661"/>
      <c r="BA110" s="2246">
        <v>110</v>
      </c>
    </row>
    <row r="111" spans="1:53" s="315" customFormat="1" ht="12.65" customHeight="1">
      <c r="B111" s="315" t="s">
        <v>3453</v>
      </c>
      <c r="F111" s="1237">
        <f>ROUNDUP('DCA Underwriting Assumptions'!$Q$88,0)</f>
        <v>3000</v>
      </c>
      <c r="G111" s="3556">
        <v>3000</v>
      </c>
      <c r="H111" s="3557"/>
      <c r="J111" s="181"/>
      <c r="K111" s="181"/>
      <c r="L111" s="181"/>
      <c r="M111" s="181"/>
      <c r="N111" s="181"/>
      <c r="O111" s="181"/>
      <c r="P111" s="181"/>
      <c r="Q111" s="181"/>
      <c r="S111" s="3556"/>
      <c r="T111" s="3557"/>
      <c r="V111" s="1082"/>
      <c r="W111" s="3685"/>
      <c r="X111" s="3686"/>
      <c r="AA111" s="185"/>
      <c r="AB111" s="2598" t="s">
        <v>6714</v>
      </c>
      <c r="AC111" s="185"/>
      <c r="AD111" s="2610">
        <f>SUM(AD108:AD110)</f>
        <v>0</v>
      </c>
      <c r="AF111" s="2612">
        <f>SUM(AF108:AF110)</f>
        <v>0</v>
      </c>
      <c r="AZ111" s="2661"/>
      <c r="BA111" s="2246">
        <v>111</v>
      </c>
    </row>
    <row r="112" spans="1:53" s="315" customFormat="1" ht="12.65" customHeight="1">
      <c r="A112" s="396" t="str">
        <f>IF(AND(G112&gt;0,OR(C112="",C112="&lt;Enter detailed description here; use Comments section if needed&gt;")),"X","")</f>
        <v/>
      </c>
      <c r="B112" s="185" t="s">
        <v>6283</v>
      </c>
      <c r="C112" s="3771" t="s">
        <v>6727</v>
      </c>
      <c r="D112" s="3771"/>
      <c r="E112" s="3771"/>
      <c r="F112" s="3772"/>
      <c r="G112" s="3556"/>
      <c r="H112" s="3557"/>
      <c r="J112" s="181"/>
      <c r="K112" s="181"/>
      <c r="L112" s="181"/>
      <c r="M112" s="181"/>
      <c r="N112" s="181"/>
      <c r="O112" s="181"/>
      <c r="P112" s="181"/>
      <c r="Q112" s="181"/>
      <c r="S112" s="3556"/>
      <c r="T112" s="3557"/>
      <c r="U112" s="395" t="str">
        <f>IF(AND(G112&gt;0,OR(C112="",C112="&lt;Enter detailed description here; use Comments section if needed&gt;")),"NO DESCRIPTION PROVIDED - please enter detailed description in Other box at left; use Comments section below if needed.","")</f>
        <v/>
      </c>
      <c r="V112" s="1082"/>
      <c r="W112" s="3685"/>
      <c r="X112" s="3686"/>
      <c r="AA112" s="2608" t="s">
        <v>6715</v>
      </c>
      <c r="AB112" s="185"/>
      <c r="AC112" s="2311"/>
      <c r="AD112" s="185"/>
      <c r="AF112" s="2611"/>
      <c r="AZ112" s="2661"/>
      <c r="BA112" s="2245">
        <v>112</v>
      </c>
    </row>
    <row r="113" spans="1:53" s="315" customFormat="1" ht="12.65" customHeight="1" thickBot="1">
      <c r="A113" s="396" t="str">
        <f>IF(AND(G113&gt;0,OR(C113="",C113="&lt;Enter detailed description here; use Comments section if needed&gt;")),"X","")</f>
        <v/>
      </c>
      <c r="B113" s="185" t="s">
        <v>6283</v>
      </c>
      <c r="C113" s="3773" t="s">
        <v>6727</v>
      </c>
      <c r="D113" s="3773"/>
      <c r="E113" s="3773"/>
      <c r="F113" s="3774"/>
      <c r="G113" s="3560"/>
      <c r="H113" s="3561"/>
      <c r="J113" s="181"/>
      <c r="K113" s="181"/>
      <c r="L113" s="181"/>
      <c r="M113" s="181"/>
      <c r="N113" s="181"/>
      <c r="O113" s="181"/>
      <c r="P113" s="181"/>
      <c r="Q113" s="181"/>
      <c r="S113" s="3560"/>
      <c r="T113" s="3561"/>
      <c r="U113" s="395" t="str">
        <f>IF(AND(G113&gt;0,OR(C113="",C113="&lt;Enter detailed description here; use Comments section if needed&gt;")),"NO DESCRIPTION PROVIDED - please enter detailed description in Other box at left; use Comments section below if needed.","")</f>
        <v/>
      </c>
      <c r="V113" s="1082"/>
      <c r="W113" s="3687"/>
      <c r="X113" s="3688"/>
      <c r="AA113" s="509" t="s">
        <v>36</v>
      </c>
      <c r="AB113" s="185"/>
      <c r="AC113" s="2311"/>
      <c r="AD113" s="2609">
        <f>'Part V-Revenues &amp; Expenses'!$P$127</f>
        <v>60</v>
      </c>
      <c r="AF113" s="2611">
        <f>IF($AD$105="Income Averaging",AD113*'DCA Underwriting Assumptions'!$Q$58,AD113*'DCA Underwriting Assumptions'!$Q$57)</f>
        <v>48000</v>
      </c>
      <c r="AZ113" s="2661" t="s">
        <v>6394</v>
      </c>
      <c r="BA113" s="2246">
        <v>113</v>
      </c>
    </row>
    <row r="114" spans="1:53" s="315" customFormat="1" ht="12.65" customHeight="1" thickTop="1">
      <c r="F114" s="371" t="s">
        <v>184</v>
      </c>
      <c r="G114" s="3671">
        <f>SUM(G105:G113)</f>
        <v>154500</v>
      </c>
      <c r="H114" s="3672"/>
      <c r="J114" s="373"/>
      <c r="K114" s="373"/>
      <c r="L114" s="1050"/>
      <c r="M114" s="373"/>
      <c r="N114" s="373"/>
      <c r="P114" s="373"/>
      <c r="Q114" s="373"/>
      <c r="S114" s="3671">
        <f>SUM(S105:S113)</f>
        <v>136500</v>
      </c>
      <c r="T114" s="3672"/>
      <c r="V114" s="1084">
        <f>SUM(V105:V113)</f>
        <v>0</v>
      </c>
      <c r="W114" s="3691"/>
      <c r="X114" s="3692"/>
      <c r="AA114" s="509" t="s">
        <v>6487</v>
      </c>
      <c r="AB114" s="185"/>
      <c r="AC114" s="2594"/>
      <c r="AD114" s="2609">
        <f>'Part V-Revenues &amp; Expenses'!$P$138+'Part V-Revenues &amp; Expenses'!$P$139</f>
        <v>0</v>
      </c>
      <c r="AF114" s="2611">
        <f>IF($AD$105="Income Averaging",AD114*'DCA Underwriting Assumptions'!$Q$58,AD114*'DCA Underwriting Assumptions'!$Q$57)</f>
        <v>0</v>
      </c>
      <c r="AZ114" s="2661" t="s">
        <v>6395</v>
      </c>
      <c r="BA114" s="2246">
        <v>114</v>
      </c>
    </row>
    <row r="115" spans="1:53" s="315" customFormat="1" ht="13.4" customHeight="1">
      <c r="B115" s="317" t="s">
        <v>2123</v>
      </c>
      <c r="J115" s="373"/>
      <c r="K115" s="373"/>
      <c r="M115" s="373"/>
      <c r="N115" s="373"/>
      <c r="O115" s="372" t="str">
        <f>B115</f>
        <v>EQUITY COSTS</v>
      </c>
      <c r="P115" s="373"/>
      <c r="Q115" s="373"/>
      <c r="S115" s="373"/>
      <c r="T115" s="373"/>
      <c r="V115" s="1085"/>
      <c r="W115" s="315" t="str">
        <f>B115</f>
        <v>EQUITY COSTS</v>
      </c>
      <c r="AA115" s="185"/>
      <c r="AB115" s="2598" t="s">
        <v>6714</v>
      </c>
      <c r="AC115" s="185"/>
      <c r="AD115" s="2610">
        <f>SUM(AD113:AD114)</f>
        <v>60</v>
      </c>
      <c r="AF115" s="2612">
        <f>SUM(AF113:AF114)</f>
        <v>48000</v>
      </c>
      <c r="AZ115" s="2646"/>
      <c r="BA115" s="2246">
        <v>115</v>
      </c>
    </row>
    <row r="116" spans="1:53" s="315" customFormat="1" ht="12.65" customHeight="1">
      <c r="B116" s="315" t="s">
        <v>267</v>
      </c>
      <c r="G116" s="3568">
        <v>2500</v>
      </c>
      <c r="H116" s="3569"/>
      <c r="J116" s="3762"/>
      <c r="K116" s="3762"/>
      <c r="L116" s="1050"/>
      <c r="M116" s="3762"/>
      <c r="N116" s="3762"/>
      <c r="O116" s="1041"/>
      <c r="P116" s="3762"/>
      <c r="Q116" s="3762"/>
      <c r="S116" s="3568">
        <v>2500</v>
      </c>
      <c r="T116" s="3569"/>
      <c r="V116" s="1082"/>
      <c r="W116" s="3685"/>
      <c r="X116" s="3686"/>
      <c r="AZ116" s="2646"/>
      <c r="BA116" s="2246">
        <v>116</v>
      </c>
    </row>
    <row r="117" spans="1:53" s="315" customFormat="1" ht="12.65" customHeight="1">
      <c r="B117" s="315" t="s">
        <v>268</v>
      </c>
      <c r="G117" s="3556">
        <v>55000</v>
      </c>
      <c r="H117" s="3557"/>
      <c r="J117" s="3762"/>
      <c r="K117" s="3762"/>
      <c r="L117" s="1050"/>
      <c r="M117" s="3762"/>
      <c r="N117" s="3762"/>
      <c r="O117" s="1041"/>
      <c r="P117" s="3762"/>
      <c r="Q117" s="3762"/>
      <c r="S117" s="3556">
        <v>55000</v>
      </c>
      <c r="T117" s="3557"/>
      <c r="V117" s="1082"/>
      <c r="W117" s="3685"/>
      <c r="X117" s="3686"/>
      <c r="AZ117" s="2646"/>
      <c r="BA117" s="2246">
        <v>117</v>
      </c>
    </row>
    <row r="118" spans="1:53" s="315" customFormat="1" ht="12.65" customHeight="1">
      <c r="B118" s="315" t="s">
        <v>2201</v>
      </c>
      <c r="G118" s="3556">
        <v>0</v>
      </c>
      <c r="H118" s="3557"/>
      <c r="J118" s="3762"/>
      <c r="K118" s="3762"/>
      <c r="L118" s="1050"/>
      <c r="M118" s="3762"/>
      <c r="N118" s="3762"/>
      <c r="O118" s="1041"/>
      <c r="P118" s="3762"/>
      <c r="Q118" s="3762"/>
      <c r="S118" s="3556"/>
      <c r="T118" s="3557"/>
      <c r="V118" s="1082"/>
      <c r="W118" s="3685"/>
      <c r="X118" s="3686"/>
      <c r="AZ118" s="2646"/>
      <c r="BA118" s="2246">
        <v>118</v>
      </c>
    </row>
    <row r="119" spans="1:53" s="315" customFormat="1" ht="12.65" customHeight="1" thickBot="1">
      <c r="A119" s="396" t="str">
        <f>IF(AND(G119&gt;0,OR(C119="",C119="&lt;Enter detailed description here; use Comments section if needed&gt;")),"X","")</f>
        <v/>
      </c>
      <c r="B119" s="185" t="s">
        <v>6283</v>
      </c>
      <c r="C119" s="3754" t="s">
        <v>6727</v>
      </c>
      <c r="D119" s="3754"/>
      <c r="E119" s="3754"/>
      <c r="F119" s="3755"/>
      <c r="G119" s="3560"/>
      <c r="H119" s="3561"/>
      <c r="J119" s="3762"/>
      <c r="K119" s="3762"/>
      <c r="L119" s="1050"/>
      <c r="M119" s="3762"/>
      <c r="N119" s="3762"/>
      <c r="O119" s="1041"/>
      <c r="P119" s="3762"/>
      <c r="Q119" s="3762"/>
      <c r="S119" s="3560"/>
      <c r="T119" s="3561"/>
      <c r="U119" s="395" t="str">
        <f>IF(AND(G119&gt;0,OR(C119="",C119="&lt;Enter detailed description here; use Comments section if needed&gt;")),"NO DESCRIPTION PROVIDED - please enter detailed description in Other box at left; use Comments section below if needed.","")</f>
        <v/>
      </c>
      <c r="V119" s="1082"/>
      <c r="W119" s="3687"/>
      <c r="X119" s="3688"/>
      <c r="AZ119" s="2646"/>
      <c r="BA119" s="2246">
        <v>119</v>
      </c>
    </row>
    <row r="120" spans="1:53" s="315" customFormat="1" ht="12.65" customHeight="1" thickTop="1">
      <c r="F120" s="371" t="s">
        <v>184</v>
      </c>
      <c r="G120" s="3671">
        <f>SUM(G116:G119)</f>
        <v>57500</v>
      </c>
      <c r="H120" s="3672"/>
      <c r="J120" s="3762"/>
      <c r="K120" s="3762"/>
      <c r="L120" s="1050"/>
      <c r="M120" s="3762"/>
      <c r="N120" s="3762"/>
      <c r="O120" s="1041"/>
      <c r="P120" s="3762"/>
      <c r="Q120" s="3762"/>
      <c r="S120" s="3671">
        <f>SUM(S116:S119)</f>
        <v>57500</v>
      </c>
      <c r="T120" s="3672"/>
      <c r="V120" s="1084">
        <f>SUM(V116:V119)</f>
        <v>0</v>
      </c>
      <c r="W120" s="3689"/>
      <c r="X120" s="3690"/>
      <c r="AC120" s="3795" t="s">
        <v>3927</v>
      </c>
      <c r="AD120" s="3795" t="s">
        <v>3928</v>
      </c>
      <c r="AE120" s="3797" t="s">
        <v>3931</v>
      </c>
      <c r="AF120" s="3790" t="s">
        <v>3929</v>
      </c>
      <c r="AG120" s="3641" t="s">
        <v>3920</v>
      </c>
      <c r="AH120" s="3632" t="s">
        <v>6748</v>
      </c>
      <c r="AI120" s="3632"/>
      <c r="AZ120" s="2646"/>
      <c r="BA120" s="2246">
        <v>120</v>
      </c>
    </row>
    <row r="121" spans="1:53" s="315" customFormat="1" ht="13.4" customHeight="1">
      <c r="B121" s="1665" t="s">
        <v>269</v>
      </c>
      <c r="E121" s="628" t="s">
        <v>3930</v>
      </c>
      <c r="F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796"/>
      <c r="AD121" s="3796"/>
      <c r="AE121" s="3798"/>
      <c r="AF121" s="3791"/>
      <c r="AG121" s="3641"/>
      <c r="AH121" s="3632"/>
      <c r="AI121" s="3632"/>
      <c r="AK121" s="1641"/>
      <c r="AZ121" s="2646" t="s">
        <v>6396</v>
      </c>
      <c r="BA121" s="2245">
        <v>121</v>
      </c>
    </row>
    <row r="122" spans="1:53" s="315" customFormat="1" ht="12.65" customHeight="1">
      <c r="B122" s="315" t="s">
        <v>1724</v>
      </c>
      <c r="F122" s="422">
        <f>IF($G$127=0,0,G122/$G$127)</f>
        <v>0.10470344827586207</v>
      </c>
      <c r="G122" s="3759">
        <v>167002</v>
      </c>
      <c r="H122" s="3759"/>
      <c r="J122" s="3760">
        <v>167002</v>
      </c>
      <c r="K122" s="3761"/>
      <c r="L122" s="372"/>
      <c r="M122" s="3760"/>
      <c r="N122" s="3761"/>
      <c r="P122" s="3760"/>
      <c r="Q122" s="3761"/>
      <c r="S122" s="3760"/>
      <c r="T122" s="3761"/>
      <c r="V122" s="1082"/>
      <c r="W122" s="3685"/>
      <c r="X122" s="3686"/>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2">
        <f>SUM(AE122:AE124)</f>
        <v>1595000</v>
      </c>
      <c r="AG122" s="3645">
        <f>'DCA Underwriting Assumptions'!$Q$72</f>
        <v>2000000</v>
      </c>
      <c r="AH122" s="3633">
        <f>MIN(AF122,AG122)</f>
        <v>1595000</v>
      </c>
      <c r="AI122" s="3634"/>
      <c r="AZ122" s="2646"/>
      <c r="BA122" s="2246">
        <v>122</v>
      </c>
    </row>
    <row r="123" spans="1:53" s="315" customFormat="1" ht="12.65" customHeight="1">
      <c r="B123" s="315" t="s">
        <v>3414</v>
      </c>
      <c r="F123" s="1216">
        <v>393665</v>
      </c>
      <c r="G123" s="2594" t="s">
        <v>6728</v>
      </c>
      <c r="V123" s="1082"/>
      <c r="W123" s="3685"/>
      <c r="X123" s="3686"/>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3643"/>
      <c r="AG123" s="3646"/>
      <c r="AH123" s="3635"/>
      <c r="AI123" s="3636"/>
      <c r="AZ123" s="2646"/>
      <c r="BA123" s="2246">
        <v>123</v>
      </c>
    </row>
    <row r="124" spans="1:53" s="315" customFormat="1" ht="12.65" customHeight="1">
      <c r="B124" s="315" t="s">
        <v>1725</v>
      </c>
      <c r="F124" s="422">
        <f>IF($G$127=0,0,G124/$G$127)</f>
        <v>0</v>
      </c>
      <c r="G124" s="3568"/>
      <c r="H124" s="3569"/>
      <c r="J124" s="3568"/>
      <c r="K124" s="3569"/>
      <c r="L124" s="1050"/>
      <c r="M124" s="3568"/>
      <c r="N124" s="3569"/>
      <c r="P124" s="3568"/>
      <c r="Q124" s="3569"/>
      <c r="S124" s="3568"/>
      <c r="T124" s="3569"/>
      <c r="V124" s="1082"/>
      <c r="W124" s="3685"/>
      <c r="X124" s="3686"/>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4"/>
      <c r="AG124" s="3647"/>
      <c r="AH124" s="3637"/>
      <c r="AI124" s="3638"/>
      <c r="AZ124" s="2646"/>
      <c r="BA124" s="2246">
        <v>124</v>
      </c>
    </row>
    <row r="125" spans="1:53" s="315" customFormat="1" ht="12.65" customHeight="1">
      <c r="B125" s="315" t="s">
        <v>3166</v>
      </c>
      <c r="F125" s="422">
        <f>IF($G$127=0,0,G125/$G$127)</f>
        <v>0</v>
      </c>
      <c r="G125" s="3556"/>
      <c r="H125" s="3557"/>
      <c r="J125" s="3556"/>
      <c r="K125" s="3557"/>
      <c r="L125" s="1050"/>
      <c r="M125" s="3556"/>
      <c r="N125" s="3557"/>
      <c r="P125" s="3556"/>
      <c r="Q125" s="3557"/>
      <c r="S125" s="3556"/>
      <c r="T125" s="3557"/>
      <c r="V125" s="1082"/>
      <c r="W125" s="3685"/>
      <c r="X125" s="3686"/>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2">
        <f>SUM(AE125:AE127)</f>
        <v>1595000</v>
      </c>
      <c r="AG125" s="3642">
        <f>'DCA Underwriting Assumptions'!$Q$73</f>
        <v>3500000</v>
      </c>
      <c r="AH125" s="3633">
        <f>MIN(AF125,AG125)</f>
        <v>1595000</v>
      </c>
      <c r="AI125" s="3634"/>
      <c r="AZ125" s="2646"/>
      <c r="BA125" s="2246">
        <v>125</v>
      </c>
    </row>
    <row r="126" spans="1:53" s="315" customFormat="1" ht="12.65" customHeight="1" thickBot="1">
      <c r="B126" s="315" t="s">
        <v>1717</v>
      </c>
      <c r="F126" s="422">
        <f>IF($G$127=0,0,G126/$G$127)</f>
        <v>0.89529655172413791</v>
      </c>
      <c r="G126" s="3560">
        <v>1427998</v>
      </c>
      <c r="H126" s="3561"/>
      <c r="J126" s="3560">
        <v>1427998</v>
      </c>
      <c r="K126" s="3561"/>
      <c r="L126" s="1050"/>
      <c r="M126" s="3560"/>
      <c r="N126" s="3561"/>
      <c r="P126" s="3560"/>
      <c r="Q126" s="3561"/>
      <c r="S126" s="3560"/>
      <c r="T126" s="3561"/>
      <c r="V126" s="1082"/>
      <c r="W126" s="3687"/>
      <c r="X126" s="3688"/>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3643"/>
      <c r="AG126" s="3643"/>
      <c r="AH126" s="3635"/>
      <c r="AI126" s="3636"/>
      <c r="AZ126" s="2661"/>
      <c r="BA126" s="2246">
        <v>126</v>
      </c>
    </row>
    <row r="127" spans="1:53" s="315" customFormat="1" ht="12.65" customHeight="1" thickTop="1">
      <c r="A127" s="1656" t="str">
        <f>IF(G127&gt;E127,"DF over limit!  Round down/Enter nbr.","")</f>
        <v/>
      </c>
      <c r="B127" s="2638"/>
      <c r="D127" s="628" t="s">
        <v>3926</v>
      </c>
      <c r="E127" s="2639">
        <f>IF(AF122+AF125=0,"Fill in Rent Chart!",IF(F121="9%",AH122,IF(F121="4%",AH125,"Select App Type!")))</f>
        <v>1595000</v>
      </c>
      <c r="F127" s="371" t="s">
        <v>184</v>
      </c>
      <c r="G127" s="3671">
        <f>SUM(G122:G126)</f>
        <v>1595000</v>
      </c>
      <c r="H127" s="3756"/>
      <c r="J127" s="3671">
        <f>SUM(J122:J126)</f>
        <v>1595000</v>
      </c>
      <c r="K127" s="3756"/>
      <c r="L127" s="1050"/>
      <c r="M127" s="3671">
        <f>SUM(M122:M126)</f>
        <v>0</v>
      </c>
      <c r="N127" s="3756"/>
      <c r="P127" s="3671">
        <f>SUM(P122:P126)</f>
        <v>0</v>
      </c>
      <c r="Q127" s="3756"/>
      <c r="S127" s="3671">
        <f>SUM(S122:S126)</f>
        <v>0</v>
      </c>
      <c r="T127" s="3756"/>
      <c r="V127" s="1084">
        <f>SUM(V122:V126)</f>
        <v>0</v>
      </c>
      <c r="W127" s="3689"/>
      <c r="X127" s="3690"/>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4"/>
      <c r="AG127" s="3644"/>
      <c r="AH127" s="3637"/>
      <c r="AI127" s="3638"/>
      <c r="AZ127" s="2661"/>
      <c r="BA127" s="2246">
        <v>127</v>
      </c>
    </row>
    <row r="128" spans="1:53" s="315" customFormat="1" ht="13.4"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5" customHeight="1">
      <c r="B129" s="315" t="s">
        <v>241</v>
      </c>
      <c r="G129" s="3568">
        <v>25000</v>
      </c>
      <c r="H129" s="3569"/>
      <c r="J129" s="381"/>
      <c r="K129" s="381"/>
      <c r="L129" s="381"/>
      <c r="M129" s="381"/>
      <c r="N129" s="381"/>
      <c r="P129" s="381"/>
      <c r="Q129" s="381"/>
      <c r="S129" s="3568">
        <v>25000</v>
      </c>
      <c r="T129" s="3569"/>
      <c r="V129" s="1082"/>
      <c r="W129" s="3685"/>
      <c r="X129" s="3686"/>
      <c r="Z129" s="1652"/>
      <c r="AB129" s="1633"/>
      <c r="AC129"/>
      <c r="AD129"/>
      <c r="AF129"/>
      <c r="AG129"/>
      <c r="AH129"/>
      <c r="AI129"/>
      <c r="AJ129"/>
      <c r="AK129"/>
      <c r="AZ129" s="2661" t="s">
        <v>6398</v>
      </c>
      <c r="BA129" s="2246">
        <v>129</v>
      </c>
    </row>
    <row r="130" spans="1:53" s="315" customFormat="1" ht="12.65" customHeight="1">
      <c r="B130" s="315" t="s">
        <v>1437</v>
      </c>
      <c r="F130" s="477">
        <f>+'Part V-Revenues &amp; Expenses'!$Q$228*('DCA Underwriting Assumptions'!$Q$87/12)</f>
        <v>108952.25</v>
      </c>
      <c r="G130" s="3556">
        <v>108952</v>
      </c>
      <c r="H130" s="3557"/>
      <c r="J130" s="971" t="str">
        <f>IF(E130&gt;G130,"WARNING! Rent-Up Reserves proposed is below minimum - add comment.","")</f>
        <v/>
      </c>
      <c r="K130" s="971"/>
      <c r="L130" s="1050"/>
      <c r="M130" s="951"/>
      <c r="N130" s="951"/>
      <c r="O130" s="1041"/>
      <c r="P130" s="951"/>
      <c r="Q130" s="951"/>
      <c r="R130" s="1041"/>
      <c r="S130" s="3556">
        <v>124520</v>
      </c>
      <c r="T130" s="3557"/>
      <c r="V130" s="1082"/>
      <c r="W130" s="3685"/>
      <c r="X130" s="3686"/>
      <c r="Y130" s="27"/>
      <c r="Z130" s="1653"/>
      <c r="AB130" s="1632"/>
      <c r="AD130"/>
      <c r="AG130"/>
      <c r="AH130"/>
      <c r="AI130"/>
      <c r="AZ130" s="2661"/>
      <c r="BA130" s="2245">
        <v>130</v>
      </c>
    </row>
    <row r="131" spans="1:53" s="315" customFormat="1" ht="12.65" customHeight="1">
      <c r="B131" s="315" t="s">
        <v>632</v>
      </c>
      <c r="F131" s="477">
        <f>'Part V-Revenues &amp; Expenses'!$Q$228*('DCA Underwriting Assumptions'!$Q$86/12)+('Part VI-Pro Forma'!$B$26+'Part VI-Pro Forma'!$B$27+'Part VI-Pro Forma'!$B$28+'Part VI-Pro Forma'!$B$29)*'DCA Underwriting Assumptions'!$Q$85/(-12)</f>
        <v>286295.6393035326</v>
      </c>
      <c r="G131" s="3556">
        <v>286296</v>
      </c>
      <c r="H131" s="3557"/>
      <c r="J131" s="971" t="str">
        <f>IF(E131&gt;G131,"WARNING! ODR proposed is below minimum - add comment.","")</f>
        <v/>
      </c>
      <c r="K131" s="380"/>
      <c r="L131" s="380"/>
      <c r="M131" s="380"/>
      <c r="N131" s="380"/>
      <c r="O131" s="1041"/>
      <c r="P131" s="380"/>
      <c r="Q131" s="380"/>
      <c r="R131" s="1041"/>
      <c r="S131" s="3556">
        <v>314000</v>
      </c>
      <c r="T131" s="3557"/>
      <c r="V131" s="1082"/>
      <c r="W131" s="3685"/>
      <c r="X131" s="3686"/>
      <c r="Y131" s="27"/>
      <c r="Z131" s="1653"/>
      <c r="AB131" s="1632"/>
      <c r="AD131"/>
      <c r="AG131"/>
      <c r="AH131"/>
      <c r="AI131"/>
      <c r="AZ131" s="2661"/>
      <c r="BA131" s="2246">
        <v>131</v>
      </c>
    </row>
    <row r="132" spans="1:53" s="315" customFormat="1" ht="12.65" customHeight="1">
      <c r="B132" s="315" t="s">
        <v>1171</v>
      </c>
      <c r="G132" s="3556"/>
      <c r="H132" s="3557"/>
      <c r="J132" s="381"/>
      <c r="K132" s="381"/>
      <c r="L132" s="381"/>
      <c r="M132" s="381"/>
      <c r="N132" s="381"/>
      <c r="P132" s="381"/>
      <c r="Q132" s="381"/>
      <c r="S132" s="3556"/>
      <c r="T132" s="3557"/>
      <c r="V132" s="1082"/>
      <c r="W132" s="3685"/>
      <c r="X132" s="3686"/>
      <c r="AZ132" s="2661" t="s">
        <v>6399</v>
      </c>
      <c r="BA132" s="2246">
        <v>132</v>
      </c>
    </row>
    <row r="133" spans="1:53" s="315" customFormat="1" ht="12.65" customHeight="1">
      <c r="B133" s="315" t="s">
        <v>1172</v>
      </c>
      <c r="E133" s="840" t="s">
        <v>3140</v>
      </c>
      <c r="F133" s="477">
        <f>IF('Part V-Revenues &amp; Expenses'!$P$67=0,0,G133/'Part V-Revenues &amp; Expenses'!$P$67)</f>
        <v>3000</v>
      </c>
      <c r="G133" s="3556">
        <f>150000+30000</f>
        <v>180000</v>
      </c>
      <c r="H133" s="3557"/>
      <c r="J133" s="3568">
        <v>180000</v>
      </c>
      <c r="K133" s="3569"/>
      <c r="L133" s="1050"/>
      <c r="M133" s="3568"/>
      <c r="N133" s="3569"/>
      <c r="P133" s="3568"/>
      <c r="Q133" s="3569"/>
      <c r="S133" s="3556"/>
      <c r="T133" s="3557"/>
      <c r="V133" s="1082"/>
      <c r="W133" s="3685"/>
      <c r="X133" s="3686"/>
      <c r="AZ133" s="2661" t="s">
        <v>6400</v>
      </c>
      <c r="BA133" s="2246">
        <v>133</v>
      </c>
    </row>
    <row r="134" spans="1:53" s="315" customFormat="1" ht="12.65" customHeight="1" thickBot="1">
      <c r="A134" s="396" t="str">
        <f>IF(AND(G134&gt;0,OR(C134="",C134="&lt;Enter detailed description here; use Comments section if needed&gt;")),"X","")</f>
        <v/>
      </c>
      <c r="B134" s="185" t="s">
        <v>6283</v>
      </c>
      <c r="C134" s="3754" t="s">
        <v>6727</v>
      </c>
      <c r="D134" s="3754"/>
      <c r="E134" s="3754"/>
      <c r="F134" s="3755"/>
      <c r="G134" s="3560"/>
      <c r="H134" s="3561"/>
      <c r="J134" s="3757"/>
      <c r="K134" s="3758"/>
      <c r="L134" s="1050"/>
      <c r="M134" s="3560"/>
      <c r="N134" s="3561"/>
      <c r="P134" s="3560"/>
      <c r="Q134" s="3561"/>
      <c r="S134" s="3560"/>
      <c r="T134" s="3561"/>
      <c r="U134" s="395" t="str">
        <f>IF(AND(G134&gt;0,OR(C134="",C134="&lt;Enter detailed description here; use Comments section if needed&gt;")),"NO DESCRIPTION PROVIDED - please enter detailed description in Other box at left; use Comments section below if needed.","")</f>
        <v/>
      </c>
      <c r="V134" s="1082"/>
      <c r="W134" s="3687"/>
      <c r="X134" s="3688"/>
      <c r="AZ134" s="2661"/>
      <c r="BA134" s="2246">
        <v>134</v>
      </c>
    </row>
    <row r="135" spans="1:53" s="315" customFormat="1" ht="12.65" customHeight="1" thickTop="1">
      <c r="B135" s="382"/>
      <c r="F135" s="371" t="s">
        <v>184</v>
      </c>
      <c r="G135" s="3671">
        <f>SUM(G129:G134)</f>
        <v>600248</v>
      </c>
      <c r="H135" s="3672"/>
      <c r="J135" s="3671">
        <f>SUM(J133:J134)</f>
        <v>180000</v>
      </c>
      <c r="K135" s="3672"/>
      <c r="L135" s="1050"/>
      <c r="M135" s="3671">
        <f>SUM(M133:M134)</f>
        <v>0</v>
      </c>
      <c r="N135" s="3672"/>
      <c r="P135" s="3671">
        <f>SUM(P133:P134)</f>
        <v>0</v>
      </c>
      <c r="Q135" s="3672"/>
      <c r="S135" s="3671">
        <f>SUM(S129:S134)</f>
        <v>463520</v>
      </c>
      <c r="T135" s="3672"/>
      <c r="V135" s="1084">
        <f>SUM(V129:V134)</f>
        <v>0</v>
      </c>
      <c r="W135" s="3689"/>
      <c r="X135" s="3690"/>
      <c r="AZ135" s="2661"/>
      <c r="BA135" s="2246">
        <v>135</v>
      </c>
    </row>
    <row r="136" spans="1:53" s="315" customFormat="1" ht="3" customHeight="1">
      <c r="I136" s="383"/>
      <c r="L136" s="383"/>
      <c r="V136" s="1085"/>
      <c r="AZ136" s="2661"/>
      <c r="BA136" s="2246">
        <v>136</v>
      </c>
    </row>
    <row r="137" spans="1:53" s="315" customFormat="1" ht="3.65"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48" t="s">
        <v>259</v>
      </c>
      <c r="K139" s="3649"/>
      <c r="L139" s="370"/>
      <c r="M139" s="3767" t="s">
        <v>460</v>
      </c>
      <c r="N139" s="3768"/>
      <c r="P139" s="3648" t="s">
        <v>260</v>
      </c>
      <c r="Q139" s="3649"/>
      <c r="S139" s="3648" t="s">
        <v>261</v>
      </c>
      <c r="T139" s="3649"/>
      <c r="V139" s="450" t="str">
        <f>B139</f>
        <v>DEVELOPMENT BUDGET  (cont'd)</v>
      </c>
      <c r="AZ139" s="2661"/>
      <c r="BA139" s="2246">
        <v>139</v>
      </c>
    </row>
    <row r="140" spans="1:53" s="315" customFormat="1" ht="18" customHeight="1" thickBot="1">
      <c r="G140" s="3763" t="s">
        <v>95</v>
      </c>
      <c r="H140" s="3764"/>
      <c r="J140" s="3650"/>
      <c r="K140" s="3651"/>
      <c r="L140" s="370"/>
      <c r="M140" s="3769"/>
      <c r="N140" s="3770"/>
      <c r="P140" s="3650"/>
      <c r="Q140" s="3651"/>
      <c r="S140" s="3650"/>
      <c r="T140" s="3651"/>
      <c r="V140" s="342" t="s">
        <v>2449</v>
      </c>
      <c r="X140" s="342"/>
      <c r="AZ140" s="2661"/>
      <c r="BA140" s="2246">
        <v>140</v>
      </c>
    </row>
    <row r="141" spans="1:53" s="315" customFormat="1" ht="13.4"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5" customHeight="1">
      <c r="B142" s="315" t="s">
        <v>569</v>
      </c>
      <c r="C142" s="1034"/>
      <c r="G142" s="3568"/>
      <c r="H142" s="3569"/>
      <c r="J142" s="3568"/>
      <c r="K142" s="3569"/>
      <c r="L142" s="372"/>
      <c r="M142" s="3568"/>
      <c r="N142" s="3569"/>
      <c r="P142" s="3568"/>
      <c r="Q142" s="3569"/>
      <c r="S142" s="3568"/>
      <c r="T142" s="3569"/>
      <c r="V142" s="1082"/>
      <c r="W142" s="3685"/>
      <c r="X142" s="3686"/>
      <c r="AZ142" s="2661"/>
      <c r="BA142" s="2246">
        <v>142</v>
      </c>
    </row>
    <row r="143" spans="1:53" s="315" customFormat="1" ht="12.65" customHeight="1" thickBot="1">
      <c r="A143" s="396" t="str">
        <f>IF(AND(G143&gt;0,OR(C143="",C143="&lt;Enter detailed description here; use Comments section if needed&gt;")),"X","")</f>
        <v/>
      </c>
      <c r="B143" s="185" t="s">
        <v>6283</v>
      </c>
      <c r="C143" s="3754" t="s">
        <v>6727</v>
      </c>
      <c r="D143" s="3754"/>
      <c r="E143" s="3754"/>
      <c r="F143" s="3755"/>
      <c r="G143" s="3560"/>
      <c r="H143" s="3561"/>
      <c r="J143" s="3560"/>
      <c r="K143" s="3561"/>
      <c r="L143" s="1050"/>
      <c r="M143" s="3560"/>
      <c r="N143" s="3561"/>
      <c r="P143" s="3560"/>
      <c r="Q143" s="3561"/>
      <c r="S143" s="3560"/>
      <c r="T143" s="3561"/>
      <c r="U143" s="395" t="str">
        <f>IF(AND(G143&gt;0,OR(C143="",C143="&lt;Enter detailed description here; use Comments section if needed&gt;")),"NO DESCRIPTION PROVIDED - please enter detailed description in Other box at left; use Comments section below if needed.","")</f>
        <v/>
      </c>
      <c r="V143" s="1082"/>
      <c r="W143" s="3687"/>
      <c r="X143" s="3688"/>
      <c r="AZ143" s="2661"/>
      <c r="BA143" s="2246">
        <v>143</v>
      </c>
    </row>
    <row r="144" spans="1:53" s="315" customFormat="1" ht="12.65" customHeight="1" thickTop="1">
      <c r="C144" s="1034"/>
      <c r="F144" s="371" t="s">
        <v>184</v>
      </c>
      <c r="G144" s="3671">
        <f>SUM(G142:G143)</f>
        <v>0</v>
      </c>
      <c r="H144" s="3672"/>
      <c r="J144" s="3671">
        <f>SUM(J142:J143)</f>
        <v>0</v>
      </c>
      <c r="K144" s="3672"/>
      <c r="L144" s="1050"/>
      <c r="M144" s="3671">
        <f>SUM(M142:M143)</f>
        <v>0</v>
      </c>
      <c r="N144" s="3672"/>
      <c r="P144" s="3671">
        <f>SUM(P142:P143)</f>
        <v>0</v>
      </c>
      <c r="Q144" s="3672"/>
      <c r="S144" s="3671">
        <f>SUM(S142:S143)</f>
        <v>0</v>
      </c>
      <c r="T144" s="3672"/>
      <c r="V144" s="1084">
        <f>SUM(V142:V143)</f>
        <v>0</v>
      </c>
      <c r="W144" s="3689"/>
      <c r="X144" s="3690"/>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656">
        <f>G18+G24+G28+G36+G41+G46+G55+G73+G86+G92+G103+G114+G120+G127+G135+G144</f>
        <v>17043481.5</v>
      </c>
      <c r="H146" s="3657"/>
      <c r="J146" s="3656">
        <f>J18+J24+J28+J36+J41+J46+J55+J73+J86+J92+J103+J114+J120+J127+J135+J144</f>
        <v>14909631.5</v>
      </c>
      <c r="K146" s="3657"/>
      <c r="M146" s="3656">
        <f>M18+M24+M28+M36+M41+M46+M55+M73+M86+M92+M103+M114+M120+M127+M135+M144</f>
        <v>0</v>
      </c>
      <c r="N146" s="3657"/>
      <c r="P146" s="3656">
        <f>P18+P24+P28+P36+P41+P46+P55+P73+P86+P92+P103+P114+P120+P127+P135+P144</f>
        <v>0</v>
      </c>
      <c r="Q146" s="3657"/>
      <c r="S146" s="3656">
        <f>S18+S24+S28+S36+S41+S46+S55+S73+S86+S92+S103+S114+S120+S127+S135+S144</f>
        <v>2149122</v>
      </c>
      <c r="T146" s="3657"/>
      <c r="V146" s="1088">
        <f>V18+V24+V28+V36+V41+V46+V55+V73+V86+V92+V103+V114+V120+V127+V135+V144</f>
        <v>0</v>
      </c>
      <c r="W146" s="3699"/>
      <c r="X146" s="3690"/>
      <c r="AZ146" s="2661"/>
      <c r="BA146" s="2246">
        <v>146</v>
      </c>
    </row>
    <row r="147" spans="1:53" s="315" customFormat="1" ht="12" customHeight="1">
      <c r="C147" s="1034"/>
      <c r="H147" s="378"/>
      <c r="I147" s="378"/>
      <c r="L147" s="1041"/>
      <c r="V147" s="1085"/>
      <c r="AZ147" s="2661"/>
      <c r="BA147" s="2246">
        <v>147</v>
      </c>
    </row>
    <row r="148" spans="1:53" s="315" customFormat="1" ht="14.15" customHeight="1">
      <c r="B148" s="514" t="s">
        <v>2490</v>
      </c>
      <c r="C148" s="512"/>
      <c r="D148" s="3668">
        <f>IF('Part V-Revenues &amp; Expenses'!$P$67=0,0,G146/'Part V-Revenues &amp; Expenses'!$P$67)</f>
        <v>284058.02500000002</v>
      </c>
      <c r="E148" s="3668"/>
      <c r="F148" s="513" t="s">
        <v>2489</v>
      </c>
      <c r="G148" s="3669">
        <f>IF('Part V-Revenues &amp; Expenses'!$K$175=0,0,G146/'Part V-Revenues &amp; Expenses'!$K$175)</f>
        <v>336.16334319526629</v>
      </c>
      <c r="H148" s="3670"/>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5" customHeight="1">
      <c r="A150" s="449" t="s">
        <v>689</v>
      </c>
      <c r="B150" s="451" t="s">
        <v>1342</v>
      </c>
      <c r="C150" s="862"/>
      <c r="D150" s="1050"/>
      <c r="E150" s="1050"/>
      <c r="F150" s="1050"/>
      <c r="G150" s="1041"/>
      <c r="H150" s="1041"/>
      <c r="I150" s="385"/>
      <c r="J150" s="3648" t="s">
        <v>259</v>
      </c>
      <c r="K150" s="3649"/>
      <c r="M150" s="3648" t="s">
        <v>94</v>
      </c>
      <c r="N150" s="3649"/>
      <c r="P150" s="3648" t="s">
        <v>260</v>
      </c>
      <c r="Q150" s="3649"/>
      <c r="V150" s="1085"/>
      <c r="W150" s="450" t="str">
        <f>B150</f>
        <v>TAX CREDIT CALCULATION - BASIS METHOD</v>
      </c>
      <c r="AZ150" s="2661"/>
      <c r="BA150" s="2246">
        <v>150</v>
      </c>
    </row>
    <row r="151" spans="1:53" s="315" customFormat="1" ht="15" customHeight="1" thickBot="1">
      <c r="B151" s="321" t="s">
        <v>1895</v>
      </c>
      <c r="D151" s="1050"/>
      <c r="E151" s="1050"/>
      <c r="I151" s="385"/>
      <c r="J151" s="3650"/>
      <c r="K151" s="3651"/>
      <c r="L151" s="862"/>
      <c r="M151" s="3650"/>
      <c r="N151" s="3651"/>
      <c r="P151" s="3650"/>
      <c r="Q151" s="3651"/>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5" customHeight="1">
      <c r="B153" s="1034" t="s">
        <v>138</v>
      </c>
      <c r="D153" s="1041"/>
      <c r="E153" s="1041"/>
      <c r="F153" s="1041"/>
      <c r="G153" s="1041"/>
      <c r="H153" s="1041"/>
      <c r="I153" s="385"/>
      <c r="J153" s="3652">
        <v>0</v>
      </c>
      <c r="K153" s="3653"/>
      <c r="P153" s="3652">
        <v>0</v>
      </c>
      <c r="Q153" s="3653"/>
      <c r="V153" s="1082"/>
      <c r="W153" s="3685"/>
      <c r="X153" s="3686"/>
      <c r="AZ153" s="2661"/>
      <c r="BA153" s="2246">
        <v>153</v>
      </c>
    </row>
    <row r="154" spans="1:53" s="315" customFormat="1" ht="14.15" customHeight="1">
      <c r="B154" s="1041" t="s">
        <v>1999</v>
      </c>
      <c r="D154" s="1041"/>
      <c r="E154" s="1041"/>
      <c r="F154" s="1041"/>
      <c r="G154" s="1041"/>
      <c r="H154" s="1041"/>
      <c r="I154" s="385"/>
      <c r="J154" s="3654">
        <v>0</v>
      </c>
      <c r="K154" s="3655"/>
      <c r="P154" s="3654">
        <v>0</v>
      </c>
      <c r="Q154" s="3655"/>
      <c r="V154" s="1082"/>
      <c r="W154" s="3685"/>
      <c r="X154" s="3686"/>
      <c r="AZ154" s="2661"/>
      <c r="BA154" s="2246">
        <v>154</v>
      </c>
    </row>
    <row r="155" spans="1:53" s="315" customFormat="1" ht="14.15" customHeight="1">
      <c r="B155" s="1041" t="s">
        <v>1727</v>
      </c>
      <c r="D155" s="1041"/>
      <c r="E155" s="1041"/>
      <c r="I155" s="385"/>
      <c r="J155" s="3654">
        <v>0</v>
      </c>
      <c r="K155" s="3655"/>
      <c r="P155" s="3654">
        <v>0</v>
      </c>
      <c r="Q155" s="3655"/>
      <c r="V155" s="1082"/>
      <c r="W155" s="3685"/>
      <c r="X155" s="3686"/>
      <c r="AZ155" s="2661"/>
      <c r="BA155" s="2246">
        <v>155</v>
      </c>
    </row>
    <row r="156" spans="1:53" s="315" customFormat="1" ht="14.15" customHeight="1">
      <c r="B156" s="1041" t="s">
        <v>1728</v>
      </c>
      <c r="D156" s="1041"/>
      <c r="E156" s="1041"/>
      <c r="I156" s="385"/>
      <c r="J156" s="3654">
        <v>0</v>
      </c>
      <c r="K156" s="3655"/>
      <c r="P156" s="3654">
        <v>0</v>
      </c>
      <c r="Q156" s="3655"/>
      <c r="V156" s="1082"/>
      <c r="W156" s="3685"/>
      <c r="X156" s="3686"/>
      <c r="AZ156" s="2661"/>
      <c r="BA156" s="2246">
        <v>156</v>
      </c>
    </row>
    <row r="157" spans="1:53" s="315" customFormat="1" ht="14.15" customHeight="1">
      <c r="B157" s="1041" t="s">
        <v>243</v>
      </c>
      <c r="D157" s="1041"/>
      <c r="E157" s="1041"/>
      <c r="I157" s="385"/>
      <c r="J157" s="3654">
        <v>0</v>
      </c>
      <c r="K157" s="3655"/>
      <c r="P157" s="3654">
        <v>0</v>
      </c>
      <c r="Q157" s="3655"/>
      <c r="V157" s="1082"/>
      <c r="W157" s="3685"/>
      <c r="X157" s="3686"/>
      <c r="AZ157" s="2661"/>
      <c r="BA157" s="2246">
        <v>157</v>
      </c>
    </row>
    <row r="158" spans="1:53" s="315" customFormat="1" ht="14.15" customHeight="1" thickBot="1">
      <c r="B158" s="1041" t="s">
        <v>1497</v>
      </c>
      <c r="C158" s="3639" t="s">
        <v>2225</v>
      </c>
      <c r="D158" s="3639"/>
      <c r="E158" s="3639"/>
      <c r="F158" s="3639"/>
      <c r="G158" s="3639"/>
      <c r="H158" s="3639"/>
      <c r="I158" s="3640"/>
      <c r="J158" s="3752">
        <v>0</v>
      </c>
      <c r="K158" s="3753"/>
      <c r="P158" s="3752">
        <v>0</v>
      </c>
      <c r="Q158" s="3753"/>
      <c r="V158" s="1082"/>
      <c r="W158" s="3687"/>
      <c r="X158" s="3688"/>
      <c r="AZ158" s="2661"/>
      <c r="BA158" s="2246">
        <v>158</v>
      </c>
    </row>
    <row r="159" spans="1:53" s="315" customFormat="1" ht="14.15" customHeight="1" thickBot="1">
      <c r="B159" s="326" t="s">
        <v>1729</v>
      </c>
      <c r="C159" s="329"/>
      <c r="J159" s="3506">
        <f>SUM(J153:K158)</f>
        <v>0</v>
      </c>
      <c r="K159" s="3507"/>
      <c r="P159" s="3506">
        <f>SUM(P153:Q158)</f>
        <v>0</v>
      </c>
      <c r="Q159" s="3507"/>
      <c r="V159" s="1084">
        <f>SUM(V153:V158)</f>
        <v>0</v>
      </c>
      <c r="W159" s="3689"/>
      <c r="X159" s="3690"/>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5" customHeight="1">
      <c r="B162" s="315" t="s">
        <v>1666</v>
      </c>
      <c r="J162" s="3714">
        <f>J146</f>
        <v>14909631.5</v>
      </c>
      <c r="K162" s="3716"/>
      <c r="M162" s="3807">
        <f>M146</f>
        <v>0</v>
      </c>
      <c r="N162" s="3808"/>
      <c r="P162" s="3714">
        <f>P146</f>
        <v>0</v>
      </c>
      <c r="Q162" s="3716"/>
      <c r="R162" s="3674" t="s">
        <v>3776</v>
      </c>
      <c r="S162" s="3675"/>
      <c r="T162" s="3675"/>
      <c r="V162" s="1082"/>
      <c r="W162" s="3685"/>
      <c r="X162" s="3686"/>
      <c r="AZ162" s="2661"/>
      <c r="BA162" s="2246">
        <v>162</v>
      </c>
    </row>
    <row r="163" spans="1:53" s="315" customFormat="1" ht="14.15" customHeight="1">
      <c r="B163" s="315" t="s">
        <v>2053</v>
      </c>
      <c r="J163" s="3717">
        <f>J159</f>
        <v>0</v>
      </c>
      <c r="K163" s="3719"/>
      <c r="M163" s="3727"/>
      <c r="N163" s="3727"/>
      <c r="P163" s="3717">
        <f>P159</f>
        <v>0</v>
      </c>
      <c r="Q163" s="3719"/>
      <c r="R163" s="3674"/>
      <c r="S163" s="3675"/>
      <c r="T163" s="3675"/>
      <c r="U163" s="1476"/>
      <c r="V163" s="1082"/>
      <c r="W163" s="3685"/>
      <c r="X163" s="3686"/>
      <c r="AZ163" s="2661"/>
      <c r="BA163" s="2246">
        <v>163</v>
      </c>
    </row>
    <row r="164" spans="1:53" s="315" customFormat="1" ht="14.15" customHeight="1">
      <c r="B164" s="315" t="s">
        <v>2054</v>
      </c>
      <c r="J164" s="3717">
        <f>J162-J163</f>
        <v>14909631.5</v>
      </c>
      <c r="K164" s="3719"/>
      <c r="M164" s="3726">
        <f>M162</f>
        <v>0</v>
      </c>
      <c r="N164" s="3728"/>
      <c r="P164" s="3717">
        <f>P162-P163</f>
        <v>0</v>
      </c>
      <c r="Q164" s="3719"/>
      <c r="R164" s="3674"/>
      <c r="S164" s="3675"/>
      <c r="T164" s="3675"/>
      <c r="U164" s="1476"/>
      <c r="V164" s="1082"/>
      <c r="W164" s="3685"/>
      <c r="X164" s="3686"/>
      <c r="AZ164" s="2661"/>
      <c r="BA164" s="2246">
        <v>164</v>
      </c>
    </row>
    <row r="165" spans="1:53" s="315" customFormat="1" ht="14.15" customHeight="1">
      <c r="B165" s="315" t="s">
        <v>1391</v>
      </c>
      <c r="G165" s="1036" t="s">
        <v>1594</v>
      </c>
      <c r="H165" s="3733" t="s">
        <v>1647</v>
      </c>
      <c r="I165" s="3734"/>
      <c r="J165" s="3735">
        <v>1</v>
      </c>
      <c r="K165" s="3736"/>
      <c r="M165" s="3737"/>
      <c r="N165" s="3737"/>
      <c r="P165" s="3735"/>
      <c r="Q165" s="3736"/>
      <c r="R165" s="3676" t="s">
        <v>3207</v>
      </c>
      <c r="S165" s="3677"/>
      <c r="T165" s="3678"/>
      <c r="U165" s="1477"/>
      <c r="V165" s="1082"/>
      <c r="W165" s="3685"/>
      <c r="X165" s="3686"/>
      <c r="AZ165" s="2661"/>
      <c r="BA165" s="2246">
        <v>165</v>
      </c>
    </row>
    <row r="166" spans="1:53" s="315" customFormat="1" ht="14.15" customHeight="1">
      <c r="B166" s="315" t="s">
        <v>1904</v>
      </c>
      <c r="J166" s="3717">
        <f>J164*J165</f>
        <v>14909631.5</v>
      </c>
      <c r="K166" s="3719"/>
      <c r="M166" s="3714">
        <f>+M164</f>
        <v>0</v>
      </c>
      <c r="N166" s="3716"/>
      <c r="P166" s="3717">
        <f>P164*P165</f>
        <v>0</v>
      </c>
      <c r="Q166" s="3719"/>
      <c r="R166" s="3679"/>
      <c r="S166" s="3680"/>
      <c r="T166" s="3681"/>
      <c r="U166" s="1477"/>
      <c r="V166" s="1082"/>
      <c r="W166" s="3685"/>
      <c r="X166" s="3686"/>
      <c r="AZ166" s="2661"/>
      <c r="BA166" s="2246">
        <v>166</v>
      </c>
    </row>
    <row r="167" spans="1:53" s="315" customFormat="1" ht="14.15" customHeight="1">
      <c r="B167" s="315" t="s">
        <v>2340</v>
      </c>
      <c r="J167" s="3738">
        <f>MIN('Part V-Revenues &amp; Expenses'!$P$63/'Part V-Revenues &amp; Expenses'!$P$65,'Part V-Revenues &amp; Expenses'!$P$164/'Part V-Revenues &amp; Expenses'!$P$166)</f>
        <v>0.8666666666666667</v>
      </c>
      <c r="K167" s="3739"/>
      <c r="M167" s="3738">
        <f>MIN('Part V-Revenues &amp; Expenses'!$P$63/'Part V-Revenues &amp; Expenses'!$P$65,'Part V-Revenues &amp; Expenses'!$P$164/'Part V-Revenues &amp; Expenses'!$P$166)</f>
        <v>0.8666666666666667</v>
      </c>
      <c r="N167" s="3739"/>
      <c r="P167" s="3738">
        <f>MIN('Part V-Revenues &amp; Expenses'!$P$63/'Part V-Revenues &amp; Expenses'!$P$65,'Part V-Revenues &amp; Expenses'!$P$164/'Part V-Revenues &amp; Expenses'!$P$166)</f>
        <v>0.8666666666666667</v>
      </c>
      <c r="Q167" s="3739"/>
      <c r="R167" s="3682"/>
      <c r="S167" s="3683"/>
      <c r="T167" s="3684"/>
      <c r="V167" s="1082"/>
      <c r="W167" s="3685"/>
      <c r="X167" s="3686"/>
      <c r="AZ167" s="2661"/>
      <c r="BA167" s="2246">
        <v>167</v>
      </c>
    </row>
    <row r="168" spans="1:53" s="315" customFormat="1" ht="14.15" customHeight="1">
      <c r="B168" s="315" t="s">
        <v>1896</v>
      </c>
      <c r="J168" s="3717">
        <f>J166*J167</f>
        <v>12921680.633333335</v>
      </c>
      <c r="K168" s="3719"/>
      <c r="M168" s="3717">
        <f>M166*M167</f>
        <v>0</v>
      </c>
      <c r="N168" s="3719"/>
      <c r="P168" s="3717">
        <f>P166*P167</f>
        <v>0</v>
      </c>
      <c r="Q168" s="3719"/>
      <c r="V168" s="1082"/>
      <c r="W168" s="3685"/>
      <c r="X168" s="3686"/>
      <c r="AZ168" s="2661"/>
      <c r="BA168" s="2246">
        <v>168</v>
      </c>
    </row>
    <row r="169" spans="1:53" s="315" customFormat="1" ht="14.15" customHeight="1">
      <c r="B169" s="315" t="s">
        <v>1897</v>
      </c>
      <c r="J169" s="3735">
        <v>0.09</v>
      </c>
      <c r="K169" s="3736"/>
      <c r="M169" s="3735"/>
      <c r="N169" s="3736"/>
      <c r="P169" s="3735"/>
      <c r="Q169" s="3736"/>
      <c r="V169" s="1082"/>
      <c r="W169" s="3685"/>
      <c r="X169" s="3686"/>
      <c r="AZ169" s="2661"/>
      <c r="BA169" s="2246">
        <v>169</v>
      </c>
    </row>
    <row r="170" spans="1:53" s="315" customFormat="1" ht="14.15" customHeight="1" thickBot="1">
      <c r="B170" s="315" t="s">
        <v>2341</v>
      </c>
      <c r="J170" s="3740">
        <f>J168*J169</f>
        <v>1162951.257</v>
      </c>
      <c r="K170" s="3741"/>
      <c r="M170" s="3740">
        <f>M168*M169</f>
        <v>0</v>
      </c>
      <c r="N170" s="3741"/>
      <c r="P170" s="3740">
        <f>P168*P169</f>
        <v>0</v>
      </c>
      <c r="Q170" s="3741"/>
      <c r="V170" s="1089"/>
      <c r="W170" s="3687"/>
      <c r="X170" s="3688"/>
      <c r="AZ170" s="2661"/>
      <c r="BA170" s="2246">
        <v>170</v>
      </c>
    </row>
    <row r="171" spans="1:53" s="315" customFormat="1" ht="14.15" customHeight="1" thickBot="1">
      <c r="B171" s="317" t="s">
        <v>1340</v>
      </c>
      <c r="J171" s="3506">
        <f>ROUNDDOWN(J170+M170+P170,0)</f>
        <v>1162951</v>
      </c>
      <c r="K171" s="3706"/>
      <c r="L171" s="3706"/>
      <c r="M171" s="3706"/>
      <c r="N171" s="3706"/>
      <c r="O171" s="3706"/>
      <c r="P171" s="3706"/>
      <c r="Q171" s="3507"/>
      <c r="V171" s="1084"/>
      <c r="W171" s="3691"/>
      <c r="X171" s="3692"/>
      <c r="AZ171" s="2661"/>
      <c r="BA171" s="2246">
        <v>171</v>
      </c>
    </row>
    <row r="172" spans="1:53" s="315" customFormat="1" ht="6" customHeight="1">
      <c r="B172" s="386"/>
      <c r="L172" s="387"/>
      <c r="M172" s="387"/>
      <c r="N172" s="387"/>
      <c r="O172" s="387"/>
      <c r="V172" s="1085"/>
      <c r="AZ172" s="2661"/>
      <c r="BA172" s="2246">
        <v>172</v>
      </c>
    </row>
    <row r="173" spans="1:53" s="315" customFormat="1" ht="14.15"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2"/>
      <c r="P174" s="3742"/>
      <c r="Q174" s="3742"/>
      <c r="R174" s="3742"/>
      <c r="S174" s="3742"/>
      <c r="T174" s="3742"/>
      <c r="U174" s="3742"/>
      <c r="V174" s="3742"/>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714">
        <f>G146</f>
        <v>17043481.5</v>
      </c>
      <c r="K176" s="3715"/>
      <c r="L176" s="3716"/>
      <c r="N176" s="3744" t="s">
        <v>6722</v>
      </c>
      <c r="O176" s="3745"/>
      <c r="P176" s="3745"/>
      <c r="Q176" s="3746"/>
      <c r="S176" s="3710" t="s">
        <v>3190</v>
      </c>
      <c r="T176" s="3711"/>
      <c r="V176" s="1082"/>
      <c r="W176" s="3685"/>
      <c r="X176" s="3686"/>
      <c r="AZ176" s="2661"/>
      <c r="BA176" s="2246">
        <v>176</v>
      </c>
    </row>
    <row r="177" spans="1:53" s="315" customFormat="1" ht="14.15" customHeight="1">
      <c r="B177" s="315" t="s">
        <v>252</v>
      </c>
      <c r="J177" s="3717">
        <f>'Part II-Sources of Funds'!$I$60-'Part II-Sources of Funds'!$I$44-'Part II-Sources of Funds'!$I$45-'Part II-Sources of Funds'!$I$51-'Part II-Sources of Funds'!$I$52</f>
        <v>2210100</v>
      </c>
      <c r="K177" s="3718"/>
      <c r="L177" s="3719"/>
      <c r="M177" s="2663"/>
      <c r="N177" s="3747"/>
      <c r="O177" s="3675"/>
      <c r="P177" s="3675"/>
      <c r="Q177" s="3748"/>
      <c r="S177" s="3712"/>
      <c r="T177" s="3713"/>
      <c r="V177" s="1082"/>
      <c r="W177" s="3685"/>
      <c r="X177" s="3686"/>
      <c r="AZ177" s="2661"/>
      <c r="BA177" s="2246">
        <v>177</v>
      </c>
    </row>
    <row r="178" spans="1:53" s="315" customFormat="1" ht="14.15" customHeight="1">
      <c r="B178" s="315" t="s">
        <v>2065</v>
      </c>
      <c r="J178" s="3720">
        <f>+J176-J177</f>
        <v>14833381.5</v>
      </c>
      <c r="K178" s="3721"/>
      <c r="L178" s="3722"/>
      <c r="M178" s="2663"/>
      <c r="N178" s="3749"/>
      <c r="O178" s="3750"/>
      <c r="P178" s="3750"/>
      <c r="Q178" s="3751"/>
      <c r="S178" s="3712"/>
      <c r="T178" s="3713"/>
      <c r="V178" s="1082"/>
      <c r="W178" s="3685"/>
      <c r="X178" s="3686"/>
      <c r="AZ178" s="2661"/>
      <c r="BA178" s="2246">
        <v>178</v>
      </c>
    </row>
    <row r="179" spans="1:53" s="315" customFormat="1" ht="14.15" customHeight="1" thickBot="1">
      <c r="B179" s="315" t="s">
        <v>1210</v>
      </c>
      <c r="J179" s="3531" t="str">
        <f>"/ 10"</f>
        <v>/ 10</v>
      </c>
      <c r="K179" s="3531"/>
      <c r="L179" s="3531"/>
      <c r="M179" s="1070"/>
      <c r="N179" s="3723">
        <f>'Part II-Sources of Funds'!$I$44</f>
        <v>0</v>
      </c>
      <c r="O179" s="3724"/>
      <c r="P179" s="3724"/>
      <c r="Q179" s="3725"/>
      <c r="S179" s="432" t="s">
        <v>1549</v>
      </c>
      <c r="T179" s="433"/>
      <c r="V179" s="1082"/>
      <c r="W179" s="3685"/>
      <c r="X179" s="3686"/>
      <c r="AZ179" s="2661"/>
      <c r="BA179" s="2246">
        <v>179</v>
      </c>
    </row>
    <row r="180" spans="1:53" s="315" customFormat="1" ht="14.15" customHeight="1">
      <c r="B180" s="315" t="s">
        <v>1211</v>
      </c>
      <c r="J180" s="3726">
        <f>J178/10</f>
        <v>1483338.15</v>
      </c>
      <c r="K180" s="3727"/>
      <c r="L180" s="3728"/>
      <c r="M180" s="2615"/>
      <c r="N180" s="487"/>
      <c r="O180" s="487"/>
      <c r="P180" s="487"/>
      <c r="Q180" s="487"/>
      <c r="R180" s="487"/>
      <c r="V180" s="1082"/>
      <c r="W180" s="3685"/>
      <c r="X180" s="3686"/>
      <c r="AZ180" s="2661"/>
      <c r="BA180" s="2246">
        <v>180</v>
      </c>
    </row>
    <row r="181" spans="1:53" s="315" customFormat="1" ht="14.15" customHeight="1">
      <c r="M181" s="332"/>
      <c r="N181" s="3545" t="s">
        <v>1212</v>
      </c>
      <c r="O181" s="3545"/>
      <c r="Q181" s="3545" t="s">
        <v>1672</v>
      </c>
      <c r="R181" s="3545"/>
      <c r="V181" s="1082"/>
      <c r="W181" s="3685"/>
      <c r="X181" s="3686"/>
      <c r="Z181" s="2401" t="s">
        <v>1647</v>
      </c>
      <c r="AZ181" s="2661"/>
      <c r="BA181" s="2246">
        <v>181</v>
      </c>
    </row>
    <row r="182" spans="1:53" s="315" customFormat="1" ht="14.15" customHeight="1" thickBot="1">
      <c r="B182" s="315" t="s">
        <v>1390</v>
      </c>
      <c r="J182" s="3701">
        <f>N182+Q182</f>
        <v>1.4500000000000002</v>
      </c>
      <c r="K182" s="3702"/>
      <c r="L182" s="3703"/>
      <c r="M182" s="1036" t="s">
        <v>1213</v>
      </c>
      <c r="N182" s="3704">
        <v>0.9</v>
      </c>
      <c r="O182" s="3705"/>
      <c r="P182" s="1036" t="s">
        <v>570</v>
      </c>
      <c r="Q182" s="3704">
        <v>0.55000000000000004</v>
      </c>
      <c r="R182" s="3705"/>
      <c r="V182" s="1082"/>
      <c r="W182" s="3685"/>
      <c r="X182" s="3686"/>
      <c r="Z182" s="2402">
        <f>'DCA Underwriting Assumptions'!Q113</f>
        <v>1035000</v>
      </c>
      <c r="AZ182" s="2661"/>
      <c r="BA182" s="2246">
        <v>182</v>
      </c>
    </row>
    <row r="183" spans="1:53" s="315" customFormat="1" ht="14.15" customHeight="1" thickBot="1">
      <c r="B183" s="317" t="s">
        <v>1341</v>
      </c>
      <c r="J183" s="3506">
        <f>ROUNDDOWN(IF(J182=0,"",J180/J182),0)</f>
        <v>1022991</v>
      </c>
      <c r="K183" s="3706"/>
      <c r="L183" s="3507"/>
      <c r="M183" s="332"/>
      <c r="N183" s="1041"/>
      <c r="O183" s="1041"/>
      <c r="V183" s="1082"/>
      <c r="W183" s="3685"/>
      <c r="X183" s="3686"/>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5"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99999999999999" customHeight="1">
      <c r="B187" s="317" t="s">
        <v>6721</v>
      </c>
      <c r="J187" s="3707">
        <v>1000000</v>
      </c>
      <c r="K187" s="3708"/>
      <c r="L187" s="3709"/>
      <c r="Q187" s="2172" t="s">
        <v>6255</v>
      </c>
      <c r="R187" s="185"/>
      <c r="S187" s="3805" t="str">
        <f>'Part VIII Scoring Criteria'!$M$59</f>
        <v>Rural</v>
      </c>
      <c r="T187" s="3806"/>
      <c r="U187" s="2111" t="e">
        <f>IF(OR(S187="Atlanta Metro", "Other Metro"), "Metro", IF(S187="Rural","Rural",""))</f>
        <v>#VALUE!</v>
      </c>
      <c r="V187" s="1082"/>
      <c r="W187" s="3685"/>
      <c r="X187" s="3686"/>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99999999999999" customHeight="1">
      <c r="B189" s="317" t="s">
        <v>4078</v>
      </c>
      <c r="J189" s="3707">
        <v>1000000</v>
      </c>
      <c r="K189" s="3708"/>
      <c r="L189" s="3709"/>
      <c r="M189" s="3743" t="str">
        <f>IF(J187=0,"",IF(J189&gt;J187,"Request can't exceed Maximum - REVISE (Try Round Down)!",""))</f>
        <v/>
      </c>
      <c r="N189" s="3743"/>
      <c r="O189" s="3743"/>
      <c r="P189" s="3743"/>
      <c r="Q189" s="313" t="s">
        <v>6552</v>
      </c>
      <c r="R189" s="509"/>
      <c r="S189" s="3803" t="str">
        <f>'Part VIII Scoring Criteria'!$M$54</f>
        <v>New Supply</v>
      </c>
      <c r="T189" s="3804"/>
      <c r="V189" s="1082"/>
      <c r="W189" s="3685"/>
      <c r="X189" s="3686"/>
      <c r="AZ189" s="2660"/>
      <c r="BA189" s="2246">
        <v>189</v>
      </c>
    </row>
    <row r="190" spans="1:53" s="315" customFormat="1" ht="3" customHeight="1">
      <c r="J190" s="388"/>
      <c r="K190" s="388"/>
      <c r="L190" s="388"/>
      <c r="M190" s="3743"/>
      <c r="N190" s="3743"/>
      <c r="O190" s="3743"/>
      <c r="P190" s="3743"/>
      <c r="Q190" s="185"/>
      <c r="R190" s="509"/>
      <c r="S190" s="489"/>
      <c r="T190" s="489"/>
      <c r="V190" s="1085"/>
      <c r="W190" s="1080"/>
      <c r="X190" s="1081"/>
      <c r="AZ190" s="2660"/>
      <c r="BA190" s="2246">
        <v>190</v>
      </c>
    </row>
    <row r="191" spans="1:53" s="315" customFormat="1" ht="16.399999999999999" customHeight="1">
      <c r="A191" s="450"/>
      <c r="B191" s="450" t="s">
        <v>4079</v>
      </c>
      <c r="D191" s="332"/>
      <c r="E191" s="332"/>
      <c r="F191" s="320"/>
      <c r="J191" s="3729">
        <f>IF(J189="",0,+MIN(J187,J189))</f>
        <v>1000000</v>
      </c>
      <c r="K191" s="3730"/>
      <c r="L191" s="3731"/>
      <c r="M191" s="3743"/>
      <c r="N191" s="3743"/>
      <c r="O191" s="3743"/>
      <c r="P191" s="3743"/>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5"/>
      <c r="X191" s="3686"/>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86" t="s">
        <v>6968</v>
      </c>
      <c r="B195" s="3486"/>
      <c r="C195" s="3486"/>
      <c r="D195" s="3486"/>
      <c r="E195" s="3486"/>
      <c r="F195" s="3486"/>
      <c r="G195" s="3486"/>
      <c r="H195" s="3486"/>
      <c r="I195" s="3486"/>
      <c r="J195" s="3486"/>
      <c r="K195" s="3486"/>
      <c r="L195" s="3486"/>
      <c r="M195" s="3486"/>
      <c r="N195" s="3732"/>
      <c r="O195" s="3732"/>
      <c r="P195" s="3732"/>
      <c r="Q195" s="3732"/>
      <c r="R195" s="3732"/>
      <c r="S195" s="3732"/>
      <c r="T195" s="3732"/>
      <c r="V195" s="954"/>
      <c r="W195" s="3484" t="s">
        <v>2453</v>
      </c>
      <c r="X195" s="3484"/>
      <c r="AZ195" s="2661"/>
      <c r="BA195" s="2246">
        <v>195</v>
      </c>
    </row>
    <row r="196" spans="1:53" ht="11.25" customHeight="1">
      <c r="AZ196" s="2661"/>
      <c r="BA196" s="2295"/>
    </row>
    <row r="197" spans="1:53" ht="12" customHeight="1">
      <c r="BA197" s="2295"/>
    </row>
    <row r="198" spans="1:53" ht="12" customHeight="1">
      <c r="AZ198" s="2661"/>
    </row>
    <row r="199" spans="1:53" ht="14.5" customHeight="1">
      <c r="BA199" s="2295"/>
    </row>
    <row r="200" spans="1:53" s="315" customFormat="1" ht="14.5" customHeight="1">
      <c r="AZ200" s="2661"/>
      <c r="BA200" s="2296"/>
    </row>
    <row r="201" spans="1:53" s="315" customFormat="1" ht="14.5" customHeight="1">
      <c r="AZ201" s="2661"/>
      <c r="BA201" s="2295"/>
    </row>
    <row r="202" spans="1:53" s="315" customFormat="1" ht="14.5" customHeight="1">
      <c r="AZ202" s="2661"/>
      <c r="BA202" s="2295"/>
    </row>
    <row r="203" spans="1:53" ht="14.5" customHeight="1">
      <c r="AZ203" s="2661"/>
      <c r="BA203" s="2295"/>
    </row>
    <row r="204" spans="1:53" s="315" customFormat="1" ht="14.5" customHeight="1">
      <c r="A204" s="321"/>
      <c r="AZ204" s="2661"/>
      <c r="BA204" s="2295"/>
    </row>
    <row r="205" spans="1:53" ht="14.5" customHeight="1">
      <c r="AZ205" s="2661"/>
      <c r="BA205" s="2295"/>
    </row>
    <row r="206" spans="1:53" s="315" customFormat="1" ht="14.5" customHeight="1">
      <c r="AZ206" s="2661"/>
      <c r="BA206" s="2295"/>
    </row>
    <row r="207" spans="1:53" s="315" customFormat="1" ht="14.5" customHeight="1">
      <c r="A207" s="321"/>
      <c r="AZ207" s="2661"/>
      <c r="BA207" s="2295"/>
    </row>
    <row r="208" spans="1:53" s="315" customFormat="1" ht="14.5" customHeight="1">
      <c r="A208" s="495"/>
      <c r="AZ208" s="2661"/>
      <c r="BA208" s="2295"/>
    </row>
    <row r="209" spans="1:53" s="315" customFormat="1" ht="14.5" customHeight="1">
      <c r="AZ209" s="2660"/>
      <c r="BA209" s="2295"/>
    </row>
    <row r="210" spans="1:53" s="315" customFormat="1" ht="14.5" customHeight="1">
      <c r="A210" s="344"/>
      <c r="AZ210" s="2660"/>
      <c r="BA210" s="2296"/>
    </row>
    <row r="211" spans="1:53" s="315" customFormat="1" ht="14.5" customHeight="1">
      <c r="A211" s="344"/>
      <c r="AZ211" s="2660"/>
      <c r="BA211" s="2296"/>
    </row>
    <row r="212" spans="1:53" s="315" customFormat="1" ht="14.5" customHeight="1">
      <c r="A212" s="344"/>
      <c r="AZ212" s="2660"/>
      <c r="BA212" s="2296"/>
    </row>
    <row r="213" spans="1:53" s="315" customFormat="1" ht="14.5" customHeight="1">
      <c r="AZ213" s="2660"/>
      <c r="BA213" s="2296"/>
    </row>
    <row r="214" spans="1:53" s="315" customFormat="1" ht="14.5" customHeight="1">
      <c r="AZ214" s="2660"/>
      <c r="BA214" s="2296"/>
    </row>
    <row r="215" spans="1:53" ht="14.5" customHeight="1"/>
    <row r="216" spans="1:53" ht="14.5" customHeight="1"/>
    <row r="217" spans="1:53" ht="14.5" customHeight="1">
      <c r="AZ217" s="2661"/>
    </row>
    <row r="218" spans="1:53" ht="14.5" customHeight="1">
      <c r="BA218" s="2295"/>
    </row>
    <row r="219" spans="1:53" ht="14.5" customHeight="1"/>
    <row r="220" spans="1:53" ht="14.5" customHeight="1"/>
    <row r="221" spans="1:53" ht="14.5" customHeight="1"/>
    <row r="222" spans="1:53" ht="14.5" customHeight="1"/>
    <row r="223" spans="1:53" s="315" customFormat="1" ht="14.5" customHeight="1">
      <c r="AZ223" s="2660"/>
      <c r="BA223" s="2296"/>
    </row>
    <row r="224" spans="1:53" ht="14.5" customHeight="1"/>
    <row r="225" spans="10:12" ht="14.5" customHeight="1"/>
    <row r="226" spans="10:12" ht="14.5" customHeight="1"/>
    <row r="227" spans="10:12" ht="14.5" customHeight="1"/>
    <row r="228" spans="10:12" ht="14.5" customHeight="1"/>
    <row r="229" spans="10:12" ht="14.5" customHeight="1"/>
    <row r="230" spans="10:12" ht="14.5" customHeight="1"/>
    <row r="231" spans="10:12" ht="14.5" customHeight="1"/>
    <row r="232" spans="10:12" ht="14.5" customHeight="1"/>
    <row r="233" spans="10:12" ht="14.5" customHeight="1"/>
    <row r="234" spans="10:12" ht="14.5" customHeight="1"/>
    <row r="235" spans="10:12" ht="14.5" customHeight="1"/>
    <row r="236" spans="10:12" ht="14.5" customHeight="1">
      <c r="K236" s="324"/>
      <c r="L236" s="324"/>
    </row>
    <row r="237" spans="10:12" ht="14.5" customHeight="1">
      <c r="J237" s="1577"/>
      <c r="K237" s="2219"/>
      <c r="L237" s="2194"/>
    </row>
    <row r="238" spans="10:12" ht="1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2" sqref="F42:F46"/>
    </sheetView>
  </sheetViews>
  <sheetFormatPr defaultColWidth="9.1796875" defaultRowHeight="12.5"/>
  <cols>
    <col min="1" max="1" width="7.1796875" style="562" customWidth="1"/>
    <col min="2" max="2" width="12.81640625" style="562" customWidth="1"/>
    <col min="3" max="3" width="7.81640625" style="562" customWidth="1"/>
    <col min="4" max="4" width="12.81640625" style="562" customWidth="1"/>
    <col min="5" max="5" width="0.81640625" style="562" customWidth="1"/>
    <col min="6" max="6" width="46.81640625" style="562" customWidth="1"/>
    <col min="7" max="7" width="0.81640625" style="562" customWidth="1"/>
    <col min="8" max="8" width="46.81640625" style="562" customWidth="1"/>
    <col min="9" max="16384" width="9.1796875" style="562"/>
  </cols>
  <sheetData>
    <row r="1" spans="1:14" ht="15.5">
      <c r="A1" s="3824" t="str">
        <f>CONCATENATE("PART THREE (B) -  OTHER COSTS","  -  ",'Part I-Project Identification'!$O$7," - ",'Part I-Project Identification'!$F$29,"  -  ",'Part I-Project Identification'!$F$30,"  -  ",'Part I-Project Identification'!$J$30,",  ","County")</f>
        <v>PART THREE (B) -  OTHER COSTS  -  2022-0 - Villa Rica Senior  -  Villa Rica  -  Carroll,  County</v>
      </c>
      <c r="B1" s="3825"/>
      <c r="C1" s="3825"/>
      <c r="D1" s="3825"/>
      <c r="E1" s="3825"/>
      <c r="F1" s="3825"/>
      <c r="G1" s="3825"/>
      <c r="H1" s="3825"/>
      <c r="I1" s="923"/>
      <c r="J1" s="923"/>
      <c r="K1" s="923"/>
      <c r="L1" s="923"/>
      <c r="M1" s="923"/>
      <c r="N1" s="923"/>
    </row>
    <row r="2" spans="1:14" ht="9" customHeight="1"/>
    <row r="3" spans="1:14" ht="57" customHeight="1">
      <c r="A3" s="3826" t="s">
        <v>3217</v>
      </c>
      <c r="B3" s="3827"/>
      <c r="C3" s="3827"/>
      <c r="D3" s="3827"/>
      <c r="E3" s="3827"/>
      <c r="F3" s="3827"/>
      <c r="G3" s="3827"/>
      <c r="H3" s="3828"/>
    </row>
    <row r="4" spans="1:14" ht="6" customHeight="1"/>
    <row r="5" spans="1:14" ht="38.25" customHeight="1">
      <c r="A5" s="3829" t="s">
        <v>3278</v>
      </c>
      <c r="B5" s="3829"/>
      <c r="C5" s="3829"/>
      <c r="D5" s="3829"/>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ht="13">
      <c r="A8" s="937" t="s">
        <v>96</v>
      </c>
      <c r="B8" s="927"/>
      <c r="C8" s="927"/>
      <c r="D8" s="927"/>
      <c r="E8" s="927"/>
      <c r="F8" s="927"/>
      <c r="G8" s="927"/>
      <c r="H8" s="927"/>
    </row>
    <row r="9" spans="1:14" s="926" customFormat="1" ht="41.25" customHeight="1">
      <c r="A9" s="3821" t="str">
        <f>'Part III-A-Uses of Funds'!$C$15</f>
        <v>&lt;&lt; Enter description here; provide detail &amp; justification in tab Part III-b &gt;&gt;</v>
      </c>
      <c r="B9" s="3822"/>
      <c r="C9" s="3822"/>
      <c r="D9" s="3823"/>
      <c r="F9" s="3818"/>
      <c r="G9" s="927"/>
      <c r="H9" s="3818"/>
    </row>
    <row r="10" spans="1:14" s="926" customFormat="1" ht="41.25" customHeight="1">
      <c r="A10" s="3812"/>
      <c r="B10" s="3813"/>
      <c r="C10" s="3813"/>
      <c r="D10" s="3814"/>
      <c r="F10" s="3819"/>
      <c r="G10" s="927"/>
      <c r="H10" s="3819"/>
    </row>
    <row r="11" spans="1:14" s="926" customFormat="1" ht="4.5" customHeight="1">
      <c r="F11" s="3819"/>
      <c r="G11" s="927"/>
      <c r="H11" s="3819"/>
    </row>
    <row r="12" spans="1:14" s="926" customFormat="1" ht="15" customHeight="1">
      <c r="A12" s="936" t="s">
        <v>3212</v>
      </c>
      <c r="B12" s="935">
        <f>'Part III-A-Uses of Funds'!$G$15</f>
        <v>0</v>
      </c>
      <c r="C12" s="936" t="s">
        <v>1666</v>
      </c>
      <c r="D12" s="935">
        <f>'Part III-A-Uses of Funds'!$J$15+'Part III-A-Uses of Funds'!$M$15+'Part III-A-Uses of Funds'!$P$15</f>
        <v>0</v>
      </c>
      <c r="F12" s="3819"/>
      <c r="G12" s="927"/>
      <c r="H12" s="3819"/>
    </row>
    <row r="13" spans="1:14" s="926" customFormat="1" ht="6" customHeight="1">
      <c r="A13" s="927"/>
      <c r="B13" s="928"/>
      <c r="C13" s="927"/>
      <c r="D13" s="927"/>
      <c r="F13" s="3819"/>
      <c r="G13" s="929"/>
      <c r="H13" s="3819"/>
    </row>
    <row r="14" spans="1:14" s="926" customFormat="1" ht="41.25" customHeight="1">
      <c r="A14" s="3821" t="str">
        <f>'Part III-A-Uses of Funds'!$C$16</f>
        <v>&lt;&lt; Enter description here; provide detail &amp; justification in tab Part III-b &gt;&gt;</v>
      </c>
      <c r="B14" s="3822"/>
      <c r="C14" s="3822"/>
      <c r="D14" s="3823"/>
      <c r="F14" s="3819"/>
      <c r="G14" s="927"/>
      <c r="H14" s="3819"/>
    </row>
    <row r="15" spans="1:14" s="926" customFormat="1" ht="41.25" customHeight="1">
      <c r="A15" s="3812"/>
      <c r="B15" s="3813"/>
      <c r="C15" s="3813"/>
      <c r="D15" s="3814"/>
      <c r="F15" s="3819"/>
      <c r="G15" s="927"/>
      <c r="H15" s="3819"/>
    </row>
    <row r="16" spans="1:14" s="926" customFormat="1" ht="4.5" customHeight="1">
      <c r="F16" s="3819"/>
      <c r="G16" s="927"/>
      <c r="H16" s="3819"/>
    </row>
    <row r="17" spans="1:8" s="926" customFormat="1" ht="15" customHeight="1">
      <c r="A17" s="936" t="s">
        <v>3212</v>
      </c>
      <c r="B17" s="935">
        <f>'Part III-A-Uses of Funds'!$G$16</f>
        <v>0</v>
      </c>
      <c r="C17" s="936" t="s">
        <v>1666</v>
      </c>
      <c r="D17" s="935">
        <f>'Part III-A-Uses of Funds'!$J$16+'Part III-A-Uses of Funds'!$M$16+'Part III-A-Uses of Funds'!$P$16</f>
        <v>0</v>
      </c>
      <c r="F17" s="3819"/>
      <c r="G17" s="927"/>
      <c r="H17" s="3819"/>
    </row>
    <row r="18" spans="1:8" s="926" customFormat="1" ht="6" customHeight="1">
      <c r="A18" s="927"/>
      <c r="B18" s="928"/>
      <c r="C18" s="927"/>
      <c r="D18" s="927"/>
      <c r="F18" s="3819"/>
      <c r="G18" s="929"/>
      <c r="H18" s="3819"/>
    </row>
    <row r="19" spans="1:8" s="926" customFormat="1" ht="41.25" customHeight="1">
      <c r="A19" s="3821" t="str">
        <f>'Part III-A-Uses of Funds'!$C$17</f>
        <v>&lt;&lt; Enter description here; provide detail &amp; justification in tab Part III-b &gt;&gt;</v>
      </c>
      <c r="B19" s="3822"/>
      <c r="C19" s="3822"/>
      <c r="D19" s="3823"/>
      <c r="F19" s="3819"/>
      <c r="G19" s="927"/>
      <c r="H19" s="3819"/>
    </row>
    <row r="20" spans="1:8" s="926" customFormat="1" ht="41.25" customHeight="1">
      <c r="A20" s="3812"/>
      <c r="B20" s="3813"/>
      <c r="C20" s="3813"/>
      <c r="D20" s="3814"/>
      <c r="F20" s="3819"/>
      <c r="G20" s="927"/>
      <c r="H20" s="3819"/>
    </row>
    <row r="21" spans="1:8" s="926" customFormat="1" ht="4.5" customHeight="1">
      <c r="F21" s="3819"/>
      <c r="G21" s="927"/>
      <c r="H21" s="3819"/>
    </row>
    <row r="22" spans="1:8" s="926" customFormat="1" ht="15" customHeight="1">
      <c r="A22" s="936" t="s">
        <v>3212</v>
      </c>
      <c r="B22" s="935">
        <f>'Part III-A-Uses of Funds'!$G$17</f>
        <v>0</v>
      </c>
      <c r="C22" s="936" t="s">
        <v>1666</v>
      </c>
      <c r="D22" s="935">
        <f>'Part III-A-Uses of Funds'!$J$17+'Part III-A-Uses of Funds'!$M$17+'Part III-A-Uses of Funds'!$P$17</f>
        <v>0</v>
      </c>
      <c r="F22" s="3819"/>
      <c r="G22" s="927"/>
      <c r="H22" s="3819"/>
    </row>
    <row r="23" spans="1:8" s="926" customFormat="1" ht="6" customHeight="1">
      <c r="A23" s="927"/>
      <c r="B23" s="928"/>
      <c r="C23" s="927"/>
      <c r="D23" s="927"/>
      <c r="F23" s="3820"/>
      <c r="G23" s="929"/>
      <c r="H23" s="3820"/>
    </row>
    <row r="24" spans="1:8" s="926" customFormat="1" ht="13">
      <c r="A24" s="937" t="s">
        <v>3211</v>
      </c>
      <c r="B24" s="927"/>
      <c r="C24" s="927"/>
      <c r="D24" s="927"/>
      <c r="E24" s="927"/>
      <c r="F24" s="927"/>
      <c r="G24" s="927"/>
    </row>
    <row r="25" spans="1:8" s="926" customFormat="1" ht="41.25" customHeight="1">
      <c r="A25" s="3821" t="str">
        <f>'Part III-A-Uses of Funds'!$C$46</f>
        <v>&lt;&lt; Enter description here; provide detail &amp; justification in tab Part III-b &gt;&gt;</v>
      </c>
      <c r="B25" s="3822"/>
      <c r="C25" s="3822"/>
      <c r="D25" s="3823"/>
      <c r="E25" s="927"/>
      <c r="F25" s="3815"/>
      <c r="G25" s="927"/>
      <c r="H25" s="3815"/>
    </row>
    <row r="26" spans="1:8" s="926" customFormat="1" ht="41.25" customHeight="1">
      <c r="A26" s="3812"/>
      <c r="B26" s="3813"/>
      <c r="C26" s="3813"/>
      <c r="D26" s="3814"/>
      <c r="E26" s="927"/>
      <c r="F26" s="3816"/>
      <c r="G26" s="927"/>
      <c r="H26" s="3816"/>
    </row>
    <row r="27" spans="1:8" s="926" customFormat="1" ht="4.5" customHeight="1">
      <c r="A27" s="927"/>
      <c r="B27" s="927"/>
      <c r="C27" s="927"/>
      <c r="D27" s="927"/>
      <c r="E27" s="927"/>
      <c r="F27" s="3816"/>
      <c r="G27" s="927"/>
      <c r="H27" s="3816"/>
    </row>
    <row r="28" spans="1:8" s="926" customFormat="1" ht="10.5">
      <c r="A28" s="936" t="s">
        <v>3212</v>
      </c>
      <c r="B28" s="935">
        <f>'Part III-A-Uses of Funds'!$G$46</f>
        <v>0</v>
      </c>
      <c r="C28" s="936" t="s">
        <v>1666</v>
      </c>
      <c r="D28" s="935">
        <f>'Part III-A-Uses of Funds'!$J$46+'Part III-A-Uses of Funds'!$M$46+'Part III-A-Uses of Funds'!$P$46</f>
        <v>0</v>
      </c>
      <c r="E28" s="927"/>
      <c r="F28" s="3816"/>
      <c r="G28" s="927"/>
      <c r="H28" s="3816"/>
    </row>
    <row r="29" spans="1:8" s="926" customFormat="1" ht="6" customHeight="1">
      <c r="A29" s="927"/>
      <c r="B29" s="928"/>
      <c r="C29" s="927"/>
      <c r="D29" s="927"/>
      <c r="E29" s="927"/>
      <c r="F29" s="3817"/>
      <c r="G29" s="929"/>
      <c r="H29" s="3817"/>
    </row>
    <row r="30" spans="1:8" s="926" customFormat="1" ht="13">
      <c r="A30" s="937" t="s">
        <v>675</v>
      </c>
      <c r="B30" s="927"/>
      <c r="C30" s="927"/>
      <c r="D30" s="927"/>
      <c r="E30" s="927"/>
      <c r="F30" s="927"/>
      <c r="G30" s="927"/>
    </row>
    <row r="31" spans="1:8" s="926" customFormat="1" ht="41.25" customHeight="1">
      <c r="A31" s="3809">
        <f>'Part III-A-Uses of Funds'!$C$71</f>
        <v>0</v>
      </c>
      <c r="B31" s="3810"/>
      <c r="C31" s="3810"/>
      <c r="D31" s="3811"/>
      <c r="E31" s="927"/>
      <c r="F31" s="3818"/>
      <c r="G31" s="927"/>
      <c r="H31" s="3818"/>
    </row>
    <row r="32" spans="1:8" s="926" customFormat="1" ht="41.25" customHeight="1">
      <c r="A32" s="3812"/>
      <c r="B32" s="3813"/>
      <c r="C32" s="3813"/>
      <c r="D32" s="3814"/>
      <c r="E32" s="927"/>
      <c r="F32" s="3819"/>
      <c r="G32" s="927"/>
      <c r="H32" s="3819"/>
    </row>
    <row r="33" spans="1:8" s="926" customFormat="1" ht="4.5" customHeight="1">
      <c r="A33" s="927"/>
      <c r="B33" s="927"/>
      <c r="C33" s="927"/>
      <c r="D33" s="927"/>
      <c r="E33" s="927"/>
      <c r="F33" s="3819"/>
      <c r="G33" s="927"/>
      <c r="H33" s="3819"/>
    </row>
    <row r="34" spans="1:8" s="926" customFormat="1" ht="14.25" customHeight="1">
      <c r="A34" s="936" t="s">
        <v>3212</v>
      </c>
      <c r="B34" s="935">
        <f>'Part III-A-Uses of Funds'!$G$71</f>
        <v>0</v>
      </c>
      <c r="C34" s="936" t="s">
        <v>1666</v>
      </c>
      <c r="D34" s="935">
        <f>'Part III-A-Uses of Funds'!$J$71+'Part III-A-Uses of Funds'!$M$71+'Part III-A-Uses of Funds'!$P$71</f>
        <v>15000</v>
      </c>
      <c r="E34" s="927"/>
      <c r="F34" s="3819"/>
      <c r="G34" s="927"/>
      <c r="H34" s="3819"/>
    </row>
    <row r="35" spans="1:8" s="926" customFormat="1" ht="6" customHeight="1">
      <c r="D35" s="927"/>
      <c r="E35" s="927"/>
      <c r="F35" s="3819"/>
      <c r="G35" s="929"/>
      <c r="H35" s="3819"/>
    </row>
    <row r="36" spans="1:8" s="926" customFormat="1" ht="41.25" customHeight="1">
      <c r="A36" s="3809" t="str">
        <f>'Part III-A-Uses of Funds'!$C$72</f>
        <v>&lt;&lt; Enter description here; provide detail &amp; justification in tab Part III-b &gt;&gt;</v>
      </c>
      <c r="B36" s="3810"/>
      <c r="C36" s="3810"/>
      <c r="D36" s="3811"/>
      <c r="E36" s="927"/>
      <c r="F36" s="3819"/>
      <c r="G36" s="927"/>
      <c r="H36" s="3819"/>
    </row>
    <row r="37" spans="1:8" s="926" customFormat="1" ht="41.25" customHeight="1">
      <c r="A37" s="3812"/>
      <c r="B37" s="3813"/>
      <c r="C37" s="3813"/>
      <c r="D37" s="3814"/>
      <c r="E37" s="927"/>
      <c r="F37" s="3819"/>
      <c r="G37" s="927"/>
      <c r="H37" s="3819"/>
    </row>
    <row r="38" spans="1:8" s="926" customFormat="1" ht="4.5" customHeight="1">
      <c r="A38" s="927"/>
      <c r="B38" s="927"/>
      <c r="C38" s="927"/>
      <c r="D38" s="927"/>
      <c r="E38" s="927"/>
      <c r="F38" s="3819"/>
      <c r="G38" s="927"/>
      <c r="H38" s="3819"/>
    </row>
    <row r="39" spans="1:8" s="926" customFormat="1" ht="14.25" customHeight="1">
      <c r="A39" s="936" t="s">
        <v>3212</v>
      </c>
      <c r="B39" s="935">
        <f>'Part III-A-Uses of Funds'!$G$72</f>
        <v>0</v>
      </c>
      <c r="C39" s="936" t="s">
        <v>1666</v>
      </c>
      <c r="D39" s="935">
        <f>'Part III-A-Uses of Funds'!$J$72+'Part III-A-Uses of Funds'!$M$72+'Part III-A-Uses of Funds'!$P$72</f>
        <v>0</v>
      </c>
      <c r="E39" s="927"/>
      <c r="F39" s="3819"/>
      <c r="G39" s="927"/>
      <c r="H39" s="3819"/>
    </row>
    <row r="40" spans="1:8" s="926" customFormat="1" ht="6" customHeight="1">
      <c r="D40" s="927"/>
      <c r="E40" s="927"/>
      <c r="F40" s="3820"/>
      <c r="G40" s="929"/>
      <c r="H40" s="3820"/>
    </row>
    <row r="41" spans="1:8" s="926" customFormat="1" ht="13">
      <c r="A41" s="937" t="s">
        <v>449</v>
      </c>
      <c r="B41" s="927"/>
      <c r="C41" s="927"/>
      <c r="D41" s="927"/>
      <c r="E41" s="931"/>
      <c r="F41" s="931"/>
      <c r="G41" s="927"/>
    </row>
    <row r="42" spans="1:8" s="926" customFormat="1" ht="41.25" customHeight="1">
      <c r="A42" s="3809">
        <f>'Part III-A-Uses of Funds'!$C$85</f>
        <v>0</v>
      </c>
      <c r="B42" s="3810"/>
      <c r="C42" s="3810"/>
      <c r="D42" s="3811"/>
      <c r="F42" s="3815"/>
      <c r="G42" s="927"/>
      <c r="H42" s="3815"/>
    </row>
    <row r="43" spans="1:8" s="926" customFormat="1" ht="41.25" customHeight="1">
      <c r="A43" s="3812"/>
      <c r="B43" s="3813"/>
      <c r="C43" s="3813"/>
      <c r="D43" s="3814"/>
      <c r="E43" s="927"/>
      <c r="F43" s="3816"/>
      <c r="G43" s="927"/>
      <c r="H43" s="3816"/>
    </row>
    <row r="44" spans="1:8" s="926" customFormat="1" ht="4.5" customHeight="1">
      <c r="A44" s="927"/>
      <c r="B44" s="927"/>
      <c r="C44" s="927"/>
      <c r="D44" s="927"/>
      <c r="E44" s="927"/>
      <c r="F44" s="3816"/>
      <c r="G44" s="927"/>
      <c r="H44" s="3816"/>
    </row>
    <row r="45" spans="1:8" s="926" customFormat="1" ht="13.5" customHeight="1">
      <c r="A45" s="936" t="s">
        <v>3212</v>
      </c>
      <c r="B45" s="935">
        <f>'Part III-A-Uses of Funds'!$G$85</f>
        <v>0</v>
      </c>
      <c r="C45" s="936" t="s">
        <v>1666</v>
      </c>
      <c r="D45" s="935">
        <f>'Part III-A-Uses of Funds'!$J$85+'Part III-A-Uses of Funds'!$M$85+'Part III-A-Uses of Funds'!$P$85</f>
        <v>40000</v>
      </c>
      <c r="E45" s="927"/>
      <c r="F45" s="3816"/>
      <c r="G45" s="927"/>
      <c r="H45" s="3816"/>
    </row>
    <row r="46" spans="1:8" s="926" customFormat="1" ht="6" customHeight="1">
      <c r="A46" s="927"/>
      <c r="B46" s="928"/>
      <c r="C46" s="927"/>
      <c r="D46" s="927"/>
      <c r="E46" s="927"/>
      <c r="F46" s="3817"/>
      <c r="G46" s="929"/>
      <c r="H46" s="3817"/>
    </row>
    <row r="47" spans="1:8" s="926" customFormat="1" ht="13">
      <c r="A47" s="937" t="s">
        <v>677</v>
      </c>
      <c r="B47" s="927"/>
      <c r="C47" s="927"/>
      <c r="D47" s="927"/>
      <c r="E47" s="927"/>
      <c r="F47" s="927"/>
      <c r="G47" s="927"/>
    </row>
    <row r="48" spans="1:8" s="926" customFormat="1" ht="41.25" customHeight="1">
      <c r="A48" s="3809">
        <f>'Part III-A-Uses of Funds'!$C$102</f>
        <v>0</v>
      </c>
      <c r="B48" s="3810"/>
      <c r="C48" s="3810"/>
      <c r="D48" s="3811"/>
      <c r="F48" s="3815"/>
      <c r="G48" s="927"/>
    </row>
    <row r="49" spans="1:7" s="926" customFormat="1" ht="41.25" customHeight="1">
      <c r="A49" s="3812"/>
      <c r="B49" s="3813"/>
      <c r="C49" s="3813"/>
      <c r="D49" s="3814"/>
      <c r="E49" s="927"/>
      <c r="F49" s="3816"/>
      <c r="G49" s="927"/>
    </row>
    <row r="50" spans="1:7" s="926" customFormat="1" ht="3" customHeight="1">
      <c r="A50" s="927"/>
      <c r="B50" s="927"/>
      <c r="C50" s="927"/>
      <c r="D50" s="927"/>
      <c r="E50" s="927"/>
      <c r="F50" s="3816"/>
      <c r="G50" s="927"/>
    </row>
    <row r="51" spans="1:7" s="926" customFormat="1" ht="13.5" customHeight="1">
      <c r="A51" s="936" t="s">
        <v>3212</v>
      </c>
      <c r="B51" s="935">
        <f>'Part III-A-Uses of Funds'!$G$102</f>
        <v>0</v>
      </c>
      <c r="C51" s="930"/>
      <c r="D51" s="930"/>
      <c r="E51" s="927"/>
      <c r="F51" s="3816"/>
      <c r="G51" s="927"/>
    </row>
    <row r="52" spans="1:7" s="926" customFormat="1" ht="3.75" customHeight="1">
      <c r="A52" s="927"/>
      <c r="B52" s="927"/>
      <c r="C52" s="927"/>
      <c r="D52" s="927"/>
      <c r="E52" s="927"/>
      <c r="F52" s="3817"/>
      <c r="G52" s="929"/>
    </row>
    <row r="53" spans="1:7" s="926" customFormat="1" ht="13">
      <c r="A53" s="937" t="s">
        <v>3213</v>
      </c>
      <c r="B53" s="927"/>
      <c r="C53" s="927"/>
      <c r="D53" s="927"/>
      <c r="E53" s="927"/>
      <c r="F53" s="927"/>
      <c r="G53" s="927"/>
    </row>
    <row r="54" spans="1:7" s="926" customFormat="1" ht="41.25" customHeight="1">
      <c r="A54" s="3809" t="str">
        <f>'Part III-A-Uses of Funds'!$C$112</f>
        <v>&lt;&lt; Enter description here; provide detail &amp; justification in tab Part III-b &gt;&gt;</v>
      </c>
      <c r="B54" s="3810"/>
      <c r="C54" s="3810"/>
      <c r="D54" s="3811"/>
      <c r="F54" s="3818"/>
      <c r="G54" s="927"/>
    </row>
    <row r="55" spans="1:7" s="926" customFormat="1" ht="41.25" customHeight="1">
      <c r="A55" s="3812"/>
      <c r="B55" s="3813"/>
      <c r="C55" s="3813"/>
      <c r="D55" s="3814"/>
      <c r="E55" s="927"/>
      <c r="F55" s="3819"/>
      <c r="G55" s="927"/>
    </row>
    <row r="56" spans="1:7" s="926" customFormat="1" ht="3" customHeight="1">
      <c r="A56" s="927"/>
      <c r="B56" s="927"/>
      <c r="C56" s="927"/>
      <c r="D56" s="927"/>
      <c r="E56" s="927"/>
      <c r="F56" s="3819"/>
      <c r="G56" s="927"/>
    </row>
    <row r="57" spans="1:7" s="926" customFormat="1" ht="10.5">
      <c r="A57" s="936" t="s">
        <v>3212</v>
      </c>
      <c r="B57" s="935">
        <f>'Part III-A-Uses of Funds'!$G$112</f>
        <v>0</v>
      </c>
      <c r="C57" s="930"/>
      <c r="D57" s="930"/>
      <c r="E57" s="927"/>
      <c r="F57" s="3819"/>
      <c r="G57" s="927"/>
    </row>
    <row r="58" spans="1:7" s="926" customFormat="1" ht="3.75" customHeight="1">
      <c r="A58" s="925"/>
      <c r="B58" s="925"/>
      <c r="C58" s="925"/>
      <c r="D58" s="925"/>
      <c r="E58" s="925"/>
      <c r="F58" s="3819"/>
      <c r="G58" s="929"/>
    </row>
    <row r="59" spans="1:7" s="926" customFormat="1" ht="41.25" customHeight="1">
      <c r="A59" s="3809" t="str">
        <f>'Part III-A-Uses of Funds'!$C$113</f>
        <v>&lt;&lt; Enter description here; provide detail &amp; justification in tab Part III-b &gt;&gt;</v>
      </c>
      <c r="B59" s="3810"/>
      <c r="C59" s="3810"/>
      <c r="D59" s="3811"/>
      <c r="F59" s="3819"/>
      <c r="G59" s="927"/>
    </row>
    <row r="60" spans="1:7" s="926" customFormat="1" ht="41.25" customHeight="1">
      <c r="A60" s="3812"/>
      <c r="B60" s="3813"/>
      <c r="C60" s="3813"/>
      <c r="D60" s="3814"/>
      <c r="E60" s="927"/>
      <c r="F60" s="3819"/>
      <c r="G60" s="927"/>
    </row>
    <row r="61" spans="1:7" s="926" customFormat="1" ht="3" customHeight="1">
      <c r="A61" s="927"/>
      <c r="B61" s="927"/>
      <c r="C61" s="927"/>
      <c r="D61" s="927"/>
      <c r="E61" s="927"/>
      <c r="F61" s="3819"/>
      <c r="G61" s="927"/>
    </row>
    <row r="62" spans="1:7" s="926" customFormat="1" ht="10.5">
      <c r="A62" s="936" t="s">
        <v>3212</v>
      </c>
      <c r="B62" s="935">
        <f>'Part III-A-Uses of Funds'!$G$113</f>
        <v>0</v>
      </c>
      <c r="C62" s="930"/>
      <c r="D62" s="930"/>
      <c r="E62" s="927"/>
      <c r="F62" s="3819"/>
      <c r="G62" s="927"/>
    </row>
    <row r="63" spans="1:7" s="926" customFormat="1" ht="3.75" customHeight="1">
      <c r="A63" s="925"/>
      <c r="B63" s="925"/>
      <c r="C63" s="925"/>
      <c r="D63" s="925"/>
      <c r="E63" s="925"/>
      <c r="F63" s="3820"/>
      <c r="G63" s="929"/>
    </row>
    <row r="64" spans="1:7" s="926" customFormat="1" ht="13">
      <c r="A64" s="937" t="s">
        <v>3214</v>
      </c>
      <c r="B64" s="927"/>
      <c r="C64" s="927"/>
      <c r="D64" s="927"/>
      <c r="E64" s="927"/>
      <c r="F64" s="927"/>
      <c r="G64" s="927"/>
    </row>
    <row r="65" spans="1:8" s="926" customFormat="1" ht="41.25" customHeight="1">
      <c r="A65" s="3809" t="str">
        <f>'Part III-A-Uses of Funds'!$C$119</f>
        <v>&lt;&lt; Enter description here; provide detail &amp; justification in tab Part III-b &gt;&gt;</v>
      </c>
      <c r="B65" s="3810"/>
      <c r="C65" s="3810"/>
      <c r="D65" s="3811"/>
      <c r="F65" s="3815"/>
      <c r="G65" s="927"/>
    </row>
    <row r="66" spans="1:8" s="926" customFormat="1" ht="41.25" customHeight="1">
      <c r="A66" s="3812"/>
      <c r="B66" s="3813"/>
      <c r="C66" s="3813"/>
      <c r="D66" s="3814"/>
      <c r="E66" s="927"/>
      <c r="F66" s="3816"/>
      <c r="G66" s="927"/>
    </row>
    <row r="67" spans="1:8" s="926" customFormat="1" ht="3" customHeight="1">
      <c r="A67" s="927"/>
      <c r="B67" s="927"/>
      <c r="C67" s="927"/>
      <c r="D67" s="927"/>
      <c r="E67" s="927"/>
      <c r="F67" s="3816"/>
      <c r="G67" s="927"/>
    </row>
    <row r="68" spans="1:8" s="926" customFormat="1" ht="10.5">
      <c r="A68" s="936" t="s">
        <v>3212</v>
      </c>
      <c r="B68" s="935">
        <f>'Part III-A-Uses of Funds'!$G$119</f>
        <v>0</v>
      </c>
      <c r="C68" s="930"/>
      <c r="D68" s="930"/>
      <c r="E68" s="927"/>
      <c r="F68" s="3816"/>
      <c r="G68" s="927"/>
    </row>
    <row r="69" spans="1:8" s="926" customFormat="1" ht="3.75" customHeight="1">
      <c r="A69" s="927"/>
      <c r="B69" s="928"/>
      <c r="C69" s="927"/>
      <c r="D69" s="927"/>
      <c r="E69" s="927"/>
      <c r="F69" s="3817"/>
      <c r="G69" s="929"/>
    </row>
    <row r="70" spans="1:8" s="926" customFormat="1" ht="13">
      <c r="A70" s="937" t="s">
        <v>1232</v>
      </c>
      <c r="B70" s="927"/>
      <c r="C70" s="927"/>
      <c r="D70" s="927"/>
      <c r="E70" s="927"/>
      <c r="F70" s="927"/>
      <c r="G70" s="927"/>
    </row>
    <row r="71" spans="1:8" s="926" customFormat="1" ht="41.25" customHeight="1">
      <c r="A71" s="3809" t="str">
        <f>'Part III-A-Uses of Funds'!$C$134</f>
        <v>&lt;&lt; Enter description here; provide detail &amp; justification in tab Part III-b &gt;&gt;</v>
      </c>
      <c r="B71" s="3810"/>
      <c r="C71" s="3810"/>
      <c r="D71" s="3811"/>
      <c r="F71" s="3815"/>
      <c r="G71" s="927"/>
      <c r="H71" s="3815"/>
    </row>
    <row r="72" spans="1:8" s="926" customFormat="1" ht="41.25" customHeight="1">
      <c r="A72" s="3812"/>
      <c r="B72" s="3813"/>
      <c r="C72" s="3813"/>
      <c r="D72" s="3814"/>
      <c r="E72" s="927"/>
      <c r="F72" s="3816"/>
      <c r="G72" s="927"/>
      <c r="H72" s="3816"/>
    </row>
    <row r="73" spans="1:8" s="926" customFormat="1" ht="4.5" customHeight="1">
      <c r="A73" s="927"/>
      <c r="B73" s="927"/>
      <c r="C73" s="927"/>
      <c r="D73" s="927"/>
      <c r="E73" s="927"/>
      <c r="F73" s="3816"/>
      <c r="G73" s="927"/>
      <c r="H73" s="3816"/>
    </row>
    <row r="74" spans="1:8" s="926" customFormat="1" ht="12.75" customHeight="1">
      <c r="A74" s="936" t="s">
        <v>3212</v>
      </c>
      <c r="B74" s="935">
        <f>'Part III-A-Uses of Funds'!$G$134</f>
        <v>0</v>
      </c>
      <c r="C74" s="936" t="s">
        <v>1666</v>
      </c>
      <c r="D74" s="935">
        <f>'Part III-A-Uses of Funds'!$J$134+'Part III-A-Uses of Funds'!$M$134+'Part III-A-Uses of Funds'!$P$134</f>
        <v>0</v>
      </c>
      <c r="E74" s="927"/>
      <c r="F74" s="3816"/>
      <c r="G74" s="927"/>
      <c r="H74" s="3816"/>
    </row>
    <row r="75" spans="1:8" s="926" customFormat="1" ht="6" customHeight="1">
      <c r="A75" s="927"/>
      <c r="B75" s="928"/>
      <c r="C75" s="927"/>
      <c r="D75" s="927"/>
      <c r="E75" s="927"/>
      <c r="F75" s="3817"/>
      <c r="G75" s="929"/>
      <c r="H75" s="3817"/>
    </row>
    <row r="76" spans="1:8" s="926" customFormat="1" ht="13">
      <c r="A76" s="937" t="s">
        <v>3215</v>
      </c>
      <c r="B76" s="928"/>
      <c r="C76" s="927"/>
      <c r="D76" s="927"/>
      <c r="E76" s="927"/>
      <c r="F76" s="927"/>
      <c r="G76" s="929"/>
    </row>
    <row r="77" spans="1:8" s="926" customFormat="1" ht="41.25" customHeight="1">
      <c r="A77" s="3809" t="str">
        <f>'Part III-A-Uses of Funds'!$C$143</f>
        <v>&lt;&lt; Enter description here; provide detail &amp; justification in tab Part III-b &gt;&gt;</v>
      </c>
      <c r="B77" s="3810"/>
      <c r="C77" s="3810"/>
      <c r="D77" s="3811"/>
      <c r="F77" s="3815"/>
      <c r="G77" s="927"/>
      <c r="H77" s="3815"/>
    </row>
    <row r="78" spans="1:8" s="926" customFormat="1" ht="41.25" customHeight="1">
      <c r="A78" s="3812"/>
      <c r="B78" s="3813"/>
      <c r="C78" s="3813"/>
      <c r="D78" s="3814"/>
      <c r="E78" s="927"/>
      <c r="F78" s="3816"/>
      <c r="G78" s="927"/>
      <c r="H78" s="3816"/>
    </row>
    <row r="79" spans="1:8" s="926" customFormat="1" ht="4.5" customHeight="1">
      <c r="A79" s="927"/>
      <c r="B79" s="927"/>
      <c r="C79" s="927"/>
      <c r="D79" s="927"/>
      <c r="E79" s="927"/>
      <c r="F79" s="3816"/>
      <c r="G79" s="927"/>
      <c r="H79" s="3816"/>
    </row>
    <row r="80" spans="1:8" s="926" customFormat="1" ht="12.75" customHeight="1">
      <c r="A80" s="936" t="s">
        <v>3212</v>
      </c>
      <c r="B80" s="935">
        <f>'Part III-A-Uses of Funds'!$G$143</f>
        <v>0</v>
      </c>
      <c r="C80" s="936" t="s">
        <v>1666</v>
      </c>
      <c r="D80" s="935">
        <f>'Part III-A-Uses of Funds'!$J$143+'Part III-A-Uses of Funds'!$M$143+'Part III-A-Uses of Funds'!$P$143</f>
        <v>0</v>
      </c>
      <c r="E80" s="932"/>
      <c r="F80" s="3816"/>
      <c r="G80" s="927"/>
      <c r="H80" s="3816"/>
    </row>
    <row r="81" spans="4:8" s="926" customFormat="1" ht="6" customHeight="1">
      <c r="D81" s="933"/>
      <c r="E81" s="934"/>
      <c r="F81" s="3817"/>
      <c r="G81" s="929"/>
      <c r="H81" s="3817"/>
    </row>
    <row r="82" spans="4:8" s="926" customFormat="1" ht="10.5"/>
    <row r="83" spans="4:8" s="926" customFormat="1" ht="10.5"/>
    <row r="84" spans="4:8" s="926" customFormat="1" ht="10.5"/>
    <row r="85" spans="4:8" s="926" customFormat="1" ht="10.5"/>
    <row r="86" spans="4:8" s="926" customFormat="1" ht="10.5"/>
    <row r="87" spans="4:8" s="926" customFormat="1" ht="10.5"/>
    <row r="88" spans="4:8" s="926" customFormat="1" ht="10.5"/>
    <row r="89" spans="4:8" s="926" customFormat="1" ht="10.5"/>
    <row r="90" spans="4:8" s="926" customFormat="1" ht="10.5"/>
    <row r="91" spans="4:8" s="926" customFormat="1" ht="10.5"/>
    <row r="92" spans="4:8" s="926" customFormat="1" ht="10.5"/>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34" zoomScaleNormal="100" workbookViewId="0">
      <selection activeCell="B43" sqref="B43:M43"/>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5" s="8" customFormat="1" ht="14.15" customHeight="1">
      <c r="A1" s="3853" t="str">
        <f>CONCATENATE("PART FOUR - UTILITY ALLOWANCES","  -  ",'Part I-Project Identification'!$O$7," ",'Part I-Project Identification'!$F$29,", ",'Part I-Project Identification'!F30,", ",'Part I-Project Identification'!J30," County")</f>
        <v>PART FOUR - UTILITY ALLOWANCES  -  2022-0 Villa Rica Senior, Villa Rica, Carroll County</v>
      </c>
      <c r="B1" s="3854"/>
      <c r="C1" s="3854"/>
      <c r="D1" s="3854"/>
      <c r="E1" s="3854"/>
      <c r="F1" s="3854"/>
      <c r="G1" s="3854"/>
      <c r="H1" s="3854"/>
      <c r="I1" s="3854"/>
      <c r="J1" s="3854"/>
      <c r="K1" s="3854"/>
      <c r="L1" s="3854"/>
      <c r="M1" s="3854"/>
      <c r="N1" s="10"/>
      <c r="O1" s="10"/>
      <c r="P1" s="10"/>
      <c r="Q1" s="10"/>
      <c r="R1" s="16"/>
      <c r="S1" s="16"/>
      <c r="T1" s="16"/>
    </row>
    <row r="2" spans="1:25" s="8" customFormat="1" ht="7.5" customHeight="1"/>
    <row r="3" spans="1:25" s="8" customFormat="1" ht="12.75" customHeight="1">
      <c r="B3" s="3855" t="str">
        <f>'Part I-Project Identification'!$A$6</f>
        <v>May 12 2022 Core Application</v>
      </c>
      <c r="C3" s="3855"/>
      <c r="D3" s="3855"/>
      <c r="E3" s="3855"/>
      <c r="F3" s="4" t="s">
        <v>6743</v>
      </c>
      <c r="I3" s="1660" t="str">
        <f>VLOOKUP('Part I-Project Identification'!$J$30,'DCA Underwriting Assumptions'!$G$136:$H$295,2)</f>
        <v>North</v>
      </c>
    </row>
    <row r="4" spans="1:25" s="8" customFormat="1" ht="6" customHeight="1"/>
    <row r="5" spans="1:25" ht="13">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6"/>
      <c r="J7" s="3847"/>
      <c r="K7" s="3847"/>
      <c r="L7" s="3847"/>
      <c r="M7" s="3848"/>
      <c r="O7" s="1067"/>
      <c r="P7" s="1067"/>
      <c r="Q7" s="1067"/>
      <c r="R7" s="1067"/>
      <c r="S7" s="1067"/>
      <c r="T7" s="1067"/>
      <c r="U7" s="1067"/>
      <c r="V7" s="516"/>
      <c r="W7" s="516"/>
      <c r="X7" s="516"/>
      <c r="Y7" s="516"/>
    </row>
    <row r="8" spans="1:25" s="8" customFormat="1" ht="13.4" customHeight="1">
      <c r="A8" s="13"/>
      <c r="F8" s="1" t="s">
        <v>593</v>
      </c>
      <c r="G8" s="1"/>
      <c r="H8" s="33"/>
      <c r="I8" s="3849"/>
      <c r="J8" s="3850"/>
      <c r="K8" s="6" t="s">
        <v>505</v>
      </c>
      <c r="L8" s="3851"/>
      <c r="M8" s="3852"/>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37" t="s">
        <v>567</v>
      </c>
      <c r="G10" s="3837"/>
      <c r="I10" s="3838" t="s">
        <v>193</v>
      </c>
      <c r="J10" s="3838"/>
      <c r="K10" s="3838"/>
      <c r="L10" s="3838"/>
      <c r="M10" s="3838"/>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9" t="s">
        <v>1492</v>
      </c>
      <c r="E12" s="3840"/>
      <c r="F12" s="272"/>
      <c r="G12" s="272" t="s">
        <v>416</v>
      </c>
      <c r="H12" s="1017"/>
      <c r="I12" s="1601"/>
      <c r="J12" s="1601"/>
      <c r="K12" s="1601"/>
      <c r="L12" s="1601"/>
      <c r="M12" s="1601"/>
      <c r="O12" s="1067"/>
      <c r="P12" s="1067"/>
      <c r="Q12" s="1067"/>
      <c r="R12" s="1067"/>
      <c r="S12" s="1067"/>
      <c r="T12" s="1067"/>
      <c r="U12" s="1067"/>
    </row>
    <row r="13" spans="1:25" s="8" customFormat="1" ht="12" customHeight="1">
      <c r="B13" s="1608" t="s">
        <v>1493</v>
      </c>
      <c r="C13" s="1609"/>
      <c r="D13" s="3841" t="s">
        <v>1492</v>
      </c>
      <c r="E13" s="3842"/>
      <c r="F13" s="273"/>
      <c r="G13" s="273" t="s">
        <v>416</v>
      </c>
      <c r="H13" s="1016"/>
      <c r="I13" s="1602"/>
      <c r="J13" s="1602"/>
      <c r="K13" s="1602"/>
      <c r="L13" s="1603"/>
      <c r="M13" s="1603"/>
      <c r="O13" s="3830" t="s">
        <v>3277</v>
      </c>
      <c r="P13" s="3830"/>
      <c r="Q13" s="3830"/>
    </row>
    <row r="14" spans="1:25" s="8" customFormat="1" ht="12" customHeight="1">
      <c r="B14" s="1610" t="s">
        <v>1494</v>
      </c>
      <c r="C14" s="1611"/>
      <c r="D14" s="3841" t="s">
        <v>1492</v>
      </c>
      <c r="E14" s="3842"/>
      <c r="F14" s="273"/>
      <c r="G14" s="273" t="s">
        <v>416</v>
      </c>
      <c r="H14" s="268"/>
      <c r="I14" s="1602"/>
      <c r="J14" s="1602"/>
      <c r="K14" s="1602"/>
      <c r="L14" s="1603"/>
      <c r="M14" s="1603"/>
      <c r="O14" s="3830"/>
      <c r="P14" s="3830"/>
      <c r="Q14" s="3830"/>
    </row>
    <row r="15" spans="1:25" s="8" customFormat="1" ht="12" customHeight="1">
      <c r="B15" s="1612" t="s">
        <v>440</v>
      </c>
      <c r="C15" s="1613"/>
      <c r="D15" s="1612" t="s">
        <v>1492</v>
      </c>
      <c r="E15" s="269"/>
      <c r="F15" s="273"/>
      <c r="G15" s="273" t="s">
        <v>416</v>
      </c>
      <c r="H15" s="1015"/>
      <c r="I15" s="1602"/>
      <c r="J15" s="1602"/>
      <c r="K15" s="1602"/>
      <c r="L15" s="1603"/>
      <c r="M15" s="1603"/>
      <c r="O15" s="3830"/>
      <c r="P15" s="3830"/>
      <c r="Q15" s="3830"/>
    </row>
    <row r="16" spans="1:25" s="8" customFormat="1" ht="12" customHeight="1">
      <c r="B16" s="1614" t="s">
        <v>3271</v>
      </c>
      <c r="C16" s="1609"/>
      <c r="D16" s="1608" t="s">
        <v>1492</v>
      </c>
      <c r="E16" s="1014"/>
      <c r="F16" s="273"/>
      <c r="G16" s="273" t="s">
        <v>416</v>
      </c>
      <c r="H16" s="1016"/>
      <c r="I16" s="1602"/>
      <c r="J16" s="1602"/>
      <c r="K16" s="1602"/>
      <c r="L16" s="1603"/>
      <c r="M16" s="1603"/>
      <c r="O16" s="3830"/>
      <c r="P16" s="3830"/>
      <c r="Q16" s="3830"/>
    </row>
    <row r="17" spans="1:25" s="8" customFormat="1" ht="12" customHeight="1">
      <c r="B17" s="1614" t="s">
        <v>3272</v>
      </c>
      <c r="C17" s="1609"/>
      <c r="D17" s="1608" t="s">
        <v>1492</v>
      </c>
      <c r="E17" s="1014"/>
      <c r="F17" s="273"/>
      <c r="G17" s="273" t="s">
        <v>416</v>
      </c>
      <c r="H17" s="1016"/>
      <c r="I17" s="1602"/>
      <c r="J17" s="1602"/>
      <c r="K17" s="1602"/>
      <c r="L17" s="1603"/>
      <c r="M17" s="1603"/>
      <c r="O17" s="3830"/>
      <c r="P17" s="3830"/>
      <c r="Q17" s="3830"/>
    </row>
    <row r="18" spans="1:25" s="8" customFormat="1" ht="12" customHeight="1">
      <c r="B18" s="1615" t="s">
        <v>3273</v>
      </c>
      <c r="C18" s="1611"/>
      <c r="D18" s="1610" t="s">
        <v>1492</v>
      </c>
      <c r="E18" s="1014"/>
      <c r="F18" s="273"/>
      <c r="G18" s="273" t="s">
        <v>416</v>
      </c>
      <c r="H18" s="268"/>
      <c r="I18" s="1602"/>
      <c r="J18" s="1602"/>
      <c r="K18" s="1602"/>
      <c r="L18" s="1603"/>
      <c r="M18" s="1603"/>
      <c r="O18" s="3830"/>
      <c r="P18" s="3830"/>
      <c r="Q18" s="3830"/>
    </row>
    <row r="19" spans="1:25" s="8" customFormat="1" ht="12" customHeight="1">
      <c r="B19" s="1612" t="s">
        <v>1293</v>
      </c>
      <c r="C19" s="1613"/>
      <c r="D19" s="1618" t="s">
        <v>3079</v>
      </c>
      <c r="E19" s="1600" t="s">
        <v>2654</v>
      </c>
      <c r="F19" s="273"/>
      <c r="G19" s="273" t="s">
        <v>416</v>
      </c>
      <c r="H19" s="1015"/>
      <c r="I19" s="1602"/>
      <c r="J19" s="1602"/>
      <c r="K19" s="1602"/>
      <c r="L19" s="1603"/>
      <c r="M19" s="1603"/>
      <c r="O19" s="3830"/>
      <c r="P19" s="3830"/>
      <c r="Q19" s="3830"/>
    </row>
    <row r="20" spans="1:25" s="8" customFormat="1" ht="12" customHeight="1">
      <c r="B20" s="1616" t="s">
        <v>1715</v>
      </c>
      <c r="C20" s="1617"/>
      <c r="D20" s="270"/>
      <c r="E20" s="242"/>
      <c r="F20" s="273"/>
      <c r="G20" s="273" t="s">
        <v>416</v>
      </c>
      <c r="H20" s="1016"/>
      <c r="I20" s="1602"/>
      <c r="J20" s="1602"/>
      <c r="K20" s="1602"/>
      <c r="L20" s="1603"/>
      <c r="M20" s="1603"/>
      <c r="O20" s="3830"/>
      <c r="P20" s="3830"/>
      <c r="Q20" s="3830"/>
    </row>
    <row r="21" spans="1:25" s="8" customFormat="1" ht="12" customHeight="1">
      <c r="B21" s="1616" t="s">
        <v>690</v>
      </c>
      <c r="C21" s="3843"/>
      <c r="D21" s="3844"/>
      <c r="E21" s="3845"/>
      <c r="F21" s="274"/>
      <c r="G21" s="274"/>
      <c r="H21" s="1018"/>
      <c r="I21" s="1604"/>
      <c r="J21" s="1604"/>
      <c r="K21" s="1604"/>
      <c r="L21" s="1605"/>
      <c r="M21" s="1605"/>
      <c r="O21" s="3830"/>
      <c r="P21" s="3830"/>
      <c r="Q21" s="3830"/>
    </row>
    <row r="22" spans="1:25" s="8" customFormat="1" ht="13">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46"/>
      <c r="J24" s="3847"/>
      <c r="K24" s="3847"/>
      <c r="L24" s="3847"/>
      <c r="M24" s="3848"/>
      <c r="O24" s="1067"/>
      <c r="P24" s="1067"/>
      <c r="Q24" s="1067"/>
      <c r="R24" s="1067"/>
      <c r="S24" s="1067"/>
      <c r="T24" s="1067"/>
      <c r="U24" s="1067"/>
      <c r="V24" s="516"/>
      <c r="W24" s="516"/>
      <c r="X24" s="516"/>
      <c r="Y24" s="516"/>
    </row>
    <row r="25" spans="1:25" s="8" customFormat="1" ht="13.4" customHeight="1">
      <c r="A25" s="13"/>
      <c r="B25" s="13"/>
      <c r="F25" s="1" t="s">
        <v>593</v>
      </c>
      <c r="G25" s="1"/>
      <c r="H25" s="33"/>
      <c r="I25" s="3849"/>
      <c r="J25" s="3850"/>
      <c r="K25" s="6" t="s">
        <v>505</v>
      </c>
      <c r="L25" s="3851"/>
      <c r="M25" s="3852"/>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ht="13">
      <c r="B27" s="265"/>
      <c r="C27" s="265"/>
      <c r="D27" s="265"/>
      <c r="E27" s="265"/>
      <c r="F27" s="3837" t="s">
        <v>567</v>
      </c>
      <c r="G27" s="3837"/>
      <c r="I27" s="3838" t="s">
        <v>193</v>
      </c>
      <c r="J27" s="3838"/>
      <c r="K27" s="3838"/>
      <c r="L27" s="3838"/>
      <c r="M27" s="3838"/>
      <c r="O27" s="1067"/>
      <c r="P27" s="1067"/>
      <c r="Q27" s="1067"/>
      <c r="R27" s="1067"/>
      <c r="S27" s="1067"/>
      <c r="T27" s="1067"/>
      <c r="U27" s="1067"/>
      <c r="V27" s="516"/>
      <c r="W27" s="516"/>
      <c r="X27" s="516"/>
      <c r="Y27" s="516"/>
    </row>
    <row r="28" spans="1:25" s="13" customFormat="1" ht="13">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9" t="s">
        <v>1690</v>
      </c>
      <c r="E29" s="3840"/>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1" t="s">
        <v>1690</v>
      </c>
      <c r="E30" s="3842"/>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1" t="s">
        <v>1690</v>
      </c>
      <c r="E31" s="3842"/>
      <c r="F31" s="273"/>
      <c r="G31" s="273"/>
      <c r="H31" s="268"/>
      <c r="I31" s="1602"/>
      <c r="J31" s="1602"/>
      <c r="K31" s="1602"/>
      <c r="L31" s="1603"/>
      <c r="M31" s="1603"/>
      <c r="O31" s="3830" t="s">
        <v>3277</v>
      </c>
      <c r="P31" s="3830"/>
      <c r="Q31" s="3830"/>
    </row>
    <row r="32" spans="1:25" s="8" customFormat="1" ht="12" customHeight="1">
      <c r="B32" s="1612" t="s">
        <v>440</v>
      </c>
      <c r="C32" s="1613"/>
      <c r="D32" s="1612" t="s">
        <v>1492</v>
      </c>
      <c r="E32" s="269"/>
      <c r="F32" s="273"/>
      <c r="G32" s="273"/>
      <c r="H32" s="1015"/>
      <c r="I32" s="1602"/>
      <c r="J32" s="1602"/>
      <c r="K32" s="1602"/>
      <c r="L32" s="1603"/>
      <c r="M32" s="1603"/>
      <c r="O32" s="3830"/>
      <c r="P32" s="3830"/>
      <c r="Q32" s="3830"/>
    </row>
    <row r="33" spans="1:19" s="8" customFormat="1" ht="12" customHeight="1">
      <c r="B33" s="1614" t="s">
        <v>3271</v>
      </c>
      <c r="C33" s="1609"/>
      <c r="D33" s="1608" t="s">
        <v>1492</v>
      </c>
      <c r="E33" s="1014"/>
      <c r="F33" s="273"/>
      <c r="G33" s="273"/>
      <c r="H33" s="1016"/>
      <c r="I33" s="1602"/>
      <c r="J33" s="1602"/>
      <c r="K33" s="1602"/>
      <c r="L33" s="1603"/>
      <c r="M33" s="1603"/>
      <c r="O33" s="3830"/>
      <c r="P33" s="3830"/>
      <c r="Q33" s="3830"/>
    </row>
    <row r="34" spans="1:19" s="8" customFormat="1" ht="12" customHeight="1">
      <c r="B34" s="1614" t="s">
        <v>3272</v>
      </c>
      <c r="C34" s="1609"/>
      <c r="D34" s="1608" t="s">
        <v>1492</v>
      </c>
      <c r="E34" s="1014"/>
      <c r="F34" s="273"/>
      <c r="G34" s="273"/>
      <c r="H34" s="1016"/>
      <c r="I34" s="1602"/>
      <c r="J34" s="1602"/>
      <c r="K34" s="1602"/>
      <c r="L34" s="1603"/>
      <c r="M34" s="1603"/>
      <c r="O34" s="3830"/>
      <c r="P34" s="3830"/>
      <c r="Q34" s="3830"/>
    </row>
    <row r="35" spans="1:19" s="8" customFormat="1" ht="12" customHeight="1">
      <c r="B35" s="1615" t="s">
        <v>3273</v>
      </c>
      <c r="C35" s="1611"/>
      <c r="D35" s="1610" t="s">
        <v>1492</v>
      </c>
      <c r="E35" s="1014"/>
      <c r="F35" s="273"/>
      <c r="G35" s="273"/>
      <c r="H35" s="268"/>
      <c r="I35" s="1602"/>
      <c r="J35" s="1602"/>
      <c r="K35" s="1602"/>
      <c r="L35" s="1603"/>
      <c r="M35" s="1603"/>
      <c r="O35" s="3830"/>
      <c r="P35" s="3830"/>
      <c r="Q35" s="3830"/>
    </row>
    <row r="36" spans="1:19" s="8" customFormat="1" ht="12" customHeight="1">
      <c r="B36" s="1612" t="s">
        <v>1293</v>
      </c>
      <c r="C36" s="1613"/>
      <c r="D36" s="1618" t="s">
        <v>3079</v>
      </c>
      <c r="E36" s="1600" t="s">
        <v>194</v>
      </c>
      <c r="F36" s="273"/>
      <c r="G36" s="273"/>
      <c r="H36" s="1015"/>
      <c r="I36" s="1602"/>
      <c r="J36" s="1602"/>
      <c r="K36" s="1602"/>
      <c r="L36" s="1603"/>
      <c r="M36" s="1603"/>
      <c r="O36" s="3830"/>
      <c r="P36" s="3830"/>
      <c r="Q36" s="3830"/>
    </row>
    <row r="37" spans="1:19" s="8" customFormat="1" ht="12" customHeight="1">
      <c r="B37" s="1616" t="s">
        <v>1715</v>
      </c>
      <c r="C37" s="1617"/>
      <c r="D37" s="270"/>
      <c r="E37" s="242"/>
      <c r="F37" s="273"/>
      <c r="G37" s="273"/>
      <c r="H37" s="1016"/>
      <c r="I37" s="1602"/>
      <c r="J37" s="1602"/>
      <c r="K37" s="1602"/>
      <c r="L37" s="1603"/>
      <c r="M37" s="1603"/>
      <c r="O37" s="3830"/>
      <c r="P37" s="3830"/>
      <c r="Q37" s="3830"/>
    </row>
    <row r="38" spans="1:19" s="8" customFormat="1" ht="12" customHeight="1">
      <c r="B38" s="1616" t="s">
        <v>690</v>
      </c>
      <c r="C38" s="3843"/>
      <c r="D38" s="3844"/>
      <c r="E38" s="3845"/>
      <c r="F38" s="274"/>
      <c r="G38" s="274"/>
      <c r="H38" s="1018"/>
      <c r="I38" s="1604"/>
      <c r="J38" s="1604"/>
      <c r="K38" s="1604"/>
      <c r="L38" s="1605"/>
      <c r="M38" s="1605"/>
      <c r="O38" s="3830"/>
      <c r="P38" s="3830"/>
      <c r="Q38" s="3830"/>
    </row>
    <row r="39" spans="1:19" s="8" customFormat="1" ht="13">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0"/>
      <c r="P39" s="3830"/>
      <c r="Q39" s="3830"/>
    </row>
    <row r="40" spans="1:19" ht="6" customHeight="1">
      <c r="A40" s="8"/>
    </row>
    <row r="41" spans="1:19" s="8" customFormat="1" ht="13">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1" t="s">
        <v>6923</v>
      </c>
      <c r="C43" s="3832"/>
      <c r="D43" s="3832"/>
      <c r="E43" s="3832"/>
      <c r="F43" s="3832"/>
      <c r="G43" s="3832"/>
      <c r="H43" s="3832"/>
      <c r="I43" s="3832"/>
      <c r="J43" s="3832"/>
      <c r="K43" s="3832"/>
      <c r="L43" s="3832"/>
      <c r="M43" s="3833"/>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34"/>
      <c r="C46" s="3835"/>
      <c r="D46" s="3835"/>
      <c r="E46" s="3835"/>
      <c r="F46" s="3835"/>
      <c r="G46" s="3835"/>
      <c r="H46" s="3835"/>
      <c r="I46" s="3835"/>
      <c r="J46" s="3835"/>
      <c r="K46" s="3835"/>
      <c r="L46" s="3835"/>
      <c r="M46" s="3836"/>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Maureen Freehill</cp:lastModifiedBy>
  <cp:lastPrinted>2022-06-03T15:53:32Z</cp:lastPrinted>
  <dcterms:created xsi:type="dcterms:W3CDTF">2005-09-15T20:51:37Z</dcterms:created>
  <dcterms:modified xsi:type="dcterms:W3CDTF">2022-06-03T16:22:11Z</dcterms:modified>
</cp:coreProperties>
</file>