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192.168.1.100\D drive\Shared Documents Corporate\Corporate Documents\GEORGIA\Georgia 2022\Fulton County\College Park\DCA\2022-0xxGibPkAppFldr\"/>
    </mc:Choice>
  </mc:AlternateContent>
  <xr:revisionPtr revIDLastSave="0" documentId="13_ncr:1_{7EF66B76-E6B8-426F-BDAE-B5C5E51E7E0C}"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6" activeTab="27"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O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Q1785" i="99"/>
  <c r="Q1767" i="99"/>
  <c r="Q1766" i="99"/>
  <c r="J1764" i="99"/>
  <c r="L1764" i="99" s="1"/>
  <c r="Q1745" i="99"/>
  <c r="Q1744" i="99"/>
  <c r="Q1743" i="99"/>
  <c r="L1732" i="99"/>
  <c r="E1732" i="99"/>
  <c r="M1725" i="99"/>
  <c r="Q1718" i="99"/>
  <c r="K1716" i="99"/>
  <c r="R1715" i="99"/>
  <c r="K1715" i="99"/>
  <c r="H1715" i="99"/>
  <c r="N1704" i="99"/>
  <c r="Q1697" i="99"/>
  <c r="L1681" i="99"/>
  <c r="Q1674" i="99"/>
  <c r="L1674" i="99"/>
  <c r="Q1672" i="99"/>
  <c r="Q1671" i="99"/>
  <c r="Q1670" i="99"/>
  <c r="V1667" i="99"/>
  <c r="Q1667" i="99"/>
  <c r="V1666" i="99"/>
  <c r="Q1666" i="99"/>
  <c r="Q1662" i="99"/>
  <c r="Q1642" i="99"/>
  <c r="H1642" i="99"/>
  <c r="M1625" i="99"/>
  <c r="J1603"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Y1530" i="99"/>
  <c r="X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0" i="99"/>
  <c r="E1030" i="99"/>
  <c r="D1030" i="99"/>
  <c r="C1030" i="99"/>
  <c r="B1030" i="99"/>
  <c r="F1029" i="99"/>
  <c r="E1029" i="99"/>
  <c r="D1029" i="99"/>
  <c r="C1029" i="99"/>
  <c r="B1029" i="99"/>
  <c r="F1024" i="99"/>
  <c r="B1024" i="99"/>
  <c r="C1023" i="99"/>
  <c r="F1019" i="99"/>
  <c r="E1019" i="99"/>
  <c r="D1019" i="99"/>
  <c r="C1019" i="99"/>
  <c r="B1019" i="99"/>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5" i="99"/>
  <c r="D925" i="99"/>
  <c r="E925" i="99"/>
  <c r="F925" i="99"/>
  <c r="G925" i="99"/>
  <c r="H925" i="99"/>
  <c r="I925" i="99"/>
  <c r="J925" i="99"/>
  <c r="K925" i="99"/>
  <c r="B925"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1" i="99"/>
  <c r="G931" i="99"/>
  <c r="E931" i="99"/>
  <c r="C931" i="99"/>
  <c r="A931" i="99"/>
  <c r="A963" i="99" s="1"/>
  <c r="A994" i="99" s="1"/>
  <c r="A1024" i="99" s="1"/>
  <c r="J930" i="99"/>
  <c r="H930" i="99"/>
  <c r="B930" i="99"/>
  <c r="A930" i="99"/>
  <c r="A962" i="99" s="1"/>
  <c r="A993" i="99" s="1"/>
  <c r="A1023" i="99" s="1"/>
  <c r="A929" i="99"/>
  <c r="A961" i="99" s="1"/>
  <c r="A992" i="99" s="1"/>
  <c r="A1022" i="99" s="1"/>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E687" i="99" s="1"/>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S445" i="99" s="1"/>
  <c r="G440" i="99"/>
  <c r="G441"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J338" i="99"/>
  <c r="G336" i="99"/>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J441" i="99"/>
  <c r="J440"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F347" i="99"/>
  <c r="V346" i="99"/>
  <c r="G346" i="99"/>
  <c r="W339" i="99"/>
  <c r="O339" i="99"/>
  <c r="V338" i="99"/>
  <c r="P338" i="99"/>
  <c r="M338" i="99"/>
  <c r="G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L275"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51" i="72"/>
  <c r="O1742" i="99" s="1"/>
  <c r="O224" i="72"/>
  <c r="O204" i="72"/>
  <c r="O1695" i="99" s="1"/>
  <c r="O102" i="72"/>
  <c r="O1593" i="99" s="1"/>
  <c r="P1594" i="99" s="1"/>
  <c r="L879" i="99" l="1"/>
  <c r="F885" i="99"/>
  <c r="F865" i="99"/>
  <c r="B688" i="99"/>
  <c r="E688" i="99"/>
  <c r="A437" i="99"/>
  <c r="S424" i="99"/>
  <c r="S413" i="99"/>
  <c r="J328" i="99"/>
  <c r="U325" i="99"/>
  <c r="G328" i="99"/>
  <c r="G351" i="99"/>
  <c r="J346" i="99"/>
  <c r="J402" i="99"/>
  <c r="J396" i="99"/>
  <c r="G413" i="99"/>
  <c r="J437" i="99"/>
  <c r="F1522" i="99"/>
  <c r="Q1509" i="99"/>
  <c r="G445" i="99"/>
  <c r="L294" i="99"/>
  <c r="N294" i="99" s="1"/>
  <c r="L293" i="99"/>
  <c r="N293" i="99" s="1"/>
  <c r="I17" i="99"/>
  <c r="J501" i="99"/>
  <c r="E418" i="99" s="1"/>
  <c r="J492" i="99"/>
  <c r="AA1541" i="99"/>
  <c r="AB1541" i="99"/>
  <c r="AA1540" i="99"/>
  <c r="AB1540" i="99"/>
  <c r="X1540" i="99"/>
  <c r="O267" i="72"/>
  <c r="O1758" i="99" s="1"/>
  <c r="O1752" i="99"/>
  <c r="Q1758" i="99" s="1"/>
  <c r="X1537" i="99"/>
  <c r="L1742" i="99"/>
  <c r="L1695" i="99"/>
  <c r="Y1533" i="99"/>
  <c r="K613"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C930" i="99"/>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S456" i="99"/>
  <c r="U327" i="99"/>
  <c r="AD437" i="99"/>
  <c r="E348" i="99"/>
  <c r="G353" i="99"/>
  <c r="AF418" i="99"/>
  <c r="I302" i="99"/>
  <c r="GC687" i="99" l="1"/>
  <c r="L805" i="99" s="1"/>
  <c r="MA687" i="99"/>
  <c r="FB687" i="99"/>
  <c r="O798" i="99" s="1"/>
  <c r="A687" i="99"/>
  <c r="A644" i="99" s="1"/>
  <c r="HR687" i="99"/>
  <c r="M758" i="99" s="1"/>
  <c r="BF687" i="99"/>
  <c r="O700" i="99" s="1"/>
  <c r="HV687" i="99"/>
  <c r="AI687" i="99"/>
  <c r="L696" i="99" s="1"/>
  <c r="BA687" i="99"/>
  <c r="O699" i="99" s="1"/>
  <c r="CG687" i="99"/>
  <c r="L733"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E351" i="99"/>
  <c r="G347" i="99" s="1"/>
  <c r="K32" i="66"/>
  <c r="H1094" i="99" s="1"/>
  <c r="P698" i="99" l="1"/>
  <c r="O749" i="99"/>
  <c r="P700" i="99"/>
  <c r="M759" i="99"/>
  <c r="P803" i="99"/>
  <c r="P797" i="99"/>
  <c r="P752" i="99"/>
  <c r="P745" i="99"/>
  <c r="P699" i="99"/>
  <c r="P702" i="99"/>
  <c r="Q803" i="99" s="1"/>
  <c r="O802" i="99"/>
  <c r="O804" i="99" s="1"/>
  <c r="O806" i="99" s="1"/>
  <c r="P758"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P753" i="99" s="1"/>
  <c r="K738" i="99"/>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N809" i="99" l="1"/>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244" i="99"/>
  <c r="J37" i="99"/>
  <c r="A3" i="99"/>
  <c r="P50" i="98"/>
  <c r="G74" i="98" s="1"/>
  <c r="L74" i="98" s="1"/>
  <c r="A2" i="75"/>
  <c r="A2" i="68"/>
  <c r="A2" i="78"/>
  <c r="W2" i="78" s="1"/>
  <c r="A1" i="77"/>
  <c r="A1" i="72"/>
  <c r="A1" i="76"/>
  <c r="A1" i="73"/>
  <c r="A2" i="74"/>
  <c r="G56" i="98"/>
  <c r="L56" i="98" s="1"/>
  <c r="G57" i="98"/>
  <c r="L57" i="98" s="1"/>
  <c r="G71" i="98"/>
  <c r="L71" i="98" s="1"/>
  <c r="G59" i="98"/>
  <c r="L59" i="98" s="1"/>
  <c r="G66" i="98"/>
  <c r="L66" i="98" s="1"/>
  <c r="G58" i="98"/>
  <c r="L58" i="98" s="1"/>
  <c r="G64" i="98"/>
  <c r="L64" i="98" s="1"/>
  <c r="G60" i="98"/>
  <c r="L60" i="98" s="1"/>
  <c r="G63" i="98"/>
  <c r="L63" i="98" s="1"/>
  <c r="G52" i="98"/>
  <c r="L52" i="98" s="1"/>
  <c r="G70" i="98"/>
  <c r="L70" i="98" s="1"/>
  <c r="G50" i="98"/>
  <c r="L50" i="98" s="1"/>
  <c r="G51" i="98"/>
  <c r="L51" i="98" s="1"/>
  <c r="G65" i="98"/>
  <c r="L65"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F956" i="99" s="1"/>
  <c r="F964" i="99" s="1"/>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29" i="74"/>
  <c r="H924" i="99" s="1"/>
  <c r="H932" i="99" s="1"/>
  <c r="I61" i="74"/>
  <c r="I956" i="99" s="1"/>
  <c r="I964" i="99" s="1"/>
  <c r="T2" i="75"/>
  <c r="A2" i="67"/>
  <c r="B43" i="74"/>
  <c r="B938" i="99" s="1"/>
  <c r="B42" i="74"/>
  <c r="C41" i="74"/>
  <c r="M16" i="75"/>
  <c r="M14" i="75"/>
  <c r="C43" i="74"/>
  <c r="C938" i="99" s="1"/>
  <c r="C42" i="74"/>
  <c r="D41" i="74"/>
  <c r="D43" i="74"/>
  <c r="D938" i="99" s="1"/>
  <c r="D42" i="74"/>
  <c r="E41" i="74"/>
  <c r="E43" i="74"/>
  <c r="E938" i="99" s="1"/>
  <c r="E42" i="74"/>
  <c r="F41" i="74"/>
  <c r="F43" i="74"/>
  <c r="F938" i="99" s="1"/>
  <c r="F42" i="74"/>
  <c r="G41" i="74"/>
  <c r="G43" i="74"/>
  <c r="G938" i="99" s="1"/>
  <c r="G42" i="74"/>
  <c r="H41" i="74"/>
  <c r="H43" i="74"/>
  <c r="H938" i="99" s="1"/>
  <c r="H42" i="74"/>
  <c r="I41" i="74"/>
  <c r="I43" i="74"/>
  <c r="I938" i="99" s="1"/>
  <c r="I42" i="74"/>
  <c r="J41" i="74"/>
  <c r="J43" i="74"/>
  <c r="J938" i="99" s="1"/>
  <c r="J42" i="74"/>
  <c r="K41" i="74"/>
  <c r="K43" i="74"/>
  <c r="K938" i="99" s="1"/>
  <c r="B75" i="74"/>
  <c r="B970" i="99" s="1"/>
  <c r="K42" i="74"/>
  <c r="B73" i="74"/>
  <c r="C75" i="74"/>
  <c r="C970" i="99" s="1"/>
  <c r="B74" i="74"/>
  <c r="C73" i="74"/>
  <c r="D75" i="74"/>
  <c r="D970" i="99" s="1"/>
  <c r="C74" i="74"/>
  <c r="D73" i="74"/>
  <c r="E75" i="74"/>
  <c r="E970" i="99" s="1"/>
  <c r="D74" i="74"/>
  <c r="E73" i="74"/>
  <c r="F75" i="74"/>
  <c r="F970" i="99" s="1"/>
  <c r="E74" i="74"/>
  <c r="F73" i="74"/>
  <c r="G75" i="74"/>
  <c r="G970" i="99" s="1"/>
  <c r="F74" i="74"/>
  <c r="G73" i="74"/>
  <c r="H75" i="74"/>
  <c r="H970" i="99" s="1"/>
  <c r="G74" i="74"/>
  <c r="H73" i="74"/>
  <c r="I75" i="74"/>
  <c r="I970" i="99" s="1"/>
  <c r="H74" i="74"/>
  <c r="I73" i="74"/>
  <c r="B59" i="82"/>
  <c r="J75" i="74"/>
  <c r="J970" i="99" s="1"/>
  <c r="I74" i="74"/>
  <c r="J73" i="74"/>
  <c r="K75" i="74"/>
  <c r="K970" i="99" s="1"/>
  <c r="J74" i="74"/>
  <c r="K73" i="74"/>
  <c r="B106" i="74"/>
  <c r="B1001" i="99" s="1"/>
  <c r="K74" i="74"/>
  <c r="B104" i="74"/>
  <c r="C106" i="74"/>
  <c r="C1001" i="99" s="1"/>
  <c r="B105" i="74"/>
  <c r="C104" i="74"/>
  <c r="D106" i="74"/>
  <c r="D1001" i="99" s="1"/>
  <c r="C105" i="74"/>
  <c r="D104" i="74"/>
  <c r="E106" i="74"/>
  <c r="E1001" i="99" s="1"/>
  <c r="D105" i="74"/>
  <c r="E104" i="74"/>
  <c r="F106" i="74"/>
  <c r="F1001" i="99" s="1"/>
  <c r="E105" i="74"/>
  <c r="F104" i="74"/>
  <c r="G106" i="74"/>
  <c r="G1001" i="99" s="1"/>
  <c r="F105" i="74"/>
  <c r="G104" i="74"/>
  <c r="H106" i="74"/>
  <c r="H1001" i="99" s="1"/>
  <c r="G105" i="74"/>
  <c r="H104" i="74"/>
  <c r="I106" i="74"/>
  <c r="I1001" i="99" s="1"/>
  <c r="H105" i="74"/>
  <c r="I104" i="74"/>
  <c r="J106" i="74"/>
  <c r="J1001" i="99" s="1"/>
  <c r="I105" i="74"/>
  <c r="J104" i="74"/>
  <c r="K106" i="74"/>
  <c r="K1001" i="99" s="1"/>
  <c r="J105" i="74"/>
  <c r="K104" i="74"/>
  <c r="B136" i="74"/>
  <c r="B1031" i="99" s="1"/>
  <c r="K105" i="74"/>
  <c r="B134" i="74"/>
  <c r="C136" i="74"/>
  <c r="C1031" i="99" s="1"/>
  <c r="B135" i="74"/>
  <c r="C134" i="74"/>
  <c r="D136" i="74"/>
  <c r="D1031" i="99" s="1"/>
  <c r="C135" i="74"/>
  <c r="D134" i="74"/>
  <c r="E136" i="74"/>
  <c r="E1031" i="99" s="1"/>
  <c r="D135" i="74"/>
  <c r="E134" i="74"/>
  <c r="F136" i="74"/>
  <c r="F1031" i="99" s="1"/>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1025" i="99" l="1"/>
  <c r="Q868" i="99"/>
  <c r="N39" i="99"/>
  <c r="P642" i="99"/>
  <c r="O39" i="99"/>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K37" i="74"/>
  <c r="B29" i="74"/>
  <c r="B924" i="99" s="1"/>
  <c r="C29" i="74"/>
  <c r="C924" i="99" s="1"/>
  <c r="C932" i="99" s="1"/>
  <c r="E123" i="74"/>
  <c r="E1018" i="99" s="1"/>
  <c r="E1025" i="99" s="1"/>
  <c r="I29" i="74"/>
  <c r="I924" i="99" s="1"/>
  <c r="I93" i="74"/>
  <c r="I988" i="99" s="1"/>
  <c r="I995" i="99" s="1"/>
  <c r="C123" i="74"/>
  <c r="C1018" i="99" s="1"/>
  <c r="H61" i="74"/>
  <c r="H956" i="99" s="1"/>
  <c r="H964" i="99" s="1"/>
  <c r="B93" i="74"/>
  <c r="B988" i="99" s="1"/>
  <c r="J93" i="74"/>
  <c r="J988" i="99" s="1"/>
  <c r="J995" i="99" s="1"/>
  <c r="D123" i="74"/>
  <c r="D1018" i="99" s="1"/>
  <c r="E93" i="74"/>
  <c r="E988" i="99" s="1"/>
  <c r="E995" i="99" s="1"/>
  <c r="F123" i="74"/>
  <c r="F1018" i="99" s="1"/>
  <c r="F1025" i="99" s="1"/>
  <c r="D61" i="74"/>
  <c r="D956" i="99" s="1"/>
  <c r="D964" i="99" s="1"/>
  <c r="F93" i="74"/>
  <c r="F988" i="99" s="1"/>
  <c r="F995" i="99" s="1"/>
  <c r="H1" i="95"/>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D10" i="86"/>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D1025" i="99" l="1"/>
  <c r="B995" i="99"/>
  <c r="R982" i="99"/>
  <c r="S982" i="99" s="1"/>
  <c r="C1025" i="99"/>
  <c r="R1012" i="99"/>
  <c r="S1012" i="99" s="1"/>
  <c r="I932" i="99"/>
  <c r="B932" i="99"/>
  <c r="J964" i="99"/>
  <c r="B964" i="99"/>
  <c r="R950" i="99"/>
  <c r="S950" i="99" s="1"/>
  <c r="L34" i="68"/>
  <c r="L276" i="99" s="1"/>
  <c r="L277" i="99" s="1"/>
  <c r="I303" i="99"/>
  <c r="J927" i="99"/>
  <c r="B927" i="99"/>
  <c r="B44" i="74"/>
  <c r="B939" i="99" s="1"/>
  <c r="F959" i="99"/>
  <c r="F927" i="99"/>
  <c r="D959" i="99"/>
  <c r="E959" i="99"/>
  <c r="E927" i="99"/>
  <c r="G927" i="99"/>
  <c r="K927" i="99"/>
  <c r="H927" i="99"/>
  <c r="I927" i="99"/>
  <c r="D927" i="99"/>
  <c r="C959" i="99"/>
  <c r="B959" i="99"/>
  <c r="C927" i="99"/>
  <c r="C44" i="74"/>
  <c r="K921" i="99"/>
  <c r="J985" i="99"/>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D424" i="99" l="1"/>
  <c r="AF424" i="99" s="1"/>
  <c r="AD109" i="78"/>
  <c r="AF109" i="78" s="1"/>
  <c r="AD419" i="99"/>
  <c r="AD420" i="99"/>
  <c r="AF420" i="99" s="1"/>
  <c r="P293" i="99"/>
  <c r="P294" i="99"/>
  <c r="I304" i="99"/>
  <c r="C939" i="99"/>
  <c r="D44" i="74"/>
  <c r="R926" i="99"/>
  <c r="R919" i="99"/>
  <c r="R916" i="99"/>
  <c r="R935" i="99"/>
  <c r="R928" i="99"/>
  <c r="R934" i="99"/>
  <c r="R918" i="99"/>
  <c r="R920" i="99"/>
  <c r="R921" i="99"/>
  <c r="R922" i="99"/>
  <c r="R923" i="99"/>
  <c r="R924" i="99"/>
  <c r="R929" i="99"/>
  <c r="R931" i="99"/>
  <c r="R932" i="99"/>
  <c r="R917" i="99"/>
  <c r="R925" i="99"/>
  <c r="R927" i="99"/>
  <c r="R930" i="99"/>
  <c r="R933" i="99"/>
  <c r="AB1538" i="99"/>
  <c r="Y1538" i="99"/>
  <c r="Z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G1386" i="99" l="1"/>
  <c r="G1381" i="99"/>
  <c r="L348" i="73"/>
  <c r="L1386" i="99"/>
  <c r="L1381" i="99"/>
  <c r="AF419" i="99"/>
  <c r="AF421" i="99" s="1"/>
  <c r="AD421" i="99"/>
  <c r="P295" i="99"/>
  <c r="D939" i="99"/>
  <c r="E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F359" i="99"/>
  <c r="F368" i="99"/>
  <c r="K175" i="75"/>
  <c r="J359" i="99"/>
  <c r="J368" i="99"/>
  <c r="L1588" i="99"/>
  <c r="P1588" i="99" s="1"/>
  <c r="K1588" i="99"/>
  <c r="O1588" i="99" s="1"/>
  <c r="F358" i="99"/>
  <c r="F367" i="99"/>
  <c r="P477" i="99"/>
  <c r="P478" i="99" s="1"/>
  <c r="P480" i="99" s="1"/>
  <c r="M477" i="99"/>
  <c r="M478" i="99" s="1"/>
  <c r="M480" i="99" s="1"/>
  <c r="J477" i="99"/>
  <c r="J478" i="99" s="1"/>
  <c r="J480" i="99" s="1"/>
  <c r="J481" i="99" s="1"/>
  <c r="H1881" i="99"/>
  <c r="Q242" i="75"/>
  <c r="P242" i="75"/>
  <c r="AD113" i="78"/>
  <c r="AF113" i="78" s="1"/>
  <c r="AD423" i="99"/>
  <c r="E939" i="99"/>
  <c r="F44" i="74"/>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G910" i="99" l="1"/>
  <c r="B911" i="99"/>
  <c r="E910" i="99"/>
  <c r="D910" i="99"/>
  <c r="C910" i="99"/>
  <c r="F910" i="99"/>
  <c r="AD106" i="78"/>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E397" i="99"/>
  <c r="AE433" i="99"/>
  <c r="AE436" i="99"/>
  <c r="J358" i="99"/>
  <c r="AE434" i="99"/>
  <c r="AE437" i="99"/>
  <c r="AF435" i="99" s="1"/>
  <c r="AH435" i="99" s="1"/>
  <c r="J367" i="99"/>
  <c r="M290" i="73"/>
  <c r="L290" i="73" s="1"/>
  <c r="M293" i="73"/>
  <c r="L293" i="73" s="1"/>
  <c r="Q230" i="75"/>
  <c r="N873" i="99"/>
  <c r="AF423" i="99"/>
  <c r="AF425" i="99" s="1"/>
  <c r="E419" i="99" s="1"/>
  <c r="I419" i="99" s="1"/>
  <c r="AD425" i="99"/>
  <c r="G458" i="99"/>
  <c r="P358" i="99"/>
  <c r="P367" i="99"/>
  <c r="F939" i="99"/>
  <c r="G44" i="74"/>
  <c r="M77" i="98"/>
  <c r="H77" i="98"/>
  <c r="P71" i="98" s="1"/>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J365" i="72" s="1"/>
  <c r="J366" i="72" s="1"/>
  <c r="S189" i="78"/>
  <c r="M441" i="72"/>
  <c r="E343" i="73"/>
  <c r="N343" i="73" s="1"/>
  <c r="H40" i="74"/>
  <c r="H935" i="99" s="1"/>
  <c r="L88" i="72"/>
  <c r="O92" i="72" s="1"/>
  <c r="O1583" i="99" s="1"/>
  <c r="K52" i="84"/>
  <c r="I52" i="84"/>
  <c r="E52" i="84"/>
  <c r="B17" i="74"/>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F911" i="99"/>
  <c r="C911" i="99"/>
  <c r="E911" i="99"/>
  <c r="D911" i="99"/>
  <c r="B912" i="99"/>
  <c r="B915" i="99" s="1"/>
  <c r="B22" i="74"/>
  <c r="G911" i="99"/>
  <c r="H53" i="82"/>
  <c r="H926" i="99"/>
  <c r="F23" i="74"/>
  <c r="F918" i="99" s="1"/>
  <c r="B918" i="99"/>
  <c r="AF432" i="99"/>
  <c r="AH432" i="99" s="1"/>
  <c r="M1856" i="99"/>
  <c r="J1856" i="99"/>
  <c r="J1857" i="99" s="1"/>
  <c r="G939" i="99"/>
  <c r="H44" i="74"/>
  <c r="G17" i="74"/>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O87" i="75"/>
  <c r="K87" i="75"/>
  <c r="L87" i="75"/>
  <c r="M75" i="75"/>
  <c r="L75" i="75"/>
  <c r="O78" i="75"/>
  <c r="K72" i="75"/>
  <c r="N84" i="75"/>
  <c r="M81" i="75"/>
  <c r="O81" i="75"/>
  <c r="M90" i="75"/>
  <c r="K90" i="75"/>
  <c r="P84" i="75"/>
  <c r="P75" i="75"/>
  <c r="P81" i="75"/>
  <c r="P90" i="75"/>
  <c r="AF125" i="78"/>
  <c r="AH125" i="78" s="1"/>
  <c r="H19" i="84"/>
  <c r="AF122" i="78"/>
  <c r="AH122" i="78" s="1"/>
  <c r="E127" i="78" s="1"/>
  <c r="D17" i="83"/>
  <c r="C19" i="84"/>
  <c r="F16" i="85"/>
  <c r="G20" i="74"/>
  <c r="H17" i="74"/>
  <c r="I53" i="82"/>
  <c r="J31" i="74"/>
  <c r="J926" i="99" s="1"/>
  <c r="I24" i="74"/>
  <c r="J14" i="74"/>
  <c r="I16" i="74"/>
  <c r="I911" i="99" s="1"/>
  <c r="I15" i="74"/>
  <c r="G13" i="86"/>
  <c r="I910" i="99" l="1"/>
  <c r="H912" i="99"/>
  <c r="H915" i="99" s="1"/>
  <c r="H22" i="74"/>
  <c r="F912" i="99"/>
  <c r="F915" i="99" s="1"/>
  <c r="F22" i="74"/>
  <c r="E912" i="99"/>
  <c r="E915" i="99" s="1"/>
  <c r="E22" i="74"/>
  <c r="D912" i="99"/>
  <c r="D915" i="99" s="1"/>
  <c r="D22" i="74"/>
  <c r="C912" i="99"/>
  <c r="C915" i="99" s="1"/>
  <c r="C22" i="74"/>
  <c r="G912" i="99"/>
  <c r="G915" i="99" s="1"/>
  <c r="G22" i="74"/>
  <c r="B917" i="99"/>
  <c r="Q220" i="75"/>
  <c r="H939" i="99"/>
  <c r="I44"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H20" i="74"/>
  <c r="I912" i="99" l="1"/>
  <c r="I915" i="99" s="1"/>
  <c r="I22" i="74"/>
  <c r="J910" i="99"/>
  <c r="Q858" i="99"/>
  <c r="C68" i="84"/>
  <c r="Q228" i="75"/>
  <c r="O222" i="75"/>
  <c r="O221" i="75"/>
  <c r="G917" i="99"/>
  <c r="C917" i="99"/>
  <c r="D917" i="99"/>
  <c r="E917" i="99"/>
  <c r="F917" i="99"/>
  <c r="H917" i="99"/>
  <c r="I939" i="99"/>
  <c r="J44" i="74"/>
  <c r="Z1527" i="99"/>
  <c r="Z1553" i="99" s="1"/>
  <c r="AB1527" i="99"/>
  <c r="AB1553" i="99" s="1"/>
  <c r="Y1527" i="99"/>
  <c r="Y1553" i="99" s="1"/>
  <c r="AC1527" i="99"/>
  <c r="AC1553" i="99" s="1"/>
  <c r="P1581" i="99"/>
  <c r="X1527" i="99"/>
  <c r="X1553" i="99" s="1"/>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l="1"/>
  <c r="J915" i="99" s="1"/>
  <c r="J22" i="74"/>
  <c r="K910" i="99"/>
  <c r="F441" i="99"/>
  <c r="F440" i="99"/>
  <c r="F131" i="78"/>
  <c r="F130" i="78"/>
  <c r="B21" i="74"/>
  <c r="Q247" i="75"/>
  <c r="N228" i="75"/>
  <c r="P229" i="75"/>
  <c r="K68" i="84"/>
  <c r="K70" i="84" s="1"/>
  <c r="E68" i="84"/>
  <c r="E70" i="84" s="1"/>
  <c r="I68" i="84"/>
  <c r="I70" i="84" s="1"/>
  <c r="G68" i="84"/>
  <c r="G70" i="84" s="1"/>
  <c r="C70" i="84"/>
  <c r="Q866" i="99"/>
  <c r="O859" i="99"/>
  <c r="O860" i="99"/>
  <c r="I917" i="99"/>
  <c r="J939" i="99"/>
  <c r="K44" i="74"/>
  <c r="E30" i="86"/>
  <c r="B15" i="82"/>
  <c r="J183" i="78"/>
  <c r="M189" i="78" s="1"/>
  <c r="B72" i="74"/>
  <c r="B967" i="99" s="1"/>
  <c r="J20" i="74"/>
  <c r="K17" i="74"/>
  <c r="C46" i="74"/>
  <c r="B56" i="74"/>
  <c r="B48" i="74"/>
  <c r="B943" i="99" s="1"/>
  <c r="B47" i="74"/>
  <c r="B53" i="74"/>
  <c r="B55" i="74"/>
  <c r="B950" i="99" s="1"/>
  <c r="C63" i="74"/>
  <c r="C958" i="99" s="1"/>
  <c r="B73" i="82"/>
  <c r="E33" i="86"/>
  <c r="B942" i="99" l="1"/>
  <c r="K912" i="99"/>
  <c r="K915" i="99" s="1"/>
  <c r="K22" i="74"/>
  <c r="N866" i="99"/>
  <c r="P867" i="99"/>
  <c r="Q885" i="99"/>
  <c r="C72" i="84"/>
  <c r="C76" i="84"/>
  <c r="C73" i="84" s="1"/>
  <c r="G76" i="84"/>
  <c r="G73" i="84" s="1"/>
  <c r="G72" i="84"/>
  <c r="I76" i="84"/>
  <c r="I73" i="84" s="1"/>
  <c r="I72" i="84"/>
  <c r="E76" i="84"/>
  <c r="E73" i="84" s="1"/>
  <c r="E72" i="84"/>
  <c r="K72" i="84"/>
  <c r="K76" i="84"/>
  <c r="K73" i="84" s="1"/>
  <c r="B916" i="99"/>
  <c r="B920" i="99" s="1"/>
  <c r="E21" i="74"/>
  <c r="D21" i="74"/>
  <c r="C21" i="74"/>
  <c r="F21" i="74"/>
  <c r="G21" i="74"/>
  <c r="H21" i="74"/>
  <c r="I21" i="74"/>
  <c r="B25" i="74"/>
  <c r="B39" i="74"/>
  <c r="B934" i="99" s="1"/>
  <c r="J21" i="74"/>
  <c r="J916" i="99" s="1"/>
  <c r="K21" i="74"/>
  <c r="K916" i="99" s="1"/>
  <c r="J917" i="99"/>
  <c r="J39" i="74"/>
  <c r="J934" i="99" s="1"/>
  <c r="J920" i="99"/>
  <c r="B948" i="99"/>
  <c r="K939" i="99"/>
  <c r="B76" i="74"/>
  <c r="F30" i="86"/>
  <c r="C72" i="74"/>
  <c r="C967" i="99" s="1"/>
  <c r="J25" i="74"/>
  <c r="C73" i="82"/>
  <c r="D63" i="74"/>
  <c r="D958" i="99" s="1"/>
  <c r="C48" i="74"/>
  <c r="C943" i="99" s="1"/>
  <c r="C56" i="74"/>
  <c r="D46" i="74"/>
  <c r="C47" i="74"/>
  <c r="C53" i="74"/>
  <c r="C55" i="74"/>
  <c r="C950" i="99" s="1"/>
  <c r="B49" i="74"/>
  <c r="F33" i="86"/>
  <c r="K20" i="74"/>
  <c r="B944" i="99" l="1"/>
  <c r="B947" i="99" s="1"/>
  <c r="B54" i="74"/>
  <c r="C942" i="99"/>
  <c r="J928" i="99"/>
  <c r="J929" i="99"/>
  <c r="J933" i="99"/>
  <c r="B34" i="74"/>
  <c r="B38" i="74"/>
  <c r="B44" i="82"/>
  <c r="B33" i="74"/>
  <c r="I916" i="99"/>
  <c r="I920" i="99" s="1"/>
  <c r="I39" i="74"/>
  <c r="I934" i="99" s="1"/>
  <c r="I25" i="74"/>
  <c r="H916" i="99"/>
  <c r="H920" i="99" s="1"/>
  <c r="H39" i="74"/>
  <c r="H934" i="99" s="1"/>
  <c r="H25" i="74"/>
  <c r="G916" i="99"/>
  <c r="G920" i="99" s="1"/>
  <c r="G25" i="74"/>
  <c r="G39" i="74"/>
  <c r="G934" i="99" s="1"/>
  <c r="F916" i="99"/>
  <c r="F920" i="99" s="1"/>
  <c r="F39" i="74"/>
  <c r="F934" i="99" s="1"/>
  <c r="F25" i="74"/>
  <c r="C916" i="99"/>
  <c r="C920" i="99" s="1"/>
  <c r="C25" i="74"/>
  <c r="C39" i="74"/>
  <c r="C934" i="99" s="1"/>
  <c r="D916" i="99"/>
  <c r="D920" i="99" s="1"/>
  <c r="D39" i="74"/>
  <c r="D934" i="99" s="1"/>
  <c r="D25" i="74"/>
  <c r="E916" i="99"/>
  <c r="E920" i="99" s="1"/>
  <c r="E39" i="74"/>
  <c r="E934" i="99" s="1"/>
  <c r="E25" i="74"/>
  <c r="B928" i="99"/>
  <c r="B929" i="99"/>
  <c r="B933" i="99"/>
  <c r="K917" i="99"/>
  <c r="K39" i="74"/>
  <c r="K934" i="99" s="1"/>
  <c r="K920" i="99"/>
  <c r="C948" i="99"/>
  <c r="J34" i="74"/>
  <c r="J38" i="74"/>
  <c r="B971" i="99"/>
  <c r="C76" i="74"/>
  <c r="G30" i="86"/>
  <c r="D72" i="74"/>
  <c r="D967" i="99" s="1"/>
  <c r="J33" i="74"/>
  <c r="J44" i="82"/>
  <c r="J46" i="82" s="1"/>
  <c r="E46" i="74"/>
  <c r="D56" i="74"/>
  <c r="D48" i="74"/>
  <c r="D943" i="99" s="1"/>
  <c r="D47" i="74"/>
  <c r="D53" i="74"/>
  <c r="D55" i="74"/>
  <c r="D950" i="99" s="1"/>
  <c r="E63" i="74"/>
  <c r="E958" i="99" s="1"/>
  <c r="D73" i="82"/>
  <c r="G33" i="86"/>
  <c r="K25" i="74"/>
  <c r="B52" i="74"/>
  <c r="C49" i="74"/>
  <c r="C944" i="99" l="1"/>
  <c r="C947" i="99" s="1"/>
  <c r="C54" i="74"/>
  <c r="D942" i="99"/>
  <c r="K928" i="99"/>
  <c r="K929" i="99"/>
  <c r="K933" i="99"/>
  <c r="S916" i="99"/>
  <c r="E34" i="74"/>
  <c r="E38" i="74"/>
  <c r="E33" i="74"/>
  <c r="F9" i="86" s="1"/>
  <c r="F17" i="86" s="1"/>
  <c r="F18" i="86" s="1"/>
  <c r="F20" i="86" s="1"/>
  <c r="F24" i="86" s="1"/>
  <c r="K9" i="86" s="1"/>
  <c r="E44" i="82"/>
  <c r="E928" i="99"/>
  <c r="E929" i="99"/>
  <c r="E933" i="99"/>
  <c r="D34" i="74"/>
  <c r="D38" i="74"/>
  <c r="D44" i="82"/>
  <c r="D33" i="74"/>
  <c r="E9" i="86" s="1"/>
  <c r="E17" i="86" s="1"/>
  <c r="E18" i="86" s="1"/>
  <c r="E20" i="86" s="1"/>
  <c r="E24" i="86" s="1"/>
  <c r="K8" i="86" s="1"/>
  <c r="D928" i="99"/>
  <c r="D929" i="99"/>
  <c r="D933" i="99"/>
  <c r="C34" i="74"/>
  <c r="C38" i="74"/>
  <c r="C33" i="74"/>
  <c r="C44" i="82"/>
  <c r="C928" i="99"/>
  <c r="C929" i="99"/>
  <c r="C933" i="99"/>
  <c r="F34" i="74"/>
  <c r="F38" i="74"/>
  <c r="F44" i="82"/>
  <c r="F33" i="74"/>
  <c r="G9" i="86" s="1"/>
  <c r="G17" i="86" s="1"/>
  <c r="G18" i="86" s="1"/>
  <c r="G20" i="86" s="1"/>
  <c r="G24" i="86" s="1"/>
  <c r="K10" i="86" s="1"/>
  <c r="F928" i="99"/>
  <c r="F933" i="99"/>
  <c r="F929" i="99"/>
  <c r="G34" i="74"/>
  <c r="G38" i="74"/>
  <c r="G44" i="82"/>
  <c r="G33" i="74"/>
  <c r="H9" i="86" s="1"/>
  <c r="H17" i="86" s="1"/>
  <c r="H18" i="86" s="1"/>
  <c r="H20" i="86" s="1"/>
  <c r="H24" i="86" s="1"/>
  <c r="K11" i="86" s="1"/>
  <c r="G928" i="99"/>
  <c r="G933" i="99"/>
  <c r="G929" i="99"/>
  <c r="H34" i="74"/>
  <c r="H38" i="74"/>
  <c r="H44" i="82"/>
  <c r="H33" i="74"/>
  <c r="I9" i="86" s="1"/>
  <c r="I17" i="86" s="1"/>
  <c r="I18" i="86" s="1"/>
  <c r="I20" i="86" s="1"/>
  <c r="I24" i="86" s="1"/>
  <c r="K12" i="86" s="1"/>
  <c r="H928" i="99"/>
  <c r="H929" i="99"/>
  <c r="H933" i="99"/>
  <c r="I34" i="74"/>
  <c r="I38" i="74"/>
  <c r="I44" i="82"/>
  <c r="I33" i="74"/>
  <c r="C29" i="86" s="1"/>
  <c r="C37" i="86" s="1"/>
  <c r="C38" i="86" s="1"/>
  <c r="C40" i="86" s="1"/>
  <c r="C44" i="86" s="1"/>
  <c r="K13" i="86" s="1"/>
  <c r="I928" i="99"/>
  <c r="I929" i="99"/>
  <c r="I933" i="99"/>
  <c r="S21" i="74"/>
  <c r="C9" i="86"/>
  <c r="C17" i="86" s="1"/>
  <c r="C18" i="86" s="1"/>
  <c r="C20" i="86" s="1"/>
  <c r="C24" i="86" s="1"/>
  <c r="K6" i="86" s="1"/>
  <c r="G66" i="86" s="1"/>
  <c r="N92" i="85" s="1"/>
  <c r="S22" i="74"/>
  <c r="S26" i="74"/>
  <c r="S23" i="74"/>
  <c r="S24" i="74"/>
  <c r="S25" i="74"/>
  <c r="S27" i="74"/>
  <c r="B51" i="82"/>
  <c r="B46" i="82"/>
  <c r="S924" i="99"/>
  <c r="B949" i="99"/>
  <c r="B71" i="74"/>
  <c r="B966" i="99" s="1"/>
  <c r="B952" i="99"/>
  <c r="D948" i="99"/>
  <c r="K34" i="74"/>
  <c r="K38" i="74"/>
  <c r="C971" i="99"/>
  <c r="D76" i="74"/>
  <c r="H30" i="86"/>
  <c r="E72" i="74"/>
  <c r="E967" i="99" s="1"/>
  <c r="J51" i="82"/>
  <c r="S29" i="74"/>
  <c r="D29" i="86"/>
  <c r="D37" i="86" s="1"/>
  <c r="D38" i="86" s="1"/>
  <c r="D40" i="86" s="1"/>
  <c r="D44" i="86" s="1"/>
  <c r="K14" i="86" s="1"/>
  <c r="C52" i="74"/>
  <c r="E73" i="82"/>
  <c r="F63" i="74"/>
  <c r="F958" i="99" s="1"/>
  <c r="D49" i="74"/>
  <c r="B57" i="74"/>
  <c r="K44" i="82"/>
  <c r="K33" i="74"/>
  <c r="E47" i="74"/>
  <c r="E56" i="74"/>
  <c r="F46" i="74"/>
  <c r="E48" i="74"/>
  <c r="E943" i="99" s="1"/>
  <c r="E53" i="74"/>
  <c r="E55" i="74"/>
  <c r="E950" i="99" s="1"/>
  <c r="H33" i="86"/>
  <c r="E942" i="99" l="1"/>
  <c r="D944" i="99"/>
  <c r="D947" i="99" s="1"/>
  <c r="D54" i="74"/>
  <c r="B960" i="99"/>
  <c r="B965" i="99"/>
  <c r="B961" i="99"/>
  <c r="I51" i="82"/>
  <c r="I46" i="82"/>
  <c r="H51" i="82"/>
  <c r="H46" i="82"/>
  <c r="G51" i="82"/>
  <c r="G46" i="82"/>
  <c r="F46" i="82"/>
  <c r="F51" i="82"/>
  <c r="S926" i="99"/>
  <c r="S919" i="99"/>
  <c r="S920" i="99"/>
  <c r="S917" i="99"/>
  <c r="S918" i="99"/>
  <c r="S922" i="99"/>
  <c r="S921" i="99"/>
  <c r="S923" i="99"/>
  <c r="C46" i="82"/>
  <c r="C51" i="82"/>
  <c r="D9" i="86"/>
  <c r="D17" i="86" s="1"/>
  <c r="D18" i="86" s="1"/>
  <c r="D20" i="86" s="1"/>
  <c r="D24" i="86" s="1"/>
  <c r="K7" i="86" s="1"/>
  <c r="S28" i="74"/>
  <c r="D46" i="82"/>
  <c r="D51" i="82"/>
  <c r="E46" i="82"/>
  <c r="E51" i="82"/>
  <c r="S925" i="99"/>
  <c r="C949" i="99"/>
  <c r="C71" i="74"/>
  <c r="C966" i="99" s="1"/>
  <c r="C952" i="99"/>
  <c r="E948" i="99"/>
  <c r="B66" i="74"/>
  <c r="B70" i="74"/>
  <c r="D971" i="99"/>
  <c r="E76" i="74"/>
  <c r="I30" i="86"/>
  <c r="F72" i="74"/>
  <c r="F967" i="99" s="1"/>
  <c r="C57" i="74"/>
  <c r="D52" i="74"/>
  <c r="F56" i="74"/>
  <c r="F48" i="74"/>
  <c r="F943" i="99" s="1"/>
  <c r="F47" i="74"/>
  <c r="G46" i="74"/>
  <c r="F53" i="74"/>
  <c r="F55" i="74"/>
  <c r="F950" i="99" s="1"/>
  <c r="E49" i="74"/>
  <c r="E29" i="86"/>
  <c r="S30" i="74"/>
  <c r="F73" i="82"/>
  <c r="G63" i="74"/>
  <c r="G958" i="99" s="1"/>
  <c r="K51" i="82"/>
  <c r="K46" i="82"/>
  <c r="B25" i="82" s="1"/>
  <c r="I33" i="86"/>
  <c r="B64" i="82"/>
  <c r="B65" i="74"/>
  <c r="E944" i="99" l="1"/>
  <c r="E947" i="99" s="1"/>
  <c r="E54" i="74"/>
  <c r="F942" i="99"/>
  <c r="C960" i="99"/>
  <c r="C965" i="99"/>
  <c r="C961" i="99"/>
  <c r="S927" i="99"/>
  <c r="D949" i="99"/>
  <c r="D71" i="74"/>
  <c r="D966" i="99" s="1"/>
  <c r="D952" i="99"/>
  <c r="F948" i="99"/>
  <c r="C70" i="74"/>
  <c r="C66" i="74"/>
  <c r="E971" i="99"/>
  <c r="F7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958" i="99" s="1"/>
  <c r="G73" i="82"/>
  <c r="B66" i="82"/>
  <c r="B71" i="82"/>
  <c r="C53" i="86"/>
  <c r="D57" i="74"/>
  <c r="G56" i="74"/>
  <c r="G48" i="74"/>
  <c r="G943" i="99" s="1"/>
  <c r="H46" i="74"/>
  <c r="G47" i="74"/>
  <c r="G53" i="74"/>
  <c r="G55" i="74"/>
  <c r="G950" i="99" s="1"/>
  <c r="G942" i="99" l="1"/>
  <c r="F944" i="99"/>
  <c r="F947" i="99" s="1"/>
  <c r="F54" i="74"/>
  <c r="D960" i="99"/>
  <c r="D965" i="99"/>
  <c r="D961" i="99"/>
  <c r="S928" i="99"/>
  <c r="E949" i="99"/>
  <c r="E71" i="74"/>
  <c r="E966" i="99" s="1"/>
  <c r="E952" i="99"/>
  <c r="G948" i="99"/>
  <c r="D66" i="74"/>
  <c r="D70" i="74"/>
  <c r="F971" i="99"/>
  <c r="G76" i="74"/>
  <c r="G971" i="99" s="1"/>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D65" i="74"/>
  <c r="D64" i="82"/>
  <c r="G944" i="99" l="1"/>
  <c r="G947" i="99" s="1"/>
  <c r="G54" i="74"/>
  <c r="H942" i="99"/>
  <c r="E960" i="99"/>
  <c r="S929" i="99" s="1"/>
  <c r="E965" i="99"/>
  <c r="E961" i="99"/>
  <c r="F949" i="99"/>
  <c r="F71" i="74"/>
  <c r="F966" i="99" s="1"/>
  <c r="F952" i="99"/>
  <c r="H948" i="99"/>
  <c r="E66" i="74"/>
  <c r="E70" i="74"/>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J63" i="74"/>
  <c r="J958" i="99" s="1"/>
  <c r="I73" i="82"/>
  <c r="F57" i="74"/>
  <c r="H944" i="99" l="1"/>
  <c r="H947" i="99" s="1"/>
  <c r="H54" i="74"/>
  <c r="I942" i="99"/>
  <c r="F960" i="99"/>
  <c r="S930" i="99" s="1"/>
  <c r="F965" i="99"/>
  <c r="F961" i="99"/>
  <c r="G949" i="99"/>
  <c r="G71" i="74"/>
  <c r="G966" i="99" s="1"/>
  <c r="G952" i="99"/>
  <c r="I948" i="99"/>
  <c r="F66" i="74"/>
  <c r="F70" i="74"/>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J73" i="82"/>
  <c r="K63" i="74"/>
  <c r="K958" i="99" s="1"/>
  <c r="D75" i="82"/>
  <c r="D76" i="82" s="1"/>
  <c r="E75" i="82"/>
  <c r="E76" i="82" s="1"/>
  <c r="H52" i="74"/>
  <c r="F53" i="86"/>
  <c r="I944" i="99" l="1"/>
  <c r="I947" i="99" s="1"/>
  <c r="I54" i="74"/>
  <c r="J942" i="99"/>
  <c r="G960" i="99"/>
  <c r="G965" i="99"/>
  <c r="G961" i="99"/>
  <c r="H949" i="99"/>
  <c r="H71" i="74"/>
  <c r="H966" i="99" s="1"/>
  <c r="H952" i="99"/>
  <c r="J948" i="99"/>
  <c r="G66" i="74"/>
  <c r="G70" i="74"/>
  <c r="F57" i="86"/>
  <c r="F58" i="86" s="1"/>
  <c r="F60" i="86" s="1"/>
  <c r="F64" i="86" s="1"/>
  <c r="K23" i="86" s="1"/>
  <c r="G50" i="86"/>
  <c r="K72" i="74"/>
  <c r="K967" i="99" s="1"/>
  <c r="I52" i="74"/>
  <c r="F66" i="82"/>
  <c r="F71" i="82"/>
  <c r="F74" i="82" s="1"/>
  <c r="G53" i="86"/>
  <c r="G64" i="82"/>
  <c r="G65" i="74"/>
  <c r="J49" i="74"/>
  <c r="C49" i="86"/>
  <c r="S35" i="74"/>
  <c r="K73" i="82"/>
  <c r="B95" i="74"/>
  <c r="B990" i="99" s="1"/>
  <c r="B78" i="74"/>
  <c r="K56" i="74"/>
  <c r="K47" i="74"/>
  <c r="K48" i="74"/>
  <c r="K943" i="99" s="1"/>
  <c r="K53" i="74"/>
  <c r="K55" i="74"/>
  <c r="K950" i="99" s="1"/>
  <c r="H57" i="74"/>
  <c r="K942" i="99" l="1"/>
  <c r="J944" i="99"/>
  <c r="J947" i="99" s="1"/>
  <c r="J54" i="74"/>
  <c r="H960" i="99"/>
  <c r="H961" i="99"/>
  <c r="H965" i="99"/>
  <c r="S931" i="99"/>
  <c r="S932" i="99"/>
  <c r="I949" i="99"/>
  <c r="I71" i="74"/>
  <c r="I966" i="99" s="1"/>
  <c r="I952" i="99"/>
  <c r="K948" i="99"/>
  <c r="H66" i="74"/>
  <c r="H70" i="74"/>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C95" i="74"/>
  <c r="C990" i="99" s="1"/>
  <c r="K944" i="99" l="1"/>
  <c r="K947" i="99" s="1"/>
  <c r="K54" i="74"/>
  <c r="B974" i="99"/>
  <c r="I960" i="99"/>
  <c r="S933" i="99" s="1"/>
  <c r="I965" i="99"/>
  <c r="I961" i="99"/>
  <c r="J949" i="99"/>
  <c r="J71" i="74"/>
  <c r="J966" i="99" s="1"/>
  <c r="J952" i="99"/>
  <c r="B980" i="99"/>
  <c r="I66" i="74"/>
  <c r="I70" i="74"/>
  <c r="H57" i="86"/>
  <c r="H58" i="86" s="1"/>
  <c r="H60" i="86" s="1"/>
  <c r="H64" i="86" s="1"/>
  <c r="K25" i="86" s="1"/>
  <c r="C86" i="90"/>
  <c r="F60" i="89"/>
  <c r="C103" i="74"/>
  <c r="C998" i="99" s="1"/>
  <c r="I65" i="74"/>
  <c r="L47" i="68"/>
  <c r="L289" i="99" s="1"/>
  <c r="J57" i="74"/>
  <c r="I64" i="82"/>
  <c r="I66" i="82" s="1"/>
  <c r="K52" i="74"/>
  <c r="B81" i="74"/>
  <c r="S37" i="74"/>
  <c r="D95" i="74"/>
  <c r="D990" i="99" s="1"/>
  <c r="H66" i="82"/>
  <c r="H71" i="82"/>
  <c r="H74" i="82" s="1"/>
  <c r="C79" i="74"/>
  <c r="D78" i="74"/>
  <c r="C88" i="74"/>
  <c r="C80" i="74"/>
  <c r="C975" i="99" s="1"/>
  <c r="C85" i="74"/>
  <c r="C87" i="74"/>
  <c r="C982" i="99" s="1"/>
  <c r="G75" i="82"/>
  <c r="G76" i="82" s="1"/>
  <c r="C974" i="99" l="1"/>
  <c r="B976" i="99"/>
  <c r="B979" i="99" s="1"/>
  <c r="B86" i="74"/>
  <c r="J960" i="99"/>
  <c r="S934" i="99" s="1"/>
  <c r="J961" i="99"/>
  <c r="J965" i="99"/>
  <c r="K949" i="99"/>
  <c r="K71" i="74"/>
  <c r="K966" i="99" s="1"/>
  <c r="K952" i="99"/>
  <c r="C980" i="99"/>
  <c r="J66" i="74"/>
  <c r="J70" i="74"/>
  <c r="D103" i="74"/>
  <c r="D998" i="99" s="1"/>
  <c r="I71" i="82"/>
  <c r="I74" i="82" s="1"/>
  <c r="I75" i="82" s="1"/>
  <c r="I76" i="82" s="1"/>
  <c r="J65" i="74"/>
  <c r="F85" i="92"/>
  <c r="F89" i="92" s="1"/>
  <c r="F105" i="92" s="1"/>
  <c r="S38" i="74"/>
  <c r="J64" i="82"/>
  <c r="J66" i="82" s="1"/>
  <c r="E78" i="74"/>
  <c r="D79" i="74"/>
  <c r="D80" i="74"/>
  <c r="D975" i="99" s="1"/>
  <c r="D88" i="74"/>
  <c r="D85" i="74"/>
  <c r="D87" i="74"/>
  <c r="D982" i="99" s="1"/>
  <c r="C81" i="74"/>
  <c r="E95" i="74"/>
  <c r="E990" i="99" s="1"/>
  <c r="B84" i="74"/>
  <c r="H75" i="82"/>
  <c r="H76" i="82" s="1"/>
  <c r="K57" i="74"/>
  <c r="C976" i="99" l="1"/>
  <c r="C979" i="99" s="1"/>
  <c r="C86" i="74"/>
  <c r="D974" i="99"/>
  <c r="K960" i="99"/>
  <c r="S935" i="99" s="1"/>
  <c r="K965" i="99"/>
  <c r="K961" i="99"/>
  <c r="B981" i="99"/>
  <c r="B997" i="99" s="1"/>
  <c r="B102" i="74"/>
  <c r="B984" i="99"/>
  <c r="D980" i="99"/>
  <c r="K66" i="74"/>
  <c r="K70" i="74"/>
  <c r="E103" i="74"/>
  <c r="E998" i="99" s="1"/>
  <c r="S39" i="74"/>
  <c r="J71" i="82"/>
  <c r="J74" i="82" s="1"/>
  <c r="J75" i="82" s="1"/>
  <c r="J76" i="82" s="1"/>
  <c r="C84" i="74"/>
  <c r="F95" i="74"/>
  <c r="F990" i="99" s="1"/>
  <c r="K65" i="74"/>
  <c r="K64" i="82"/>
  <c r="D81" i="74"/>
  <c r="F78" i="74"/>
  <c r="E88" i="74"/>
  <c r="E79" i="74"/>
  <c r="E80" i="74"/>
  <c r="E975" i="99" s="1"/>
  <c r="E85" i="74"/>
  <c r="E87" i="74"/>
  <c r="E982" i="99" s="1"/>
  <c r="B89" i="74"/>
  <c r="E974" i="99" l="1"/>
  <c r="D976" i="99"/>
  <c r="D979" i="99" s="1"/>
  <c r="D86" i="74"/>
  <c r="B991" i="99"/>
  <c r="B992" i="99"/>
  <c r="B996" i="99"/>
  <c r="C981" i="99"/>
  <c r="C997" i="99" s="1"/>
  <c r="C102" i="74"/>
  <c r="C984" i="99"/>
  <c r="E980" i="99"/>
  <c r="B97" i="74"/>
  <c r="B101" i="74"/>
  <c r="F103" i="74"/>
  <c r="F998" i="99" s="1"/>
  <c r="B96" i="74"/>
  <c r="C89" i="74"/>
  <c r="D84" i="74"/>
  <c r="E81" i="74"/>
  <c r="K71" i="82"/>
  <c r="K74" i="82" s="1"/>
  <c r="K66" i="82"/>
  <c r="F88" i="74"/>
  <c r="G78" i="74"/>
  <c r="F80" i="74"/>
  <c r="F975" i="99" s="1"/>
  <c r="F79" i="74"/>
  <c r="F85" i="74"/>
  <c r="F87" i="74"/>
  <c r="F982" i="99" s="1"/>
  <c r="S40" i="74"/>
  <c r="G95" i="74"/>
  <c r="G990" i="99" s="1"/>
  <c r="F974" i="99" l="1"/>
  <c r="E976" i="99"/>
  <c r="E979" i="99" s="1"/>
  <c r="E86" i="74"/>
  <c r="C991" i="99"/>
  <c r="C992" i="99"/>
  <c r="C996" i="99"/>
  <c r="D981" i="99"/>
  <c r="D997" i="99" s="1"/>
  <c r="D102" i="74"/>
  <c r="D984" i="99"/>
  <c r="F980" i="99"/>
  <c r="C97" i="74"/>
  <c r="C101" i="74"/>
  <c r="G103" i="74"/>
  <c r="G998" i="99" s="1"/>
  <c r="C96" i="74"/>
  <c r="E84" i="74"/>
  <c r="G79" i="74"/>
  <c r="G88" i="74"/>
  <c r="G80" i="74"/>
  <c r="G975" i="99" s="1"/>
  <c r="H78" i="74"/>
  <c r="G85" i="74"/>
  <c r="G87" i="74"/>
  <c r="G982" i="99" s="1"/>
  <c r="K75" i="82"/>
  <c r="K76" i="82" s="1"/>
  <c r="H95" i="74"/>
  <c r="H990" i="99" s="1"/>
  <c r="F81" i="74"/>
  <c r="D89" i="74"/>
  <c r="F976" i="99" l="1"/>
  <c r="F979" i="99" s="1"/>
  <c r="F86" i="74"/>
  <c r="G974" i="99"/>
  <c r="D991" i="99"/>
  <c r="D992" i="99"/>
  <c r="D996" i="99"/>
  <c r="E981" i="99"/>
  <c r="E997" i="99" s="1"/>
  <c r="E102" i="74"/>
  <c r="E984" i="99"/>
  <c r="G980" i="99"/>
  <c r="D97" i="74"/>
  <c r="D101" i="74"/>
  <c r="H103" i="74"/>
  <c r="H998" i="99" s="1"/>
  <c r="D96" i="74"/>
  <c r="E89" i="74"/>
  <c r="F84" i="74"/>
  <c r="H88" i="74"/>
  <c r="H80" i="74"/>
  <c r="H975" i="99" s="1"/>
  <c r="H79" i="74"/>
  <c r="I78" i="74"/>
  <c r="H85" i="74"/>
  <c r="H87" i="74"/>
  <c r="H982" i="99" s="1"/>
  <c r="G81" i="74"/>
  <c r="I95" i="74"/>
  <c r="I990" i="99" s="1"/>
  <c r="G976" i="99" l="1"/>
  <c r="G979" i="99" s="1"/>
  <c r="G86" i="74"/>
  <c r="H974" i="99"/>
  <c r="E991" i="99"/>
  <c r="E996" i="99"/>
  <c r="E992" i="99"/>
  <c r="F981" i="99"/>
  <c r="F997" i="99" s="1"/>
  <c r="F102" i="74"/>
  <c r="F984" i="99"/>
  <c r="H980" i="99"/>
  <c r="E97" i="74"/>
  <c r="E101" i="74"/>
  <c r="I103" i="74"/>
  <c r="I998" i="99" s="1"/>
  <c r="E96" i="74"/>
  <c r="F89" i="74"/>
  <c r="G84" i="74"/>
  <c r="I88" i="74"/>
  <c r="I79" i="74"/>
  <c r="J78" i="74"/>
  <c r="I80" i="74"/>
  <c r="I975" i="99" s="1"/>
  <c r="I85" i="74"/>
  <c r="I87" i="74"/>
  <c r="I982" i="99" s="1"/>
  <c r="H81" i="74"/>
  <c r="J95" i="74"/>
  <c r="J990" i="99" s="1"/>
  <c r="H976" i="99" l="1"/>
  <c r="H979" i="99" s="1"/>
  <c r="H86" i="74"/>
  <c r="I974" i="99"/>
  <c r="F991" i="99"/>
  <c r="F996" i="99"/>
  <c r="F992" i="99"/>
  <c r="G981" i="99"/>
  <c r="G997" i="99" s="1"/>
  <c r="G102" i="74"/>
  <c r="G984" i="99"/>
  <c r="I980" i="99"/>
  <c r="F97" i="74"/>
  <c r="F101" i="74"/>
  <c r="J103" i="74"/>
  <c r="J998" i="99" s="1"/>
  <c r="F96" i="74"/>
  <c r="J80" i="74"/>
  <c r="J975" i="99" s="1"/>
  <c r="K78" i="74"/>
  <c r="J79" i="74"/>
  <c r="J88" i="74"/>
  <c r="J85" i="74"/>
  <c r="J87" i="74"/>
  <c r="J982" i="99" s="1"/>
  <c r="I81" i="74"/>
  <c r="K95" i="74"/>
  <c r="K990" i="99" s="1"/>
  <c r="G89" i="74"/>
  <c r="H84" i="74"/>
  <c r="I976" i="99" l="1"/>
  <c r="I979" i="99" s="1"/>
  <c r="I86" i="74"/>
  <c r="J974" i="99"/>
  <c r="G991" i="99"/>
  <c r="G996" i="99"/>
  <c r="G992" i="99"/>
  <c r="H981" i="99"/>
  <c r="H997" i="99" s="1"/>
  <c r="H102" i="74"/>
  <c r="H984" i="99"/>
  <c r="J980" i="99"/>
  <c r="G97" i="74"/>
  <c r="G101" i="74"/>
  <c r="K103" i="74"/>
  <c r="K998" i="99" s="1"/>
  <c r="G96" i="74"/>
  <c r="H89" i="74"/>
  <c r="J81" i="74"/>
  <c r="B125" i="74"/>
  <c r="B1020" i="99" s="1"/>
  <c r="K80" i="74"/>
  <c r="K975" i="99" s="1"/>
  <c r="B108" i="74"/>
  <c r="K88" i="74"/>
  <c r="K79" i="74"/>
  <c r="K85" i="74"/>
  <c r="K87" i="74"/>
  <c r="K982" i="99" s="1"/>
  <c r="I84" i="74"/>
  <c r="K974" i="99" l="1"/>
  <c r="J976" i="99"/>
  <c r="J979" i="99" s="1"/>
  <c r="J86" i="74"/>
  <c r="H991" i="99"/>
  <c r="H992" i="99"/>
  <c r="H996" i="99"/>
  <c r="I981" i="99"/>
  <c r="I997" i="99" s="1"/>
  <c r="I102" i="74"/>
  <c r="I984" i="99"/>
  <c r="K980" i="99"/>
  <c r="H97" i="74"/>
  <c r="H101" i="74"/>
  <c r="B133" i="74"/>
  <c r="B1028" i="99" s="1"/>
  <c r="H96" i="74"/>
  <c r="J84" i="74"/>
  <c r="K81" i="74"/>
  <c r="C125" i="74"/>
  <c r="C1020" i="99" s="1"/>
  <c r="I89" i="74"/>
  <c r="B109" i="74"/>
  <c r="C108" i="74"/>
  <c r="B110" i="74"/>
  <c r="B1005" i="99" s="1"/>
  <c r="B118" i="74"/>
  <c r="B115" i="74"/>
  <c r="B117" i="74"/>
  <c r="B1012" i="99" s="1"/>
  <c r="B1004" i="99" l="1"/>
  <c r="K976" i="99"/>
  <c r="K979" i="99" s="1"/>
  <c r="K86" i="74"/>
  <c r="I991" i="99"/>
  <c r="I996" i="99"/>
  <c r="I992" i="99"/>
  <c r="J981" i="99"/>
  <c r="J997" i="99" s="1"/>
  <c r="J102" i="74"/>
  <c r="J984" i="99"/>
  <c r="B1010" i="99"/>
  <c r="I97" i="74"/>
  <c r="I101" i="74"/>
  <c r="C133" i="74"/>
  <c r="C1028" i="99" s="1"/>
  <c r="I96" i="74"/>
  <c r="J89" i="74"/>
  <c r="K84" i="74"/>
  <c r="D108" i="74"/>
  <c r="C109" i="74"/>
  <c r="C118" i="74"/>
  <c r="C110" i="74"/>
  <c r="C1005" i="99" s="1"/>
  <c r="C115" i="74"/>
  <c r="C117" i="74"/>
  <c r="C1012" i="99" s="1"/>
  <c r="D125" i="74"/>
  <c r="D1020" i="99" s="1"/>
  <c r="B111" i="74"/>
  <c r="B1006" i="99" l="1"/>
  <c r="B1009" i="99" s="1"/>
  <c r="B116" i="74"/>
  <c r="C1004" i="99"/>
  <c r="J991" i="99"/>
  <c r="J992" i="99"/>
  <c r="J996" i="99"/>
  <c r="K981" i="99"/>
  <c r="K997" i="99" s="1"/>
  <c r="K102" i="74"/>
  <c r="K984" i="99"/>
  <c r="C1010" i="99"/>
  <c r="J97" i="74"/>
  <c r="J101" i="74"/>
  <c r="D133" i="74"/>
  <c r="D1028" i="99" s="1"/>
  <c r="K89" i="74"/>
  <c r="J96" i="74"/>
  <c r="B114" i="74"/>
  <c r="C111" i="74"/>
  <c r="E125" i="74"/>
  <c r="E1020" i="99" s="1"/>
  <c r="D118" i="74"/>
  <c r="D109" i="74"/>
  <c r="E108" i="74"/>
  <c r="D110" i="74"/>
  <c r="D1005" i="99" s="1"/>
  <c r="D115" i="74"/>
  <c r="D117" i="74"/>
  <c r="D1012" i="99" s="1"/>
  <c r="D1004" i="99" l="1"/>
  <c r="C1006" i="99"/>
  <c r="C1009" i="99" s="1"/>
  <c r="C116" i="74"/>
  <c r="K991" i="99"/>
  <c r="K996" i="99"/>
  <c r="K992" i="99"/>
  <c r="B1011" i="99"/>
  <c r="B1027" i="99" s="1"/>
  <c r="B132" i="74"/>
  <c r="B1014" i="99"/>
  <c r="D1010" i="99"/>
  <c r="K97" i="74"/>
  <c r="K101" i="74"/>
  <c r="E133" i="74"/>
  <c r="E1028" i="99" s="1"/>
  <c r="K96" i="74"/>
  <c r="B119" i="74"/>
  <c r="C114" i="74"/>
  <c r="F125" i="74"/>
  <c r="F1020" i="99" s="1"/>
  <c r="F108" i="74"/>
  <c r="E109" i="74"/>
  <c r="E118" i="74"/>
  <c r="E110" i="74"/>
  <c r="E1005" i="99" s="1"/>
  <c r="E115" i="74"/>
  <c r="E117" i="74"/>
  <c r="E1012" i="99" s="1"/>
  <c r="D111" i="74"/>
  <c r="D1006" i="99" l="1"/>
  <c r="D1009" i="99" s="1"/>
  <c r="D116" i="74"/>
  <c r="E1004" i="99"/>
  <c r="B1021" i="99"/>
  <c r="B1026" i="99"/>
  <c r="B1022" i="99"/>
  <c r="C1011" i="99"/>
  <c r="C1027" i="99" s="1"/>
  <c r="C132" i="74"/>
  <c r="C1014" i="99"/>
  <c r="E1010" i="99"/>
  <c r="B127" i="74"/>
  <c r="B131" i="74"/>
  <c r="F133" i="74"/>
  <c r="F1028" i="99" s="1"/>
  <c r="B126" i="74"/>
  <c r="C119" i="74"/>
  <c r="E111" i="74"/>
  <c r="F118" i="74"/>
  <c r="F110" i="74"/>
  <c r="F1005" i="99" s="1"/>
  <c r="F109" i="74"/>
  <c r="F115" i="74"/>
  <c r="F117" i="74"/>
  <c r="F1012" i="99" s="1"/>
  <c r="D114" i="74"/>
  <c r="F1004" i="99" l="1"/>
  <c r="E1006" i="99"/>
  <c r="E1009" i="99" s="1"/>
  <c r="E116" i="74"/>
  <c r="C1021" i="99"/>
  <c r="C1026" i="99"/>
  <c r="C1022" i="99"/>
  <c r="D1011" i="99"/>
  <c r="D1027" i="99" s="1"/>
  <c r="D132" i="74"/>
  <c r="D1014" i="99"/>
  <c r="F1010" i="99"/>
  <c r="C127" i="74"/>
  <c r="C131" i="74"/>
  <c r="C126" i="74"/>
  <c r="E114" i="74"/>
  <c r="F111" i="74"/>
  <c r="D119" i="74"/>
  <c r="F1006" i="99" l="1"/>
  <c r="F1009" i="99" s="1"/>
  <c r="F116" i="74"/>
  <c r="D1021" i="99"/>
  <c r="D1022" i="99"/>
  <c r="D1026" i="99"/>
  <c r="E1011" i="99"/>
  <c r="E1027" i="99" s="1"/>
  <c r="E132" i="74"/>
  <c r="E1014" i="99"/>
  <c r="D127" i="74"/>
  <c r="D131" i="74"/>
  <c r="D126" i="74"/>
  <c r="E119" i="74"/>
  <c r="F114" i="74"/>
  <c r="E1021" i="99" l="1"/>
  <c r="E1026" i="99"/>
  <c r="E1022" i="99"/>
  <c r="F1011" i="99"/>
  <c r="F1027" i="99" s="1"/>
  <c r="F132" i="74"/>
  <c r="F1014" i="99"/>
  <c r="E127" i="74"/>
  <c r="E131" i="74"/>
  <c r="E126" i="74"/>
  <c r="F119" i="74"/>
  <c r="F1021" i="99" l="1"/>
  <c r="F1026" i="99"/>
  <c r="F1022"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l="1"/>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<sst xmlns="http://schemas.openxmlformats.org/spreadsheetml/2006/main" count="19445" uniqueCount="7044">
  <si>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</si>
  <si>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</si>
  <si>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</si>
  <si>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</si>
  <si>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</si>
  <si>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</si>
  <si>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</si>
  <si>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</si>
  <si>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</si>
  <si>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</si>
  <si>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</si>
  <si>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</si>
  <si>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</si>
  <si>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</si>
  <si>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</si>
  <si>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</si>
  <si>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</si>
  <si>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</si>
  <si>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</si>
  <si>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</si>
  <si>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</si>
  <si>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</si>
  <si>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</si>
  <si>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</si>
  <si>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</si>
  <si>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</si>
  <si>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</si>
  <si>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</si>
  <si>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</si>
  <si>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</si>
  <si>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</si>
  <si>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</si>
  <si>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</si>
  <si>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</si>
  <si>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</si>
  <si>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</si>
  <si>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</si>
  <si>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</si>
  <si>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</si>
  <si>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</si>
  <si>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</si>
  <si>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</si>
  <si>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</si>
  <si>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</si>
  <si>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</si>
  <si>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</si>
  <si>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</si>
  <si>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</si>
  <si>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</si>
  <si>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</si>
  <si>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</si>
  <si>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</si>
  <si>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</si>
  <si>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</si>
  <si>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</si>
  <si>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</si>
  <si>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</si>
  <si>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</si>
  <si>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</si>
  <si>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</si>
  <si>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</si>
  <si>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</si>
  <si>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</si>
  <si>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</si>
  <si>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</si>
  <si>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</si>
  <si>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</si>
  <si>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</si>
  <si>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</si>
  <si>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</si>
  <si>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</si>
  <si>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</si>
  <si>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</si>
  <si>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</si>
  <si>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</si>
  <si>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</si>
  <si>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</si>
  <si>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</si>
  <si>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</si>
  <si>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</si>
  <si>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</si>
  <si>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</si>
  <si>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</si>
  <si>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</si>
  <si>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</si>
  <si>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</si>
  <si>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</si>
  <si>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</si>
  <si>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</si>
  <si>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</si>
  <si>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</si>
  <si>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</si>
  <si>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</si>
  <si>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</si>
  <si>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</si>
  <si>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</si>
  <si>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</si>
  <si>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</si>
  <si>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</si>
  <si>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</si>
  <si>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</si>
  <si>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</si>
  <si>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</si>
  <si>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</si>
  <si>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</si>
  <si>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</si>
  <si>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</si>
  <si>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</si>
  <si>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</si>
  <si>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</si>
  <si>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</si>
  <si>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</si>
  <si>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</si>
  <si>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</si>
  <si>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</si>
  <si>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</si>
  <si>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</si>
  <si>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</si>
  <si>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</si>
  <si>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</si>
  <si>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</si>
  <si>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</si>
  <si>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</si>
  <si>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</si>
  <si>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</si>
  <si>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</si>
  <si>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</si>
  <si>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</si>
  <si>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</si>
  <si>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</si>
  <si>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</si>
  <si>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</si>
  <si>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</si>
  <si>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</si>
  <si>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</si>
  <si>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</si>
  <si>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</si>
  <si>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</si>
  <si>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</si>
  <si>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</si>
  <si>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</si>
  <si>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</si>
  <si>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</si>
  <si>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</si>
  <si>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</si>
  <si>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</si>
  <si>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</si>
  <si>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</si>
  <si>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</si>
  <si>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</si>
  <si>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</si>
  <si>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</si>
  <si>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</si>
  <si>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</si>
  <si>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</si>
  <si>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</si>
  <si>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</si>
  <si>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</si>
  <si>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</si>
  <si>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</si>
  <si>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</si>
  <si>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</si>
  <si>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</si>
  <si>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</si>
  <si>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</si>
  <si>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</si>
  <si>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</si>
  <si>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</si>
  <si>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</si>
  <si>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</si>
  <si>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</si>
  <si>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</si>
  <si>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</si>
  <si>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</si>
  <si>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</si>
  <si>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</si>
  <si>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</si>
  <si>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</si>
  <si>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</si>
  <si>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</si>
  <si>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</si>
  <si>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</si>
  <si>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</si>
  <si>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</si>
  <si>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</si>
  <si>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</si>
  <si>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</si>
  <si>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</si>
  <si>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</si>
  <si>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</si>
  <si>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</si>
  <si>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</si>
  <si>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</si>
  <si>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</si>
  <si>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</si>
  <si>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</si>
  <si>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</si>
  <si>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</si>
  <si>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</si>
  <si>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</si>
  <si>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</si>
  <si>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</si>
  <si>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</si>
  <si>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</si>
  <si>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</si>
  <si>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</si>
  <si>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</si>
  <si>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</si>
  <si>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</si>
  <si>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</si>
  <si>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</si>
  <si>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</si>
  <si>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</si>
  <si>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</si>
  <si>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</si>
  <si>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</si>
  <si>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</si>
  <si>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</si>
  <si>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</si>
  <si>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</si>
  <si>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</si>
  <si>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</si>
  <si>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</si>
  <si>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</si>
  <si>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</si>
  <si>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</si>
  <si>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</si>
  <si>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</si>
  <si>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</si>
  <si>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</si>
  <si>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</si>
  <si>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</si>
  <si>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</si>
  <si>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</si>
  <si>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</si>
  <si>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</si>
  <si>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</si>
  <si>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</si>
  <si>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</si>
  <si>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</si>
  <si>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</si>
  <si>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</si>
  <si>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</si>
  <si>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</si>
  <si>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</si>
  <si>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</si>
  <si>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</si>
  <si>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</si>
  <si>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</si>
  <si>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</si>
  <si>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</si>
  <si>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</si>
  <si>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</si>
  <si>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</si>
  <si>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</si>
  <si>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</si>
  <si>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</si>
  <si>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</si>
  <si>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</si>
  <si>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</si>
  <si>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</si>
  <si>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</si>
  <si>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</si>
  <si>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</si>
  <si>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</si>
  <si>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</si>
  <si>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</si>
  <si>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</si>
  <si>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</si>
  <si>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</si>
  <si>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</si>
  <si>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</si>
  <si>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</si>
  <si>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</si>
  <si>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</si>
  <si>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</si>
  <si>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</si>
  <si>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</si>
  <si>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</si>
  <si>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</si>
  <si>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</si>
  <si>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</si>
  <si>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</si>
  <si>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</si>
  <si>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</si>
  <si>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</si>
  <si>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</si>
  <si>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</si>
  <si>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</si>
  <si>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</si>
  <si>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</si>
  <si>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</si>
  <si>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</si>
  <si>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</si>
  <si>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</si>
  <si>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</si>
  <si>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</si>
  <si>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</si>
  <si>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</si>
  <si>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</si>
  <si>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</si>
  <si>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</si>
  <si>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</si>
  <si>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</si>
  <si>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</si>
  <si>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</si>
  <si>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</si>
  <si>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</si>
  <si>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</si>
  <si>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</si>
  <si>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</si>
  <si>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</si>
  <si>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</si>
  <si>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</si>
  <si>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</si>
  <si>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</si>
  <si>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</si>
  <si>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</si>
  <si>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</si>
  <si>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</si>
  <si>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</si>
  <si>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</si>
  <si>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</si>
  <si>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</si>
  <si>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</si>
  <si>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</si>
  <si>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</si>
  <si>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</si>
  <si>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</si>
  <si>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</si>
  <si>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</si>
  <si>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</si>
  <si>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</si>
  <si>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</si>
  <si>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</si>
  <si>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</si>
  <si>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</si>
  <si>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</si>
  <si>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</si>
  <si>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</si>
  <si>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</si>
  <si>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</si>
  <si>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</si>
  <si>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</si>
  <si>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</si>
  <si>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</si>
  <si>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</si>
  <si>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</si>
  <si>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</si>
  <si>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</si>
  <si>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</si>
  <si>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</si>
  <si>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</si>
  <si>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</si>
  <si>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</si>
  <si>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</si>
  <si>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</si>
  <si>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</si>
  <si>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</si>
  <si>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</si>
  <si>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</si>
  <si>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</si>
  <si>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</si>
  <si>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</si>
  <si>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</si>
  <si>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</si>
  <si>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</si>
  <si>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</si>
  <si>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</si>
  <si>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</si>
  <si>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</si>
  <si>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</si>
  <si>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</si>
  <si>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</si>
  <si>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</si>
  <si>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</si>
  <si>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</si>
  <si>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</si>
  <si>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</si>
  <si>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</si>
  <si>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</si>
  <si>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</si>
  <si>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</si>
  <si>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</si>
  <si>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</si>
  <si>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</si>
  <si>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</si>
  <si>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</si>
  <si>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</si>
  <si>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</si>
  <si>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</si>
  <si>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</si>
  <si>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</si>
  <si>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</si>
  <si>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</si>
  <si>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</si>
  <si>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</si>
  <si>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</si>
  <si>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</si>
  <si>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</si>
  <si>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</si>
  <si>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</si>
  <si>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</si>
  <si>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</si>
  <si>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</si>
  <si>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</si>
  <si>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</si>
  <si>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</si>
  <si>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</si>
  <si>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</si>
  <si>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</si>
  <si>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</si>
  <si>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</si>
  <si>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</si>
  <si>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</si>
  <si>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</si>
  <si>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</si>
  <si>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</si>
  <si>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</si>
  <si>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</si>
  <si>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</si>
  <si>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</si>
  <si>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</si>
  <si>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</si>
  <si>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</si>
  <si>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</si>
  <si>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</si>
  <si>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</si>
  <si>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</si>
  <si>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</si>
  <si>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</si>
  <si>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</si>
  <si>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</si>
  <si>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</si>
  <si>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</si>
  <si>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</si>
  <si>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</si>
  <si>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</si>
  <si>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</si>
  <si>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</si>
  <si>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</si>
  <si>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</si>
  <si>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</si>
  <si>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</si>
  <si>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</si>
  <si>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</si>
  <si>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</si>
  <si>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</si>
  <si>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</si>
  <si>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</si>
  <si>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</si>
  <si>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</si>
  <si>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</si>
  <si>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</si>
  <si>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</si>
  <si>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</si>
  <si>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</si>
  <si>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</si>
  <si>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</si>
  <si>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</si>
  <si>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</si>
  <si>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</si>
  <si>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</si>
  <si>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</si>
  <si>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</si>
  <si>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</si>
  <si>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</si>
  <si>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</si>
  <si>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</si>
  <si>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</si>
  <si>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</si>
  <si>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</si>
  <si>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</si>
  <si>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</si>
  <si>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</si>
  <si>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</si>
  <si>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</si>
  <si>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</si>
  <si>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</si>
  <si>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</si>
  <si>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</si>
  <si>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</si>
  <si>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</si>
  <si>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</si>
  <si>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</si>
  <si>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</si>
  <si>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</si>
  <si>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</si>
  <si>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</si>
  <si>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</si>
  <si>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</si>
  <si>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</si>
  <si>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</si>
  <si>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</si>
  <si>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</si>
  <si>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</si>
  <si>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</si>
  <si>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</si>
  <si>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</si>
  <si>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</si>
  <si>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</si>
  <si>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</si>
  <si>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</si>
  <si>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</si>
  <si>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</si>
  <si>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</si>
  <si>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</si>
  <si>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</si>
  <si>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</si>
  <si>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</si>
  <si>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</si>
  <si>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</si>
  <si>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</si>
  <si>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</si>
  <si>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</si>
  <si>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</si>
  <si>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</si>
  <si>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</si>
  <si>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</si>
  <si>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</si>
  <si>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</si>
  <si>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</si>
  <si>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</si>
  <si>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</si>
  <si>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</si>
  <si>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</si>
  <si>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</si>
  <si>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</si>
  <si>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</si>
  <si>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</si>
  <si>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</si>
  <si>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</si>
  <si>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</si>
  <si>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</si>
  <si>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</si>
  <si>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</si>
  <si>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</si>
  <si>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</si>
  <si>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</si>
  <si>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</si>
  <si>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</si>
  <si>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</si>
  <si>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</si>
  <si>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</si>
  <si>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</si>
  <si>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</si>
  <si>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</si>
  <si>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</si>
  <si>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</si>
  <si>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</si>
  <si>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</si>
  <si>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</si>
  <si>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</si>
  <si>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</si>
  <si>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</si>
  <si>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</si>
  <si>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</si>
  <si>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</si>
  <si>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</si>
  <si>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</si>
  <si>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</si>
  <si>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</si>
  <si>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</si>
  <si>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</si>
  <si>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</si>
  <si>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</si>
  <si>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</si>
  <si>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</si>
  <si>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</si>
  <si>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</si>
  <si>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</si>
  <si>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</si>
  <si>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</si>
  <si>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</si>
  <si>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</si>
  <si>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</si>
  <si>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</si>
  <si>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</si>
  <si>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</si>
  <si>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</si>
  <si>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</si>
  <si>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</si>
  <si>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</si>
  <si>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</si>
  <si>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</si>
  <si>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</si>
  <si>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</si>
  <si>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</si>
  <si>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</si>
  <si>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</si>
  <si>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</si>
  <si>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</si>
  <si>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</si>
  <si>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</si>
  <si>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</si>
  <si>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</si>
  <si>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</si>
  <si>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</si>
  <si>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</si>
  <si>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</si>
  <si>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</si>
  <si>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</si>
  <si>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</si>
  <si>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</si>
  <si>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</si>
  <si>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</si>
  <si>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</si>
  <si>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</si>
  <si>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</si>
  <si>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</si>
  <si>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</si>
  <si>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</si>
  <si>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</si>
  <si>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</si>
  <si>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</si>
  <si>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</si>
  <si>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</si>
  <si>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</si>
  <si>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</si>
  <si>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</si>
  <si>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</si>
  <si>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</si>
  <si>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</si>
  <si>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</si>
  <si>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</si>
  <si>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</si>
  <si>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</si>
  <si>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</si>
  <si>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</si>
  <si>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</si>
  <si>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</si>
  <si>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</si>
  <si>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</si>
  <si>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</si>
  <si>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</si>
  <si>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</si>
  <si>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</si>
  <si>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</si>
  <si>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</si>
  <si>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</si>
  <si>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</si>
  <si>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</si>
  <si>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</si>
  <si>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</si>
  <si>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</si>
  <si>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</si>
  <si>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</si>
  <si>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</si>
  <si>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</si>
  <si>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</si>
  <si>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</si>
  <si>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</si>
  <si>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</si>
  <si>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</si>
  <si>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</si>
  <si>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</si>
  <si>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</si>
  <si>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</si>
  <si>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</si>
  <si>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</si>
  <si>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</si>
  <si>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</si>
  <si>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</si>
  <si>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</si>
  <si>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</si>
  <si>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</si>
  <si>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</si>
  <si>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</si>
  <si>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</si>
  <si>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</si>
  <si>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</si>
  <si>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</si>
  <si>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</si>
  <si>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</si>
  <si>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</si>
  <si>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</si>
  <si>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</si>
  <si>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</si>
  <si>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</si>
  <si>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</si>
  <si>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</si>
  <si>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</si>
  <si>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</si>
  <si>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</si>
  <si>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</si>
  <si>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</si>
  <si>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</si>
  <si>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</si>
  <si>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</si>
  <si>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</si>
  <si>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</si>
  <si>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</si>
  <si>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</si>
  <si>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</si>
  <si>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</si>
  <si>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</si>
  <si>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</si>
  <si>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</si>
  <si>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</si>
  <si>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</si>
  <si>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</si>
  <si>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</si>
  <si>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</si>
  <si>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</si>
  <si>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</si>
  <si>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</si>
  <si>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</si>
  <si>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</si>
  <si>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</si>
  <si>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</si>
  <si>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</si>
  <si>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</si>
  <si>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</si>
  <si>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</si>
  <si>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</si>
  <si>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</si>
  <si>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</si>
  <si>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</si>
  <si>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</si>
  <si>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</si>
  <si>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</si>
  <si>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</si>
  <si>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</si>
  <si>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</si>
  <si>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</si>
  <si>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</si>
  <si>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</si>
  <si>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</si>
  <si>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</si>
  <si>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</si>
  <si>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</si>
  <si>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</si>
  <si>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</si>
  <si>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</si>
  <si>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</si>
  <si>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</si>
  <si>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</si>
  <si>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</si>
  <si>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</si>
  <si>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</si>
  <si>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</si>
  <si>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</si>
  <si>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</si>
  <si>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</si>
  <si>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</si>
  <si>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</si>
  <si>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</si>
  <si>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</si>
  <si>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</si>
  <si>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</si>
  <si>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</si>
  <si>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</si>
  <si>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</si>
  <si>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</si>
  <si>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</si>
  <si>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</si>
  <si>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</si>
  <si>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</si>
  <si>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</si>
  <si>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</si>
  <si>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</si>
  <si>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</si>
  <si>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</si>
  <si>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</si>
  <si>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</si>
  <si>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</si>
  <si>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</si>
  <si>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</si>
  <si>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</si>
  <si>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</si>
  <si>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</si>
  <si>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</si>
  <si>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</si>
  <si>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</si>
  <si>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</si>
  <si>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</si>
  <si>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</si>
  <si>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</si>
  <si>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</si>
  <si>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</si>
  <si>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</si>
  <si>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</si>
  <si>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</si>
  <si>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</si>
  <si>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</si>
  <si>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</si>
  <si>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</si>
  <si>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</si>
  <si>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</si>
  <si>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</si>
  <si>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</si>
  <si>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</si>
  <si>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</si>
  <si>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</si>
  <si>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</si>
  <si>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</si>
  <si>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</si>
  <si>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</si>
  <si>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</si>
  <si>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</si>
  <si>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</si>
  <si>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</si>
  <si>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</si>
  <si>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</si>
  <si>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</si>
  <si>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</si>
  <si>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</si>
  <si>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</si>
  <si>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</si>
  <si>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</si>
  <si>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</si>
  <si>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</si>
  <si>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</si>
  <si>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</si>
  <si>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</si>
  <si>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</si>
  <si>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</si>
  <si>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</si>
  <si>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</si>
  <si>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</si>
  <si>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</si>
  <si>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</si>
  <si>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</si>
  <si>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</si>
  <si>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</si>
  <si>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</si>
  <si>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</si>
  <si>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</si>
  <si>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</si>
  <si>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</si>
  <si>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</si>
  <si>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</si>
  <si>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</si>
  <si>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</si>
  <si>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</si>
  <si>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</si>
  <si>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</si>
  <si>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</si>
  <si>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</si>
  <si>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</si>
  <si>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</si>
  <si>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</si>
  <si>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</si>
  <si>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</si>
  <si>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</si>
  <si>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</si>
  <si>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</si>
  <si>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</si>
  <si>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</si>
  <si>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</si>
  <si>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</si>
  <si>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</si>
  <si>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</si>
  <si>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</si>
  <si>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</si>
  <si>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</si>
  <si>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</si>
  <si>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</si>
  <si>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</si>
  <si>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</si>
  <si>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</si>
  <si>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</si>
  <si>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</si>
  <si>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</si>
  <si>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</si>
  <si>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</si>
  <si>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</si>
  <si>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</si>
  <si>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</si>
  <si>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</si>
  <si>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</si>
  <si>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</si>
  <si>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</si>
  <si>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</si>
  <si>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</si>
  <si>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</si>
  <si>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</si>
  <si>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</si>
  <si>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</si>
  <si>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</si>
  <si>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</si>
  <si>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</si>
  <si>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</si>
  <si>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</si>
  <si>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</si>
  <si>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</si>
  <si>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</si>
  <si>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</si>
  <si>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</si>
  <si>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</si>
  <si>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</si>
  <si>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</si>
  <si>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</si>
  <si>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</si>
  <si>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</si>
  <si>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</si>
  <si>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</si>
  <si>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</si>
  <si>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</si>
  <si>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</si>
  <si>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</si>
  <si>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</si>
  <si>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</si>
  <si>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</si>
  <si>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</si>
  <si>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</si>
  <si>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</si>
  <si>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</si>
  <si>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</si>
  <si>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</si>
  <si>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</si>
  <si>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</si>
  <si>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</si>
  <si>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</si>
  <si>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</si>
  <si>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</si>
  <si>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</si>
  <si>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</si>
  <si>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</si>
  <si>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</si>
  <si>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</si>
  <si>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</si>
  <si>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</si>
  <si>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</si>
  <si>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</si>
  <si>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</si>
  <si>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</si>
  <si>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</si>
  <si>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</si>
  <si>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</si>
  <si>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</si>
  <si>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</si>
  <si>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</si>
  <si>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</si>
  <si>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</si>
  <si>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</si>
  <si>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</si>
  <si>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</si>
  <si>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</si>
  <si>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</si>
  <si>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</si>
  <si>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</si>
  <si>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</si>
  <si>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</si>
  <si>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</si>
  <si>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</si>
  <si>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</si>
  <si>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</si>
  <si>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</si>
  <si>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</si>
  <si>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</si>
  <si>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</si>
  <si>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</si>
  <si>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</si>
  <si>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</si>
  <si>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</si>
  <si>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</si>
  <si>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</si>
  <si>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</si>
  <si>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</si>
  <si>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</si>
  <si>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</si>
  <si>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</si>
  <si>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</si>
  <si>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</si>
  <si>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</si>
  <si>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</si>
  <si>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</si>
  <si>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</si>
  <si>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</si>
  <si>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</si>
  <si>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</si>
  <si>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</si>
  <si>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</si>
  <si>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</si>
  <si>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</si>
  <si>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</si>
  <si>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</si>
  <si>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</si>
  <si>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</si>
  <si>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</si>
  <si>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</si>
  <si>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</si>
  <si>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</si>
  <si>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</si>
  <si>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</si>
  <si>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</si>
  <si>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</si>
  <si>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</si>
  <si>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</si>
  <si>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</si>
  <si>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</si>
  <si>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</si>
  <si>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</si>
  <si>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</si>
  <si>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</si>
  <si>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</si>
  <si>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</si>
  <si>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</si>
  <si>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</si>
  <si>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</si>
  <si>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</si>
  <si>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</si>
  <si>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</si>
  <si>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</si>
  <si>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</si>
  <si>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</si>
  <si>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</si>
  <si>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</si>
  <si>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</si>
  <si>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</si>
  <si>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</si>
  <si>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</si>
  <si>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</si>
  <si>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</si>
  <si>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</si>
  <si>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</si>
  <si>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</si>
  <si>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</si>
  <si>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</si>
  <si>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</si>
  <si>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</si>
  <si>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</si>
  <si>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</si>
  <si>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</si>
  <si>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</si>
  <si>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</si>
  <si>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</si>
  <si>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</si>
  <si>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</si>
  <si>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</si>
  <si>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</si>
  <si>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</si>
  <si>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</si>
  <si>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</si>
  <si>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</si>
  <si>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</si>
  <si>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</si>
  <si>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</si>
  <si>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</si>
  <si>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</si>
  <si>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</si>
  <si>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</si>
  <si>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</si>
  <si>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</si>
  <si>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</si>
  <si>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</si>
  <si>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</si>
  <si>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</si>
  <si>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</si>
  <si>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</si>
  <si>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</si>
  <si>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</si>
  <si>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</si>
  <si>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</si>
  <si>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</si>
  <si>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</si>
  <si>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</si>
  <si>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</si>
  <si>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</si>
  <si>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</si>
  <si>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</si>
  <si>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</si>
  <si>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</si>
  <si>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</si>
  <si>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</si>
  <si>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</si>
  <si>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</si>
  <si>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</si>
  <si>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</si>
  <si>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</si>
  <si>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</si>
  <si>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</si>
  <si>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</si>
  <si>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</si>
  <si>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</si>
  <si>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</si>
  <si>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</si>
  <si>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</si>
  <si>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</si>
  <si>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</si>
  <si>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</si>
  <si>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</si>
  <si>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</si>
  <si>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</si>
  <si>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</si>
  <si>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</si>
  <si>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</si>
  <si>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</si>
  <si>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</si>
  <si>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</si>
  <si>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</si>
  <si>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</si>
  <si>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</si>
  <si>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</si>
  <si>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</si>
  <si>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</si>
  <si>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</si>
  <si>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</si>
  <si>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</si>
  <si>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</si>
  <si>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</si>
  <si>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</si>
  <si>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</si>
  <si>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</si>
  <si>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</si>
  <si>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</si>
  <si>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</si>
  <si>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</si>
  <si>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</si>
  <si>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</si>
  <si>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</si>
  <si>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</si>
  <si>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</si>
  <si>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</si>
  <si>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</si>
  <si>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</si>
  <si>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</si>
  <si>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</si>
  <si>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</si>
  <si>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</si>
  <si>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</si>
  <si>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</si>
  <si>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</si>
  <si>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</si>
  <si>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</si>
  <si>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</si>
  <si>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</si>
  <si>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</si>
  <si>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</si>
  <si>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</si>
  <si>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</si>
  <si>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</si>
  <si>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</si>
  <si>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</si>
  <si>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</si>
  <si>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</si>
  <si>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</si>
  <si>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</si>
  <si>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</si>
  <si>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</si>
  <si>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</si>
  <si>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</si>
  <si>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</si>
  <si>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</si>
  <si>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</si>
  <si>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</si>
  <si>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</si>
  <si>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</si>
  <si>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</si>
  <si>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</si>
  <si>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</si>
  <si>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</si>
  <si>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</si>
  <si>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</si>
  <si>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</si>
  <si>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</si>
  <si>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</si>
  <si>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</si>
  <si>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</si>
  <si>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</si>
  <si>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</si>
  <si>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</si>
  <si>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</si>
  <si>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</si>
  <si>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</si>
  <si>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</si>
  <si>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</si>
  <si>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</si>
  <si>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</si>
  <si>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</si>
  <si>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</si>
  <si>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</si>
  <si>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</si>
  <si>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</si>
  <si>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</si>
  <si>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</si>
  <si>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</si>
  <si>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</si>
  <si>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</si>
  <si>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</si>
  <si>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</si>
  <si>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</si>
  <si>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</si>
  <si>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</si>
  <si>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</si>
  <si>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</si>
  <si>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</si>
  <si>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</si>
  <si>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</si>
  <si>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</si>
  <si>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</si>
  <si>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</si>
  <si>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</si>
  <si>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</si>
  <si>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</si>
  <si>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</si>
  <si>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</si>
  <si>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</si>
  <si>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</si>
  <si>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</si>
  <si>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</si>
  <si>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</si>
  <si>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</si>
  <si>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</si>
  <si>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</si>
  <si>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</si>
  <si>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</si>
  <si>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</si>
  <si>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</si>
  <si>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</si>
  <si>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</si>
  <si>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</si>
  <si>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</si>
  <si>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</si>
  <si>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</si>
  <si>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</si>
  <si>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</si>
  <si>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</si>
  <si>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</si>
  <si>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</si>
  <si>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</si>
  <si>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</si>
  <si>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</si>
  <si>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</si>
  <si>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</si>
  <si>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</si>
  <si>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</si>
  <si>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</si>
  <si>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</si>
  <si>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</si>
  <si>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</si>
  <si>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</si>
  <si>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</si>
  <si>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</si>
  <si>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</si>
  <si>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</si>
  <si>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</si>
  <si>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</si>
  <si>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</si>
  <si>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</si>
  <si>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</si>
  <si>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</si>
  <si>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</si>
  <si>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</si>
  <si>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</si>
  <si>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</si>
  <si>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</si>
  <si>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</si>
  <si>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</si>
  <si>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</si>
  <si>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</si>
  <si>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</si>
  <si>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</si>
  <si>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</si>
  <si>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</si>
  <si>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</si>
  <si>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</si>
  <si>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</si>
  <si>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</si>
  <si>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</si>
  <si>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</si>
  <si>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</si>
  <si>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</si>
  <si>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</si>
  <si>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</si>
  <si>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</si>
  <si>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</si>
  <si>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</si>
  <si>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</si>
  <si>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</si>
  <si>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</si>
  <si>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</si>
  <si>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</si>
  <si>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</si>
  <si>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</si>
  <si>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</si>
  <si>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</si>
  <si>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</si>
  <si>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</si>
  <si>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</si>
  <si>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</si>
  <si>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</si>
  <si>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</si>
  <si>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</si>
  <si>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</si>
  <si>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</si>
  <si>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</si>
  <si>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</si>
  <si>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</si>
  <si>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</si>
  <si>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</si>
  <si>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</si>
  <si>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</si>
  <si>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</si>
  <si>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</si>
  <si>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</si>
  <si>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</si>
  <si>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</si>
  <si>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</si>
  <si>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</si>
  <si>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</si>
  <si>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</si>
  <si>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</si>
  <si>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</si>
  <si>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</si>
  <si>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</si>
  <si>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</si>
  <si>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</si>
  <si>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</si>
  <si>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</si>
  <si>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</si>
  <si>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</si>
  <si>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</si>
  <si>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</si>
  <si>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</si>
  <si>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</si>
  <si>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</si>
  <si>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</si>
  <si>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</si>
  <si>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</si>
  <si>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</si>
  <si>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</si>
  <si>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</si>
  <si>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</si>
  <si>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</si>
  <si>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</si>
  <si>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</si>
  <si>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</si>
  <si>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</si>
  <si>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</si>
  <si>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</si>
  <si>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</si>
  <si>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</si>
  <si>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</si>
  <si>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</si>
  <si>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</si>
  <si>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</si>
  <si>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</si>
  <si>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</si>
  <si>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</si>
  <si>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</si>
  <si>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</si>
  <si>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</si>
  <si>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</si>
  <si>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</si>
  <si>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</si>
  <si>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</si>
  <si>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</si>
  <si>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</si>
  <si>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</si>
  <si>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</si>
  <si>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</si>
  <si>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</si>
  <si>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</si>
  <si>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</si>
  <si>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</si>
  <si>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</si>
  <si>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</si>
  <si>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</si>
  <si>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</si>
  <si>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</si>
  <si>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</si>
  <si>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</si>
  <si>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</si>
  <si>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</si>
  <si>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</si>
  <si>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</si>
  <si>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</si>
  <si>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</si>
  <si>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</si>
  <si>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</si>
  <si>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</si>
  <si>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</si>
  <si>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</si>
  <si>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</si>
  <si>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</si>
  <si>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</si>
  <si>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</si>
  <si>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</si>
  <si>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</si>
  <si>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</si>
  <si>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</si>
  <si>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</si>
  <si>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</si>
  <si>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</si>
  <si>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</si>
  <si>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</si>
  <si>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</si>
  <si>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</si>
  <si>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</si>
  <si>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</si>
  <si>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</si>
  <si>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</si>
  <si>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</si>
  <si>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</si>
  <si>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</si>
  <si>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</si>
  <si>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</si>
  <si>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</si>
  <si>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</si>
  <si>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</si>
  <si>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</si>
  <si>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</si>
  <si>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</si>
  <si>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</si>
  <si>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</si>
  <si>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</si>
  <si>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</si>
  <si>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</si>
  <si>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</si>
  <si>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</si>
  <si>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</si>
  <si>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</si>
  <si>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</si>
  <si>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</si>
  <si>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</si>
  <si>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</si>
  <si>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</si>
  <si>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</si>
  <si>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</si>
  <si>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</si>
  <si>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</si>
  <si>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</si>
  <si>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</si>
  <si>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</si>
  <si>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</si>
  <si>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</si>
  <si>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</si>
  <si>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</si>
  <si>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</si>
  <si>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</si>
  <si>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</si>
  <si>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</si>
  <si>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</si>
  <si>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</si>
  <si>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</si>
  <si>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</si>
  <si>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</si>
  <si>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</si>
  <si>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</si>
  <si>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</si>
  <si>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</si>
  <si>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</si>
  <si>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</si>
  <si>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</si>
  <si>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</si>
  <si>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</si>
  <si>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</si>
  <si>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</si>
  <si>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</si>
  <si>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</si>
  <si>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</si>
  <si>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</si>
  <si>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</si>
  <si>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</si>
  <si>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</si>
  <si>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</si>
  <si>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</si>
  <si>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</si>
  <si>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</si>
  <si>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</si>
  <si>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</si>
  <si>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</si>
  <si>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</si>
  <si>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</si>
  <si>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</si>
  <si>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</si>
  <si>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</si>
  <si>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</si>
  <si>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</si>
  <si>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</si>
  <si>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</si>
  <si>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</si>
  <si>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</si>
  <si>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</si>
  <si>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</si>
  <si>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</si>
  <si>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</si>
  <si>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</si>
  <si>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</si>
  <si>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</si>
  <si>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</si>
  <si>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</si>
  <si>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</si>
  <si>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</si>
  <si>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</si>
  <si>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</si>
  <si>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</si>
  <si>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</si>
  <si>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</si>
  <si>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</si>
  <si>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</si>
  <si>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</si>
  <si>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</si>
  <si>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</si>
  <si>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</si>
  <si>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</si>
  <si>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</si>
  <si>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</si>
  <si>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</si>
  <si>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</si>
  <si>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</si>
  <si>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</si>
  <si>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</si>
  <si>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</si>
  <si>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</si>
  <si>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</si>
  <si>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</si>
  <si>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</si>
  <si>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</si>
  <si>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</si>
  <si>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</si>
  <si>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</si>
  <si>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</si>
  <si>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</si>
  <si>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</si>
  <si>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</si>
  <si>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</si>
  <si>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</si>
  <si>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</si>
  <si>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</si>
  <si>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</si>
  <si>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</si>
  <si>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</si>
  <si>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</si>
  <si>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</si>
  <si>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</si>
  <si>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</si>
  <si>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</si>
  <si>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</si>
  <si>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</si>
  <si>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</si>
  <si>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</si>
  <si>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</si>
  <si>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</si>
  <si>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</si>
  <si>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</si>
  <si>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</si>
  <si>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</si>
  <si>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</si>
  <si>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</si>
  <si>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</si>
  <si>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</si>
  <si>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</si>
  <si>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</si>
  <si>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</si>
  <si>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</si>
  <si>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</si>
  <si>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</si>
  <si>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</si>
  <si>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</si>
  <si>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</si>
  <si>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</si>
  <si>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</si>
  <si>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</si>
  <si>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</si>
  <si>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</si>
  <si>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</si>
  <si>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</si>
  <si>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</si>
  <si>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</si>
  <si>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</si>
  <si>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</si>
  <si>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</si>
  <si>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</si>
  <si>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</si>
  <si>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</si>
  <si>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</si>
  <si>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</si>
  <si>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</si>
  <si>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</si>
  <si>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</si>
  <si>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</si>
  <si>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</si>
  <si>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</si>
  <si>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</si>
  <si>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</si>
  <si>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</si>
  <si>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</si>
  <si>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</si>
  <si>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</si>
  <si>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</si>
  <si>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</si>
  <si>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</si>
  <si>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</si>
  <si>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</si>
  <si>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</si>
  <si>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</si>
  <si>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</si>
  <si>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</si>
  <si>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</si>
  <si>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</si>
  <si>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</si>
  <si>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</si>
  <si>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</si>
  <si>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</si>
  <si>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</si>
  <si>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</si>
  <si>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</si>
  <si>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</si>
  <si>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</si>
  <si>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</si>
  <si>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</si>
  <si>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</si>
  <si>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</si>
  <si>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</si>
  <si>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</si>
  <si>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</si>
  <si>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</si>
  <si>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</si>
  <si>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</si>
  <si>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</si>
  <si>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</si>
  <si>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</si>
  <si>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</si>
  <si>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</si>
  <si>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</si>
  <si>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</si>
  <si>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</si>
  <si>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</si>
  <si>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</si>
  <si>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</si>
  <si>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</si>
  <si>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</si>
  <si>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</si>
  <si>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</si>
  <si>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</si>
  <si>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</si>
  <si>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</si>
  <si>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</si>
  <si>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</si>
  <si>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</si>
  <si>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</si>
  <si>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</si>
  <si>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</si>
  <si>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</si>
  <si>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</si>
  <si>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</si>
  <si>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</si>
  <si>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</si>
  <si>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</si>
  <si>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</si>
  <si>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</si>
  <si>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</si>
  <si>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</si>
  <si>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</si>
  <si>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</si>
  <si>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</si>
  <si>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</si>
  <si>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</si>
  <si>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</si>
  <si>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</si>
  <si>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</si>
  <si>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</si>
  <si>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</si>
  <si>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</si>
  <si>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</si>
  <si>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</si>
  <si>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</si>
  <si>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</si>
  <si>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</si>
  <si>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</si>
  <si>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</si>
  <si>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</si>
  <si>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</si>
  <si>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</si>
  <si>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</si>
  <si>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</si>
  <si>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</si>
  <si>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</si>
  <si>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</si>
  <si>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</si>
  <si>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</si>
  <si>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</si>
  <si>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</si>
  <si>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</si>
  <si>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</si>
  <si>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</si>
  <si>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</si>
  <si>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</si>
  <si>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</si>
  <si>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</si>
  <si>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</si>
  <si>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</si>
  <si>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</si>
  <si>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</si>
  <si>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</si>
  <si>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</si>
  <si>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</si>
  <si>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</si>
  <si>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</si>
  <si>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</si>
  <si>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</si>
  <si>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</si>
  <si>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</si>
  <si>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</si>
  <si>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</si>
  <si>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</si>
  <si>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</si>
  <si>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</si>
  <si>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</si>
  <si>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</si>
  <si>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</si>
  <si>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</si>
  <si>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</si>
  <si>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</si>
  <si>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</si>
  <si>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</si>
  <si>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</si>
  <si>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</si>
  <si>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</si>
  <si>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</si>
  <si>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</si>
  <si>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</si>
  <si>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</si>
  <si>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</si>
  <si>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</si>
  <si>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</si>
  <si>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</si>
  <si>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</si>
  <si>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</si>
  <si>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</si>
  <si>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</si>
  <si>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</si>
  <si>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</si>
  <si>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</si>
  <si>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</si>
  <si>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</si>
  <si>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</si>
  <si>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</si>
  <si>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</si>
  <si>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</si>
  <si>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</si>
  <si>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</si>
  <si>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</si>
  <si>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</si>
  <si>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</si>
  <si>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</si>
  <si>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</si>
  <si>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</si>
  <si>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</si>
  <si>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</si>
  <si>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</si>
  <si>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</si>
  <si>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</si>
  <si>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</si>
  <si>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</si>
  <si>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</si>
  <si>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</si>
  <si>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</si>
  <si>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</si>
  <si>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</si>
  <si>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</si>
  <si>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</si>
  <si>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</si>
  <si>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</si>
  <si>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</si>
  <si>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</si>
  <si>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</si>
  <si>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</si>
  <si>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</si>
  <si>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</si>
  <si>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</si>
  <si>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</si>
  <si>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</si>
  <si>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</si>
  <si>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</si>
  <si>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</si>
  <si>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</si>
  <si>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</si>
  <si>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</si>
  <si>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</si>
  <si>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</si>
  <si>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</si>
  <si>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</si>
  <si>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</si>
  <si>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</si>
  <si>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</si>
  <si>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</si>
  <si>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</si>
  <si>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</si>
  <si>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</si>
  <si>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</si>
  <si>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</si>
  <si>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</si>
  <si>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</si>
  <si>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</si>
  <si>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</si>
  <si>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</si>
  <si>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</si>
  <si>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</si>
  <si>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</si>
  <si>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</si>
  <si>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</si>
  <si>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</si>
  <si>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</si>
  <si>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</si>
  <si>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</si>
  <si>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</si>
  <si>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</si>
  <si>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</si>
  <si>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</si>
  <si>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</si>
  <si>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</si>
  <si>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</si>
  <si>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</si>
  <si>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</si>
  <si>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</si>
  <si>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</si>
  <si>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</si>
  <si>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</si>
  <si>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</si>
  <si>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</si>
  <si>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</si>
  <si>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</si>
  <si>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</si>
  <si>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</si>
  <si>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</si>
  <si>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</si>
  <si>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</si>
  <si>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</si>
  <si>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</si>
  <si>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</si>
  <si>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</si>
  <si>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</si>
  <si>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</si>
  <si>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</si>
  <si>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</si>
  <si>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</si>
  <si>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</si>
  <si>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</si>
  <si>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</si>
  <si>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</si>
  <si>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</si>
  <si>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</si>
  <si>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</si>
  <si>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</si>
  <si>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</si>
  <si>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</si>
  <si>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</si>
  <si>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</si>
  <si>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</si>
  <si>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</si>
  <si>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</si>
  <si>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</si>
  <si>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</si>
  <si>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</si>
  <si>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</si>
  <si>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</si>
  <si>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</si>
  <si>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</si>
  <si>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</si>
  <si>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</si>
  <si>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</si>
  <si>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</si>
  <si>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</si>
  <si>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</si>
  <si>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</si>
  <si>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</si>
  <si>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</si>
  <si>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</si>
  <si>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</si>
  <si>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</si>
  <si>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</si>
  <si>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</si>
  <si>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</si>
  <si>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</si>
  <si>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</si>
  <si>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</si>
  <si>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</si>
  <si>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</si>
  <si>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</si>
  <si>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</si>
  <si>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</si>
  <si>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</si>
  <si>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</si>
  <si>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</si>
  <si>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</si>
  <si>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</si>
  <si>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</si>
  <si>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</si>
  <si>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</si>
  <si>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</si>
  <si>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</si>
  <si>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</si>
  <si>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</si>
  <si>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</si>
  <si>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</si>
  <si>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</si>
  <si>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</si>
  <si>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</si>
  <si>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</si>
  <si>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</si>
  <si>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</si>
  <si>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</si>
  <si>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</si>
  <si>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</si>
  <si>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</si>
  <si>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</si>
  <si>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</si>
  <si>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</si>
  <si>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</si>
  <si>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</si>
  <si>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</si>
  <si>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</si>
  <si>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</si>
  <si>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</si>
  <si>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</si>
  <si>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</si>
  <si>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</si>
  <si>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</si>
  <si>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</si>
  <si>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</si>
  <si>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</si>
  <si>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</si>
  <si>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</si>
  <si>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</si>
  <si>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</si>
  <si>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</si>
  <si>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</si>
  <si>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</si>
  <si>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</si>
  <si>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</si>
  <si>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</si>
  <si>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</si>
  <si>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</si>
  <si>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</si>
  <si>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</si>
  <si>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</si>
  <si>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</si>
  <si>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</si>
  <si>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</si>
  <si>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</si>
  <si>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</si>
  <si>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</si>
  <si>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</si>
  <si>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</si>
  <si>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</si>
  <si>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</si>
  <si>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</si>
  <si>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</si>
  <si>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</si>
  <si>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</si>
  <si>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</si>
  <si>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</si>
  <si>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</si>
  <si>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</si>
  <si>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</si>
  <si>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</si>
  <si>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</si>
  <si>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</si>
  <si>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</si>
  <si>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</si>
  <si>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</si>
  <si>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</si>
  <si>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</si>
  <si>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</si>
  <si>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</si>
  <si>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</si>
  <si>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</si>
  <si>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</si>
  <si>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</si>
  <si>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</si>
  <si>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</si>
  <si>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</si>
  <si>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</si>
  <si>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</si>
  <si>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</si>
  <si>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</si>
  <si>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</si>
  <si>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</si>
  <si>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</si>
  <si>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</si>
  <si>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</si>
  <si>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</si>
  <si>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</si>
  <si>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</si>
  <si>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</si>
  <si>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</si>
  <si>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</si>
  <si>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</si>
  <si>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</si>
  <si>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</si>
  <si>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</si>
  <si>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</si>
  <si>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</si>
  <si>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</si>
  <si>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</si>
  <si>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</si>
  <si>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</si>
  <si>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</si>
  <si>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</si>
  <si>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</si>
  <si>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</si>
  <si>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</si>
  <si>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</si>
  <si>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</si>
  <si>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</si>
  <si>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</si>
  <si>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</si>
  <si>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</si>
  <si>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</si>
  <si>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</si>
  <si>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</si>
  <si>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</si>
  <si>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</si>
  <si>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</si>
  <si>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</si>
  <si>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</si>
  <si>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</si>
  <si>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</si>
  <si>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</si>
  <si>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</si>
  <si>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</si>
  <si>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</si>
  <si>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</si>
  <si>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</si>
  <si>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</si>
  <si>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</si>
  <si>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</si>
  <si>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</si>
  <si>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</si>
  <si>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</si>
  <si>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</si>
  <si>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</si>
  <si>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</si>
  <si>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</si>
  <si>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</si>
  <si>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</si>
  <si>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</si>
  <si>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</si>
  <si>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</si>
  <si>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</si>
  <si>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</si>
  <si>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</si>
  <si>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</si>
  <si>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</si>
  <si>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</si>
  <si>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</si>
  <si>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</si>
  <si>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</si>
  <si>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</si>
  <si>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</si>
  <si>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</si>
  <si>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</si>
  <si>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</si>
  <si>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</si>
  <si>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</si>
  <si>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</si>
  <si>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</si>
  <si>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</si>
  <si>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</si>
  <si>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</si>
  <si>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</si>
  <si>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</si>
  <si>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</si>
  <si>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</si>
  <si>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</si>
  <si>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</si>
  <si>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</si>
  <si>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</si>
  <si>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</si>
  <si>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</si>
  <si>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</si>
  <si>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</si>
  <si>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</si>
  <si>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</si>
  <si>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</si>
  <si>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</si>
  <si>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</si>
  <si>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</si>
  <si>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</si>
  <si>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</si>
  <si>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</si>
  <si>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</si>
  <si>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</si>
  <si>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</si>
  <si>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</si>
  <si>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</si>
  <si>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</si>
  <si>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</si>
  <si>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</si>
  <si>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</si>
  <si>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</si>
  <si>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</si>
  <si>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</si>
  <si>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</si>
  <si>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</si>
  <si>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</si>
  <si>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</si>
  <si>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</si>
  <si>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</si>
  <si>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</si>
  <si>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</si>
  <si>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</si>
  <si>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</si>
  <si>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</si>
  <si>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</si>
  <si>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</si>
  <si>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</si>
  <si>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</si>
  <si>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</si>
  <si>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</si>
  <si>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</si>
  <si>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</si>
  <si>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</si>
  <si>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</si>
  <si>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</si>
  <si>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</si>
  <si>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</si>
  <si>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</si>
  <si>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</si>
  <si>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</si>
  <si>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</si>
  <si>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</si>
  <si>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</si>
  <si>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</si>
  <si>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</si>
  <si>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</si>
  <si>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</si>
  <si>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</si>
  <si>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</si>
  <si>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</si>
  <si>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</si>
  <si>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</si>
  <si>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</si>
  <si>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</si>
  <si>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</si>
  <si>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</si>
  <si>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</si>
  <si>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</si>
  <si>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</si>
  <si>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</si>
  <si>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</si>
  <si>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</si>
  <si>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</si>
  <si>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</si>
  <si>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</si>
  <si>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</si>
  <si>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</si>
  <si>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</si>
  <si>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</si>
  <si>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</si>
  <si>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</si>
  <si>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</si>
  <si>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</si>
  <si>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</si>
  <si>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</si>
  <si>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</si>
  <si>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</si>
  <si>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</si>
  <si>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</si>
  <si>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</si>
  <si>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</si>
  <si>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</si>
  <si>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</si>
  <si>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</si>
  <si>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</si>
  <si>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</si>
  <si>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</si>
  <si>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</si>
  <si>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</si>
  <si>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</si>
  <si>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</si>
  <si>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</si>
  <si>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</si>
  <si>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</si>
  <si>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</si>
  <si>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</si>
  <si>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</si>
  <si>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</si>
  <si>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</si>
  <si>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</si>
  <si>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</si>
  <si>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</si>
  <si>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</si>
  <si>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</si>
  <si>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</si>
  <si>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</si>
  <si>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</si>
  <si>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</si>
  <si>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</si>
  <si>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</si>
  <si>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</si>
  <si>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</si>
  <si>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</si>
  <si>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</si>
  <si>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</si>
  <si>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</si>
  <si>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</si>
  <si>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</si>
  <si>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</si>
  <si>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</si>
  <si>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</si>
  <si>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</si>
  <si>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</si>
  <si>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</si>
  <si>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</si>
  <si>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</si>
  <si>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</si>
  <si>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</si>
  <si>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</si>
  <si>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</si>
  <si>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</si>
  <si>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</si>
  <si>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</si>
  <si>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</si>
  <si>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</si>
  <si>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</si>
  <si>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</si>
  <si>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</si>
  <si>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</si>
  <si>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</si>
  <si>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</si>
  <si>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</si>
  <si>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</si>
  <si>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</si>
  <si>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</si>
  <si>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</si>
  <si>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</si>
  <si>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</si>
  <si>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</si>
  <si>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</si>
  <si>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</si>
  <si>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</si>
  <si>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</si>
  <si>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</si>
  <si>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</si>
  <si>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</si>
  <si>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</si>
  <si>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</si>
  <si>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</si>
  <si>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</si>
  <si>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</si>
  <si>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</si>
  <si>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</si>
  <si>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</si>
  <si>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</si>
  <si>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</si>
  <si>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</si>
  <si>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</si>
  <si>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</si>
  <si>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</si>
  <si>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</si>
  <si>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</si>
  <si>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</si>
  <si>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</si>
  <si>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</si>
  <si>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</si>
  <si>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</si>
  <si>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</si>
  <si>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</si>
  <si>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</si>
  <si>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</si>
  <si>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</si>
  <si>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</si>
  <si>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</si>
  <si>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</si>
  <si>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</si>
  <si>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</si>
  <si>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</si>
  <si>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</si>
  <si>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</si>
  <si>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</si>
  <si>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</si>
  <si>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</si>
  <si>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</si>
  <si>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</si>
  <si>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</si>
  <si>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</si>
  <si>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</si>
  <si>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</si>
  <si>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</si>
  <si>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</si>
  <si>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</si>
  <si>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</si>
  <si>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</si>
  <si>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</si>
  <si>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</si>
  <si>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</si>
  <si>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</si>
  <si>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</si>
  <si>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</si>
  <si>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</si>
  <si>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</si>
  <si>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</si>
  <si>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</si>
  <si>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</si>
  <si>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</si>
  <si>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</si>
  <si>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</si>
  <si>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</si>
  <si>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</si>
  <si>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</si>
  <si>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</si>
  <si>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</si>
  <si>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</si>
  <si>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</si>
  <si>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</si>
  <si>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</si>
  <si>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</si>
  <si>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</si>
  <si>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</si>
  <si>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</si>
  <si>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</si>
  <si>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</si>
  <si>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</si>
  <si>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</si>
  <si>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</si>
  <si>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</si>
  <si>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</si>
  <si>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</si>
  <si>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</si>
  <si>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</si>
  <si>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</si>
  <si>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</si>
  <si>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</si>
  <si>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</si>
  <si>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</si>
  <si>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</si>
  <si>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</si>
  <si>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</si>
  <si>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</si>
  <si>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</si>
  <si>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</si>
  <si>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</si>
  <si>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</si>
  <si>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</si>
  <si>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</si>
  <si>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</si>
  <si>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</si>
  <si>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</si>
  <si>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</si>
  <si>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</si>
  <si>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</si>
  <si>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</si>
  <si>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</si>
  <si>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</si>
  <si>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</si>
  <si>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</si>
  <si>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</si>
  <si>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</si>
  <si>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</si>
  <si>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</si>
  <si>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</si>
  <si>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</si>
  <si>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</si>
  <si>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</si>
  <si>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</si>
  <si>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</si>
  <si>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</si>
  <si>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</si>
  <si>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</si>
  <si>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</si>
  <si>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</si>
  <si>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</si>
  <si>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</si>
  <si>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</si>
  <si>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</si>
  <si>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</si>
  <si>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</si>
  <si>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</si>
  <si>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</si>
  <si>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</si>
  <si>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</si>
  <si>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</si>
  <si>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</si>
  <si>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</si>
  <si>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</si>
  <si>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</si>
  <si>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</si>
  <si>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</si>
  <si>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</si>
  <si>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</si>
  <si>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</si>
  <si>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</si>
  <si>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</si>
  <si>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</si>
  <si>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</si>
  <si>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</si>
  <si>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</si>
  <si>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</si>
  <si>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</si>
  <si>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</si>
  <si>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</si>
  <si>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</si>
  <si>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</si>
  <si>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</si>
  <si>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</si>
  <si>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</si>
  <si>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</si>
  <si>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</si>
  <si>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</si>
  <si>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</si>
  <si>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</si>
  <si>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</si>
  <si>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</si>
  <si>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</si>
  <si>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</si>
  <si>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</si>
  <si>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</si>
  <si>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</si>
  <si>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</si>
  <si>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</si>
  <si>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</si>
  <si>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</si>
  <si>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</si>
  <si>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</si>
  <si>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</si>
  <si>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</si>
  <si>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</si>
  <si>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</si>
  <si>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</si>
  <si>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</si>
  <si>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</si>
  <si>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</si>
  <si>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</si>
  <si>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</si>
  <si>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</si>
  <si>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</si>
  <si>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</si>
  <si>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</si>
  <si>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</si>
  <si>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</si>
  <si>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</si>
  <si>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</si>
  <si>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</si>
  <si>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</si>
  <si>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</si>
  <si>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</si>
  <si>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</si>
  <si>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</si>
  <si>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</si>
  <si>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</si>
  <si>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</si>
  <si>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</si>
  <si>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</si>
  <si>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</si>
  <si>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</si>
  <si>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</si>
  <si>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</si>
  <si>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</si>
  <si>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</si>
  <si>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</si>
  <si>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</si>
  <si>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</si>
  <si>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</si>
  <si>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</si>
  <si>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</si>
  <si>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</si>
  <si>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</si>
  <si>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</si>
  <si>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</si>
  <si>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</si>
  <si>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</si>
  <si>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</si>
  <si>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</si>
  <si>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</si>
  <si>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</si>
  <si>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</si>
  <si>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</si>
  <si>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</si>
  <si>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</si>
  <si>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</si>
  <si>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</si>
  <si>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</si>
  <si>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</si>
  <si>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</si>
  <si>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</si>
  <si>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</si>
  <si>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</si>
  <si>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</si>
  <si>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</si>
  <si>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</si>
  <si>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</si>
  <si>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</si>
  <si>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</si>
  <si>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</si>
  <si>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</si>
  <si>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</si>
  <si>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</si>
  <si>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</si>
  <si>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</si>
  <si>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</si>
  <si>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</si>
  <si>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</si>
  <si>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</si>
  <si>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</si>
  <si>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</si>
  <si>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</si>
  <si>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</si>
  <si>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</si>
  <si>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</si>
  <si>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</si>
  <si>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</si>
  <si>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</si>
  <si>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</si>
  <si>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</si>
  <si>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</si>
  <si>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</si>
  <si>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</si>
  <si>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</si>
  <si>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</si>
  <si>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</si>
  <si>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</si>
  <si>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</si>
  <si>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</si>
  <si>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</si>
  <si>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</si>
  <si>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</si>
  <si>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</si>
  <si>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</si>
  <si>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</si>
  <si>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</si>
  <si>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</si>
  <si>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</si>
  <si>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</si>
  <si>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</si>
  <si>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</si>
  <si>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</si>
  <si>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</si>
  <si>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</si>
  <si>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</si>
  <si>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</si>
  <si>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</si>
  <si>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</si>
  <si>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</si>
  <si>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</si>
  <si>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</si>
  <si>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</si>
  <si>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</si>
  <si>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</si>
  <si>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</si>
  <si>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</si>
  <si>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</si>
  <si>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</si>
  <si>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</si>
  <si>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</si>
  <si>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</si>
  <si>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</si>
  <si>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</si>
  <si>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</si>
  <si>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</si>
  <si>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</si>
  <si>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</si>
  <si>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</si>
  <si>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</si>
  <si>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</si>
  <si>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</si>
  <si>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</si>
  <si>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</si>
  <si>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</si>
  <si>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</si>
  <si>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</si>
  <si>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</si>
  <si>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</si>
  <si>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</si>
  <si>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</si>
  <si>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</si>
  <si>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</si>
  <si>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</si>
  <si>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</si>
  <si>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</si>
  <si>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</si>
  <si>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</si>
  <si>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</si>
  <si>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</si>
  <si>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</si>
  <si>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</si>
  <si>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</si>
  <si>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</si>
  <si>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</si>
  <si>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</si>
  <si>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</si>
  <si>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</si>
  <si>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</si>
  <si>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</si>
  <si>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</si>
  <si>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</si>
  <si>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</si>
  <si>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</si>
  <si>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</si>
  <si>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</si>
  <si>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</si>
  <si>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</si>
  <si>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</si>
  <si>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</si>
  <si>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</si>
  <si>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</si>
  <si>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</si>
  <si>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</si>
  <si>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</si>
  <si>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</si>
  <si>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</si>
  <si>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</si>
  <si>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</si>
  <si>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</si>
  <si>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</si>
  <si>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</si>
  <si>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</si>
  <si>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</si>
  <si>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</si>
  <si>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</si>
  <si>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</si>
  <si>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</si>
  <si>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</si>
  <si>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</si>
  <si>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</si>
  <si>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</si>
  <si>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</si>
  <si>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</si>
  <si>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</si>
  <si>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</si>
  <si>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</si>
  <si>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</si>
  <si>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</si>
  <si>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</si>
  <si>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</si>
  <si>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</si>
  <si>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</si>
  <si>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</si>
  <si>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</si>
  <si>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</si>
  <si>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</si>
  <si>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</si>
  <si>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</si>
  <si>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</si>
  <si>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</si>
  <si>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</si>
  <si>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</si>
  <si>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</si>
  <si>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</si>
  <si>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</si>
  <si>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</si>
  <si>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</si>
  <si>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</si>
  <si>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</si>
  <si>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</si>
  <si>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</si>
  <si>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</si>
  <si>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</si>
  <si>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</si>
  <si>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</si>
  <si>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</si>
  <si>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</si>
  <si>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</si>
  <si>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</si>
  <si>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</si>
  <si>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</si>
  <si>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</si>
  <si>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</si>
  <si>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</si>
  <si>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</si>
  <si>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</si>
  <si>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</si>
  <si>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</si>
  <si>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</si>
  <si>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</si>
  <si>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</si>
  <si>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</si>
  <si>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</si>
  <si>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</si>
  <si>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</si>
  <si>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</si>
  <si>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</si>
  <si>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</si>
  <si>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</si>
  <si>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</si>
  <si>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</si>
  <si>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</si>
  <si>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</si>
  <si>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</si>
  <si>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</si>
  <si>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</si>
  <si>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</si>
  <si>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</si>
  <si>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</si>
  <si>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</si>
  <si>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</si>
  <si>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</si>
  <si>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</si>
  <si>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</si>
  <si>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</si>
  <si>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</si>
  <si>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</si>
  <si>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</si>
  <si>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</si>
  <si>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</si>
  <si>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</si>
  <si>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</si>
  <si>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</si>
  <si>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</si>
  <si>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</si>
  <si>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</si>
  <si>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</si>
  <si>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</si>
  <si>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</si>
  <si>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</si>
  <si>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</si>
  <si>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</si>
  <si>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</si>
  <si>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</si>
  <si>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</si>
  <si>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</si>
  <si>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</si>
  <si>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</si>
  <si>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</si>
  <si>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</si>
  <si>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</si>
  <si>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</si>
  <si>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</si>
  <si>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</si>
  <si>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</si>
  <si>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</si>
  <si>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</si>
  <si>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</si>
  <si>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</si>
  <si>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</si>
  <si>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</si>
  <si>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</si>
  <si>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</si>
  <si>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</si>
  <si>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</si>
  <si>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</si>
  <si>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</si>
  <si>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</si>
  <si>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</si>
  <si>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</si>
  <si>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</si>
  <si>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</si>
  <si>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</si>
  <si>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</si>
  <si>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</si>
  <si>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</si>
  <si>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</si>
  <si>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</si>
  <si>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</si>
  <si>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</si>
  <si>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</si>
  <si>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</si>
  <si>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</si>
  <si>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</si>
  <si>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</si>
  <si>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</si>
  <si>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</si>
  <si>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</si>
  <si>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</si>
  <si>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</si>
  <si>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</si>
  <si>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</si>
  <si>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</si>
  <si>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</si>
  <si>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</si>
  <si>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</si>
  <si>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</si>
  <si>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</si>
  <si>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</si>
  <si>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</si>
  <si>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</si>
  <si>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</si>
  <si>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</si>
  <si>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</si>
  <si>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</si>
  <si>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</si>
  <si>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</si>
  <si>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</si>
  <si>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</si>
  <si>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</si>
  <si>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</si>
  <si>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</si>
  <si>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</si>
  <si>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</si>
  <si>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</si>
  <si>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</si>
  <si>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</si>
  <si>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</si>
  <si>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</si>
  <si>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</si>
  <si>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</si>
  <si>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</si>
  <si>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</si>
  <si>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</si>
  <si>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</si>
  <si>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</si>
  <si>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</si>
  <si>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</si>
  <si>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</si>
  <si>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</si>
  <si>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</si>
  <si>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</si>
  <si>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</si>
  <si>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</si>
  <si>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</si>
  <si>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</si>
  <si>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</si>
  <si>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</si>
  <si>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</si>
  <si>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</si>
  <si>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</si>
  <si>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</si>
  <si>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</si>
  <si>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</si>
  <si>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</si>
  <si>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</si>
  <si>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</si>
  <si>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</si>
  <si>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</si>
  <si>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</si>
  <si>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</si>
  <si>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</si>
  <si>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</si>
  <si>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</si>
  <si>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</si>
  <si>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</si>
  <si>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</si>
  <si>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</si>
  <si>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</si>
  <si>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</si>
  <si>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</si>
  <si>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</si>
  <si>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</si>
  <si>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</si>
  <si>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</si>
  <si>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</si>
  <si>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</si>
  <si>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</si>
  <si>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</si>
  <si>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</si>
  <si>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</si>
  <si>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</si>
  <si>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</si>
  <si>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</si>
  <si>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</si>
  <si>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</si>
  <si>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</si>
  <si>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</si>
  <si>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</si>
  <si>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</si>
  <si>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</si>
  <si>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</si>
  <si>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</si>
  <si>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</si>
  <si>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</si>
  <si>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</si>
  <si>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</si>
  <si>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</si>
  <si>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</si>
  <si>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</si>
  <si>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</si>
  <si>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</si>
  <si>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</si>
  <si>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</si>
  <si>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</si>
  <si>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</si>
  <si>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</si>
  <si>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</si>
  <si>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</si>
  <si>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</si>
  <si>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</si>
  <si>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</si>
  <si>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</si>
  <si>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</si>
  <si>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</si>
  <si>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</si>
  <si>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</si>
  <si>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</si>
  <si>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</si>
  <si>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</si>
  <si>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</si>
  <si>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</si>
  <si>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</si>
  <si>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</si>
  <si>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</si>
  <si>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</si>
  <si>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</si>
  <si>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</si>
  <si>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</si>
  <si>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</si>
  <si>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</si>
  <si>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</si>
  <si>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</si>
  <si>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</si>
  <si>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</si>
  <si>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</si>
  <si>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</si>
  <si>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</si>
  <si>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</si>
  <si>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</si>
  <si>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</si>
  <si>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</si>
  <si>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</si>
  <si>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</si>
  <si>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</si>
  <si>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</si>
  <si>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</si>
  <si>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</si>
  <si>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</si>
  <si>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</si>
  <si>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</si>
  <si>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</si>
  <si>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</si>
  <si>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</si>
  <si>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</si>
  <si>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</si>
  <si>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</si>
  <si>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</si>
  <si>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</si>
  <si>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</si>
  <si>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</si>
  <si>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</si>
  <si>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</si>
  <si>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</si>
  <si>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</si>
  <si>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</si>
  <si>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</si>
  <si>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</si>
  <si>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</si>
  <si>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</si>
  <si>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</si>
  <si>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</si>
  <si>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</si>
  <si>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</si>
  <si>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</si>
  <si>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</si>
  <si>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</si>
  <si>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</si>
  <si>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</si>
  <si>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</si>
  <si>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</si>
  <si>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</si>
  <si>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</si>
  <si>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</si>
  <si>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</si>
  <si>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</si>
  <si>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</si>
  <si>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</si>
  <si>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</si>
  <si>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</si>
  <si>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</si>
  <si>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</si>
  <si>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</si>
  <si>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</si>
  <si>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</si>
  <si>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</si>
  <si>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</si>
  <si>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</si>
  <si>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</si>
  <si>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</si>
  <si>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</si>
  <si>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</si>
  <si>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</si>
  <si>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</si>
  <si>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</si>
  <si>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</si>
  <si>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</si>
  <si>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</si>
  <si>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</si>
  <si>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</si>
  <si>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</si>
  <si>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</si>
  <si>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</si>
  <si>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</si>
  <si>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</si>
  <si>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</si>
  <si>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</si>
  <si>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</si>
  <si>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</si>
  <si>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</si>
  <si>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</si>
  <si>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</si>
  <si>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</si>
  <si>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</si>
  <si>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</si>
  <si>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</si>
  <si>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</si>
  <si>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</si>
  <si>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</si>
  <si>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</si>
  <si>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</si>
  <si>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</si>
  <si>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</si>
  <si>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</si>
  <si>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</si>
  <si>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</si>
  <si>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</si>
  <si>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</si>
  <si>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</si>
  <si>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</si>
  <si>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</si>
  <si>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</si>
  <si>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</si>
  <si>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</si>
  <si>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</si>
  <si>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</si>
  <si>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</si>
  <si>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</si>
  <si>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</si>
  <si>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</si>
  <si>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</si>
  <si>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</si>
  <si>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</si>
  <si>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</si>
  <si>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</si>
  <si>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</si>
  <si>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</si>
  <si>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</si>
  <si>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</si>
  <si>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</si>
  <si>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</si>
  <si>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</si>
  <si>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</si>
  <si>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</si>
  <si>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</si>
  <si>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</si>
  <si>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</si>
  <si>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</si>
  <si>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</si>
  <si>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</si>
  <si>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</si>
  <si>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</si>
  <si>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</si>
  <si>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</si>
  <si>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</si>
  <si>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</si>
  <si>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</si>
  <si>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</si>
  <si>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</si>
  <si>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</si>
  <si>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</si>
  <si>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</si>
  <si>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</si>
  <si>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</si>
  <si>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</si>
  <si>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</si>
  <si>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</si>
  <si>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</si>
  <si>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</si>
  <si>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</si>
  <si>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</si>
  <si>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</si>
  <si>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</si>
  <si>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</si>
  <si>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</si>
  <si>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</si>
  <si>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</si>
  <si>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</si>
  <si>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</si>
  <si>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</si>
  <si>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</si>
  <si>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</si>
  <si>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</si>
  <si>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</si>
  <si>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</si>
  <si>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</si>
  <si>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</si>
  <si>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</si>
  <si>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</si>
  <si>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</si>
  <si>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</si>
  <si>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</si>
  <si>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</si>
  <si>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</si>
  <si>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</si>
  <si>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</si>
  <si>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</si>
  <si>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</si>
  <si>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</si>
  <si>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</si>
  <si>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</si>
  <si>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</si>
  <si>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</si>
  <si>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</si>
  <si>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</si>
  <si>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</si>
  <si>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</si>
  <si>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</si>
  <si>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</si>
  <si>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</si>
  <si>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</si>
  <si>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</si>
  <si>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</si>
  <si>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</si>
  <si>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</si>
  <si>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</si>
  <si>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</si>
  <si>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</si>
  <si>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</si>
  <si>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</si>
  <si>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</si>
  <si>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</si>
  <si>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</si>
  <si>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</si>
  <si>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</si>
  <si>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</si>
  <si>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</si>
  <si>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</si>
  <si>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</si>
  <si>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</si>
  <si>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</si>
  <si>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</si>
  <si>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</si>
  <si>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</si>
  <si>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</si>
  <si>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</si>
  <si>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</si>
  <si>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</si>
  <si>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</si>
  <si>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</si>
  <si>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</si>
  <si>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</si>
  <si>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</si>
  <si>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</si>
  <si>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</si>
  <si>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</si>
  <si>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</si>
  <si>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</si>
  <si>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</si>
  <si>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</si>
  <si>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</si>
  <si>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</si>
  <si>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</si>
  <si>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</si>
  <si>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</si>
  <si>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</si>
  <si>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</si>
  <si>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</si>
  <si>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</si>
  <si>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</si>
  <si>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</si>
  <si>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</si>
  <si>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</si>
  <si>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</si>
  <si>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</si>
  <si>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</si>
  <si>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</si>
  <si>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</si>
  <si>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</si>
  <si>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</si>
  <si>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</si>
  <si>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</si>
  <si>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</si>
  <si>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</si>
  <si>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</si>
  <si>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</si>
  <si>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</si>
  <si>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</si>
  <si>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</si>
  <si>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</si>
  <si>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</si>
  <si>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</si>
  <si>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</si>
  <si>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</si>
  <si>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</si>
  <si>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</si>
  <si>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</si>
  <si>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</si>
  <si>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</si>
  <si>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</si>
  <si>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</si>
  <si>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</si>
  <si>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</si>
  <si>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</si>
  <si>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</si>
  <si>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</si>
  <si>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</si>
  <si>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</si>
  <si>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</si>
  <si>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</si>
  <si>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</si>
  <si>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</si>
  <si>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</si>
  <si>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</si>
  <si>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</si>
  <si>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</si>
  <si>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</si>
  <si>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</si>
  <si>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</si>
  <si>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</si>
  <si>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</si>
  <si>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</si>
  <si>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</si>
  <si>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</si>
  <si>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</si>
  <si>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</si>
  <si>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</si>
  <si>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</si>
  <si>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</si>
  <si>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</si>
  <si>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</si>
  <si>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</si>
  <si>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</si>
  <si>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</si>
  <si>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</si>
  <si>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</si>
  <si>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</si>
  <si>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</si>
  <si>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</si>
  <si>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</si>
  <si>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</si>
  <si>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</si>
  <si>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</si>
  <si>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</si>
  <si>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</si>
  <si>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</si>
  <si>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</si>
  <si>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</si>
  <si>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</si>
  <si>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</si>
  <si>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</si>
  <si>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</si>
  <si>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</si>
  <si>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</si>
  <si>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</si>
  <si>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</si>
  <si>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</si>
  <si>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</si>
  <si>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</si>
  <si>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</si>
  <si>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</si>
  <si>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</si>
  <si>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</si>
  <si>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</si>
  <si>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</si>
  <si>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</si>
  <si>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</si>
  <si>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</si>
  <si>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</si>
  <si>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</si>
  <si>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</si>
  <si>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</si>
  <si>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</si>
  <si>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</si>
  <si>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</si>
  <si>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</si>
  <si>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</si>
  <si>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</si>
  <si>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</si>
  <si>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</si>
  <si>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</si>
  <si>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</si>
  <si>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</si>
  <si>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</si>
  <si>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</si>
  <si>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</si>
  <si>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</si>
  <si>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</si>
  <si>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</si>
  <si>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</si>
  <si>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</si>
  <si>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</si>
  <si>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</si>
  <si>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</si>
  <si>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</si>
  <si>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</si>
  <si>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</si>
  <si>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</si>
  <si>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</si>
  <si>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</si>
  <si>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</si>
  <si>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</si>
  <si>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</si>
  <si>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</si>
  <si>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</si>
  <si>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</si>
  <si>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</si>
  <si>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</si>
  <si>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</si>
  <si>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</si>
  <si>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</si>
  <si>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</si>
  <si>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</si>
  <si>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</si>
  <si>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</si>
  <si>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</si>
  <si>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</si>
  <si>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</si>
  <si>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</si>
  <si>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</si>
  <si>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</si>
  <si>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</si>
  <si>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</si>
  <si>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</si>
  <si>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</si>
  <si>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</si>
  <si>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</si>
  <si>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</si>
  <si>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</si>
  <si>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</si>
  <si>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</si>
  <si>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</si>
  <si>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</si>
  <si>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</si>
  <si>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</si>
  <si>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</si>
  <si>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</si>
  <si>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</si>
  <si>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</si>
  <si>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</si>
  <si>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</si>
  <si>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</si>
  <si>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</si>
  <si>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</si>
  <si>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</si>
  <si>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</si>
  <si>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</si>
  <si>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</si>
  <si>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</si>
  <si>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</si>
  <si>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</si>
  <si>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</si>
  <si>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</si>
  <si>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</si>
  <si>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</si>
  <si>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</si>
  <si>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</si>
  <si>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</si>
  <si>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</si>
  <si>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</si>
  <si>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</si>
  <si>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</si>
  <si>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</si>
  <si>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</si>
  <si>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</si>
  <si>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</si>
  <si>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</si>
  <si>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</si>
  <si>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</si>
  <si>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</si>
  <si>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</si>
  <si>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</si>
  <si>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</si>
  <si>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</si>
  <si>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</si>
  <si>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</si>
  <si>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</si>
  <si>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</si>
  <si>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</si>
  <si>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</si>
  <si>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</si>
  <si>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</si>
  <si>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</si>
  <si>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</si>
  <si>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</si>
  <si>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</si>
  <si>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</si>
  <si>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</si>
  <si>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</si>
  <si>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</si>
  <si>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</si>
  <si>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</si>
  <si>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</si>
  <si>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</si>
  <si>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</si>
  <si>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</si>
  <si>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</si>
  <si>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</si>
  <si>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</si>
  <si>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</si>
  <si>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</si>
  <si>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</si>
  <si>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</si>
  <si>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</si>
  <si>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</si>
  <si>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</si>
  <si>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</si>
  <si>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</si>
  <si>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</si>
  <si>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</si>
  <si>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</si>
  <si>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</si>
  <si>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</si>
  <si>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</si>
  <si>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</si>
  <si>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</si>
  <si>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</si>
  <si>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</si>
  <si>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</si>
  <si>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</si>
  <si>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</si>
  <si>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</si>
  <si>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</si>
  <si>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</si>
  <si>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</si>
  <si>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</si>
  <si>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</si>
  <si>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</si>
  <si>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</si>
  <si>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</si>
  <si>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</si>
  <si>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</si>
  <si>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</si>
  <si>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</si>
  <si>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</si>
  <si>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</si>
  <si>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</si>
  <si>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</si>
  <si>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</si>
  <si>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</si>
  <si>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</si>
  <si>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</si>
  <si>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</si>
  <si>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</si>
  <si>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</si>
  <si>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</si>
  <si>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</si>
  <si>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</si>
  <si>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</si>
  <si>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</si>
  <si>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</si>
  <si>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</si>
  <si>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</si>
  <si>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</si>
  <si>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</si>
  <si>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</si>
  <si>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</si>
  <si>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</si>
  <si>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</si>
  <si>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</si>
  <si>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</si>
  <si>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</si>
  <si>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</si>
  <si>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</si>
  <si>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</si>
  <si>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</si>
  <si>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</si>
  <si>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</si>
  <si>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</si>
  <si>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</si>
  <si>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</si>
  <si>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</si>
  <si>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</si>
  <si>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</si>
  <si>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</si>
  <si>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</si>
  <si>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</si>
  <si>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</si>
  <si>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</si>
  <si>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</si>
  <si>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</si>
  <si>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</si>
  <si>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</si>
  <si>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</si>
  <si>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</si>
  <si>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</si>
  <si>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</si>
  <si>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</si>
  <si>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</si>
  <si>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</si>
  <si>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</si>
  <si>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</si>
  <si>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</si>
  <si>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</si>
  <si>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</si>
  <si>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</si>
  <si>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</si>
  <si>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</si>
  <si>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</si>
  <si>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</si>
  <si>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</si>
  <si>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</si>
  <si>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</si>
  <si>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</si>
  <si>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</si>
  <si>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</si>
  <si>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</si>
  <si>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</si>
  <si>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</si>
  <si>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</si>
  <si>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</si>
  <si>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</si>
  <si>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</si>
  <si>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</si>
  <si>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</si>
  <si>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</si>
  <si>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</si>
  <si>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</si>
  <si>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</si>
  <si>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</si>
  <si>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</si>
  <si>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</si>
  <si>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</si>
  <si>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</si>
  <si>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</si>
  <si>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</si>
  <si>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</si>
  <si>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</si>
  <si>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</si>
  <si>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</si>
  <si>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</si>
  <si>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</si>
  <si>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</si>
  <si>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</si>
  <si>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</si>
  <si>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</si>
  <si>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</si>
  <si>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</si>
  <si>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</si>
  <si>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</si>
  <si>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</si>
  <si>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</si>
  <si>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</si>
  <si>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</si>
  <si>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</si>
  <si>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</si>
  <si>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</si>
  <si>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</si>
  <si>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</si>
  <si>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</si>
  <si>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</si>
  <si>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</si>
  <si>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</si>
  <si>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</si>
  <si>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</si>
  <si>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</si>
  <si>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</si>
  <si>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</si>
  <si>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</si>
  <si>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</si>
  <si>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</si>
  <si>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</si>
  <si>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</si>
  <si>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</si>
  <si>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</si>
  <si>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</si>
  <si>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</si>
  <si>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</si>
  <si>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</si>
  <si>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</si>
  <si>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</si>
  <si>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</si>
  <si>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</si>
  <si>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</si>
  <si>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</si>
  <si>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</si>
  <si>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</si>
  <si>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</si>
  <si>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</si>
  <si>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</si>
  <si>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</si>
  <si>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</si>
  <si>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</si>
  <si>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</si>
  <si>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</si>
  <si>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</si>
  <si>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</si>
  <si>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</si>
  <si>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</si>
  <si>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</si>
  <si>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</si>
  <si>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</si>
  <si>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</si>
  <si>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</si>
  <si>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</si>
  <si>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</si>
  <si>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</si>
  <si>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</si>
  <si>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</si>
  <si>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</si>
  <si>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</si>
  <si>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</si>
  <si>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</si>
  <si>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</si>
  <si>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</si>
  <si>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</si>
  <si>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</si>
  <si>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</si>
  <si>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</si>
  <si>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</si>
  <si>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</si>
  <si>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</si>
  <si>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</si>
  <si>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</si>
  <si>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</si>
  <si>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</si>
  <si>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</si>
  <si>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</si>
  <si>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</si>
  <si>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</si>
  <si>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</si>
  <si>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</si>
  <si>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</si>
  <si>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</si>
  <si>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</si>
  <si>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</si>
  <si>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</si>
  <si>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</si>
  <si>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</si>
  <si>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</si>
  <si>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</si>
  <si>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</si>
  <si>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</si>
  <si>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</si>
  <si>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</si>
  <si>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</si>
  <si>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</si>
  <si>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</si>
  <si>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</si>
  <si>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</si>
  <si>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</si>
  <si>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</si>
  <si>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</si>
  <si>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</si>
  <si>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</si>
  <si>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</si>
  <si>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</si>
  <si>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</si>
  <si>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</si>
  <si>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</si>
  <si>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</si>
  <si>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</si>
  <si>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</si>
  <si>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</si>
  <si>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</si>
  <si>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</si>
  <si>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</si>
  <si>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</si>
  <si>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</si>
  <si>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</si>
  <si>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</si>
  <si>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</si>
  <si>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</si>
  <si>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</si>
  <si>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</si>
  <si>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</si>
  <si>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</si>
  <si>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</si>
  <si>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</si>
  <si>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</si>
  <si>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</si>
  <si>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</si>
  <si>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</si>
  <si>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</si>
  <si>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</si>
  <si>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</si>
  <si>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</si>
  <si>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</si>
  <si>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</si>
  <si>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</si>
  <si>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</si>
  <si>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</si>
  <si>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</si>
  <si>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</si>
  <si>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</si>
  <si>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</si>
  <si>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</si>
  <si>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</si>
  <si>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</si>
  <si>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</si>
  <si>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</si>
  <si>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</si>
  <si>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</si>
  <si>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</si>
  <si>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</si>
  <si>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</si>
  <si>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</si>
  <si>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</si>
  <si>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</si>
  <si>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</si>
  <si>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</si>
  <si>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</si>
  <si>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</si>
  <si>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</si>
  <si>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</si>
  <si>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</si>
  <si>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</si>
  <si>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</si>
  <si>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</si>
  <si>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</si>
  <si>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</si>
  <si>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</si>
  <si>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</si>
  <si>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</si>
  <si>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</si>
  <si>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</si>
  <si>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</si>
  <si>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</si>
  <si>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</si>
  <si>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</si>
  <si>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</si>
  <si>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</si>
  <si>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</si>
  <si>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</si>
  <si>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</si>
  <si>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</si>
  <si>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</si>
  <si>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</si>
  <si>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</si>
  <si>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</si>
  <si>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</si>
  <si>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</si>
  <si>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</si>
  <si>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</si>
  <si>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</si>
  <si>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</si>
  <si>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</si>
  <si>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</si>
  <si>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</si>
  <si>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</si>
  <si>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</si>
  <si>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</si>
  <si>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</si>
  <si>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</si>
  <si>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</si>
  <si>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</si>
  <si>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</si>
  <si>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</si>
  <si>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</si>
  <si>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</si>
  <si>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</si>
  <si>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</si>
  <si>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</si>
  <si>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</si>
  <si>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</si>
  <si>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</si>
  <si>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</si>
  <si>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</si>
  <si>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</si>
  <si>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</si>
  <si>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</si>
  <si>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</si>
  <si>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</si>
  <si>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</si>
  <si>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</si>
  <si>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</si>
  <si>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</si>
  <si>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</si>
  <si>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</si>
  <si>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</si>
  <si>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</si>
  <si>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</si>
  <si>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</si>
  <si>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</si>
  <si>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</si>
  <si>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</si>
  <si>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</si>
  <si>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</si>
  <si>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</si>
  <si>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</si>
  <si>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</si>
  <si>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</si>
  <si>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</si>
  <si>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</si>
  <si>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</si>
  <si>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</si>
  <si>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</si>
  <si>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</si>
  <si>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</si>
  <si>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</si>
  <si>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</si>
  <si>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</si>
  <si>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</si>
  <si>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</si>
  <si>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</si>
  <si>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</si>
  <si>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</si>
  <si>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</si>
  <si>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</si>
  <si>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</si>
  <si>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</si>
  <si>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</si>
  <si>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</si>
  <si>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</si>
  <si>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</si>
  <si>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</si>
  <si>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</si>
  <si>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</si>
  <si>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</si>
  <si>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</si>
  <si>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</si>
  <si>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</si>
  <si>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</si>
  <si>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</si>
  <si>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</si>
  <si>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</si>
  <si>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</si>
  <si>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</si>
  <si>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</si>
  <si>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</si>
  <si>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</si>
  <si>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</si>
  <si>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</si>
  <si>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</si>
  <si>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</si>
  <si>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</si>
  <si>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</si>
  <si>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</si>
  <si>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</si>
  <si>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</si>
  <si>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</si>
  <si>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</si>
  <si>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</si>
  <si>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</si>
  <si>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</si>
  <si>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</si>
  <si>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</si>
  <si>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</si>
  <si>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</si>
  <si>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</si>
  <si>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</si>
  <si>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</si>
  <si>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</si>
  <si>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</si>
  <si>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</si>
  <si>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</si>
  <si>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</si>
  <si>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</si>
  <si>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</si>
  <si>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</si>
  <si>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</si>
  <si>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</si>
  <si>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</si>
  <si>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</si>
  <si>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</si>
  <si>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</si>
  <si>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</si>
  <si>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</si>
  <si>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</si>
  <si>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</si>
  <si>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</si>
  <si>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</si>
  <si>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</si>
  <si>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</si>
  <si>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</si>
  <si>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</si>
  <si>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</si>
  <si>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</si>
  <si>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</si>
  <si>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</si>
  <si>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</si>
  <si>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</si>
  <si>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</si>
  <si>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</si>
  <si>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</si>
  <si>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</si>
  <si>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</si>
  <si>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</si>
  <si>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</si>
  <si>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</si>
  <si>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</si>
  <si>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</si>
  <si>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</si>
  <si>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</si>
  <si>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</si>
  <si>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</si>
  <si>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</si>
  <si>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</si>
  <si>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</si>
  <si>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</si>
  <si>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</si>
  <si>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</si>
  <si>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</si>
  <si>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</si>
  <si>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</si>
  <si>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</si>
  <si>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</si>
  <si>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</si>
  <si>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</si>
  <si>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</si>
  <si>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</si>
  <si>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</si>
  <si>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</si>
  <si>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</si>
  <si>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</si>
  <si>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</si>
  <si>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</si>
  <si>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</si>
  <si>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</si>
  <si>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</si>
  <si>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</si>
  <si>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</si>
  <si>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</si>
  <si>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</si>
  <si>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</si>
  <si>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</si>
  <si>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</si>
  <si>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</si>
  <si>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</si>
  <si>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</si>
  <si>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</si>
  <si>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</si>
  <si>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</si>
  <si>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</si>
  <si>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</si>
  <si>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</si>
  <si>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</si>
  <si>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</si>
  <si>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</si>
  <si>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</si>
  <si>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</si>
  <si>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</si>
  <si>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</si>
  <si>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</si>
  <si>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</si>
  <si>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</si>
  <si>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</si>
  <si>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</si>
  <si>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</si>
  <si>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</si>
  <si>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</si>
  <si>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</si>
  <si>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</si>
  <si>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</si>
  <si>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</si>
  <si>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</si>
  <si>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</si>
  <si>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</si>
  <si>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</si>
  <si>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</si>
  <si>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</si>
  <si>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</si>
  <si>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</si>
  <si>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</si>
  <si>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</si>
  <si>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</si>
  <si>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</si>
  <si>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</si>
  <si>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</si>
  <si>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</si>
  <si>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</si>
  <si>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</si>
  <si>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</si>
  <si>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</si>
  <si>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</si>
  <si>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</si>
  <si>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</si>
  <si>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</si>
  <si>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</si>
  <si>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</si>
  <si>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</si>
  <si>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</si>
  <si>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</si>
  <si>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</si>
  <si>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</si>
  <si>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</si>
  <si>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</si>
  <si>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</si>
  <si>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</si>
  <si>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</si>
  <si>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</si>
  <si>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</si>
  <si>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</si>
  <si>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</si>
  <si>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</si>
  <si>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</si>
  <si>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</si>
  <si>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</si>
  <si>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</si>
  <si>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</si>
  <si>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</si>
  <si>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</si>
  <si>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</si>
  <si>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</si>
  <si>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</si>
  <si>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</si>
  <si>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</si>
  <si>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</si>
  <si>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</si>
  <si>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</si>
  <si>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</si>
  <si>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</si>
  <si>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</si>
  <si>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</si>
  <si>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</si>
  <si>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</si>
  <si>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</si>
  <si>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</si>
  <si>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</si>
  <si>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</si>
  <si>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</si>
  <si>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</si>
  <si>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</si>
  <si>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</si>
  <si>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</si>
  <si>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</si>
  <si>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</si>
  <si>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</si>
  <si>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</si>
  <si>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</si>
  <si>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</si>
  <si>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</si>
  <si>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</si>
  <si>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</si>
  <si>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</si>
  <si>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</si>
  <si>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</si>
  <si>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</si>
  <si>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</si>
  <si>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</si>
  <si>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</si>
  <si>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</si>
  <si>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</si>
  <si>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</si>
  <si>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</si>
  <si>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</si>
  <si>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</si>
  <si>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</si>
  <si>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</si>
  <si>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</si>
  <si>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</si>
  <si>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</si>
  <si>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</si>
  <si>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</si>
  <si>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</si>
  <si>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</si>
  <si>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</si>
  <si>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</si>
  <si>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</si>
  <si>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</si>
  <si>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</si>
  <si>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</si>
  <si>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</si>
  <si>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</si>
  <si>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</si>
  <si>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</si>
  <si>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</si>
  <si>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</si>
  <si>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</si>
  <si>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</si>
  <si>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</si>
  <si>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</si>
  <si>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</si>
  <si>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</si>
  <si>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</si>
  <si>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</si>
  <si>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</si>
  <si>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</si>
  <si>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</si>
  <si>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</si>
  <si>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</si>
  <si>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</si>
  <si>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</si>
  <si>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</si>
  <si>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</si>
  <si>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</si>
  <si>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</si>
  <si>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</si>
  <si>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</si>
  <si>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</si>
  <si>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</si>
  <si>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</si>
  <si>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</si>
  <si>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</si>
  <si>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</si>
  <si>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</si>
  <si>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</si>
  <si>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</si>
  <si>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</si>
  <si>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</si>
  <si>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</si>
  <si>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</si>
  <si>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</si>
  <si>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</si>
  <si>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</si>
  <si>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</si>
  <si>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</si>
  <si>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</si>
  <si>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</si>
  <si>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</si>
  <si>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</si>
  <si>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</si>
  <si>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</si>
  <si>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</si>
  <si>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</si>
  <si>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</si>
  <si>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</si>
  <si>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</si>
  <si>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</si>
  <si>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</si>
  <si>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</si>
  <si>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</si>
  <si>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</si>
  <si>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</si>
  <si>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</si>
  <si>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</si>
  <si>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</si>
  <si>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</si>
  <si>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</si>
  <si>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</si>
  <si>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</si>
  <si>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</si>
  <si>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</si>
  <si>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</si>
  <si>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</si>
  <si>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</si>
  <si>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</si>
  <si>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</si>
  <si>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</si>
  <si>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</si>
  <si>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</si>
  <si>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</si>
  <si>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</si>
  <si>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</si>
  <si>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</si>
  <si>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</si>
  <si>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</si>
  <si>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</si>
  <si>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</si>
  <si>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</si>
  <si>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</si>
  <si>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</si>
  <si>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</si>
  <si>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</si>
  <si>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</si>
  <si>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</si>
  <si>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</si>
  <si>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</si>
  <si>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</si>
  <si>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</si>
  <si>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</si>
  <si>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</si>
  <si>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</si>
  <si>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</si>
  <si>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</si>
  <si>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</si>
  <si>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</si>
  <si>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</si>
  <si>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</si>
  <si>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</si>
  <si>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</si>
  <si>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</si>
  <si>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</si>
  <si>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</si>
  <si>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</si>
  <si>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</si>
  <si>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</si>
  <si>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</si>
  <si>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</si>
  <si>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</si>
  <si>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</si>
  <si>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</si>
  <si>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</si>
  <si>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</si>
  <si>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</si>
  <si>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</si>
  <si>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</si>
  <si>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</si>
  <si>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</si>
  <si>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</si>
  <si>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</si>
  <si>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</si>
  <si>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</si>
  <si>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</si>
  <si>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</si>
  <si>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</si>
  <si>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</si>
  <si>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</si>
  <si>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</si>
  <si>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</si>
  <si>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</si>
  <si>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</si>
  <si>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</si>
  <si>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</si>
  <si>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</si>
  <si>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</si>
  <si>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</si>
  <si>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</si>
  <si>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</si>
  <si>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</si>
  <si>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</si>
  <si>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</si>
  <si>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</si>
  <si>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</si>
  <si>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</si>
  <si>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</si>
  <si>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</si>
  <si>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</si>
  <si>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</si>
  <si>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</si>
  <si>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</si>
  <si>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</si>
  <si>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</si>
  <si>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</si>
  <si>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</si>
  <si>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</si>
  <si>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</si>
  <si>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</si>
  <si>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</si>
  <si>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</si>
  <si>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</si>
  <si>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</si>
  <si>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</si>
  <si>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</si>
  <si>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</si>
  <si>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</si>
  <si>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</si>
  <si>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</si>
  <si>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</si>
  <si>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</si>
  <si>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</si>
  <si>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</si>
  <si>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</si>
  <si>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</si>
  <si>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</si>
  <si>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</si>
  <si>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</si>
  <si>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</si>
  <si>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</si>
  <si>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</si>
  <si>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</si>
  <si>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</si>
  <si>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</si>
  <si>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</si>
  <si>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</si>
  <si>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</si>
  <si>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</si>
  <si>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</si>
  <si>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</si>
  <si>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</si>
  <si>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</si>
  <si>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</si>
  <si>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</si>
  <si>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</si>
  <si>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</si>
  <si>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</si>
  <si>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</si>
  <si>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</si>
  <si>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</si>
  <si>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</si>
  <si>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</si>
  <si>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</si>
  <si>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</si>
  <si>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</si>
  <si>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</si>
  <si>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</si>
  <si>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</si>
  <si>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</si>
  <si>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</si>
  <si>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</si>
  <si>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</si>
  <si>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</si>
  <si>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</si>
  <si>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</si>
  <si>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</si>
  <si>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</si>
  <si>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</si>
  <si>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</si>
  <si>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</si>
  <si>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</si>
  <si>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</si>
  <si>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</si>
  <si>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</si>
  <si>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</si>
  <si>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</si>
  <si>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</si>
  <si>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</si>
  <si>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</si>
  <si>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</si>
  <si>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</si>
  <si>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</si>
  <si>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</si>
  <si>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</si>
  <si>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</si>
  <si>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</si>
  <si>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</si>
  <si>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</si>
  <si>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</si>
  <si>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</si>
  <si>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</si>
  <si>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</si>
  <si>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</si>
  <si>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</si>
  <si>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</si>
  <si>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</si>
  <si>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</si>
  <si>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</si>
  <si>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</si>
  <si>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</si>
  <si>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</si>
  <si>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</si>
  <si>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</si>
  <si>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</si>
  <si>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</si>
  <si>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</si>
  <si>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</si>
  <si>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</si>
  <si>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</si>
  <si>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</si>
  <si>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</si>
  <si>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</si>
  <si>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</si>
  <si>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</si>
  <si>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</si>
  <si>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</si>
  <si>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</si>
  <si>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</si>
  <si>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</si>
  <si>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</si>
  <si>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</si>
  <si>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</si>
  <si>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</si>
  <si>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</si>
  <si>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</si>
  <si>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</si>
  <si>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</si>
  <si>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</si>
  <si>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</si>
  <si>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</si>
  <si>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</si>
  <si>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</si>
  <si>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</si>
  <si>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</si>
  <si>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</si>
  <si>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</si>
  <si>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</si>
  <si>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</si>
  <si>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</si>
  <si>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</si>
  <si>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</si>
  <si>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</si>
  <si>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</si>
  <si>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</si>
  <si>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</si>
  <si>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</si>
  <si>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</si>
  <si>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</si>
  <si>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</si>
  <si>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</si>
  <si>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</si>
  <si>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</si>
  <si>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</si>
  <si>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</si>
  <si>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</si>
  <si>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</si>
  <si>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</si>
  <si>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</si>
  <si>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</si>
  <si>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</si>
  <si>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</si>
  <si>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</si>
  <si>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</si>
  <si>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</si>
  <si>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</si>
  <si>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</si>
  <si>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</si>
  <si>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</si>
  <si>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</si>
  <si>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</si>
  <si>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</si>
  <si>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</si>
  <si>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</si>
  <si>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</si>
  <si>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</si>
  <si>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</si>
  <si>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</si>
  <si>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</si>
  <si>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</si>
  <si>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</si>
  <si>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</si>
  <si>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</si>
  <si>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</si>
  <si>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</si>
  <si>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</si>
  <si>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</si>
  <si>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</si>
  <si>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</si>
  <si>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</si>
  <si>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</si>
  <si>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</si>
  <si>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</si>
  <si>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</si>
  <si>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</si>
  <si>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</si>
  <si>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</si>
  <si>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</si>
  <si>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</si>
  <si>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</si>
  <si>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</si>
  <si>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</si>
  <si>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</si>
  <si>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</si>
  <si>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</si>
  <si>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</si>
  <si>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</si>
  <si>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</si>
  <si>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</si>
  <si>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</si>
  <si>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</si>
  <si>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</si>
  <si>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</si>
  <si>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</si>
  <si>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</si>
  <si>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</si>
  <si>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</si>
  <si>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</si>
  <si>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</si>
  <si>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</si>
  <si>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</si>
  <si>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</si>
  <si>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</si>
  <si>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</si>
  <si>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</si>
  <si>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</si>
  <si>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</si>
  <si>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</si>
  <si>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</si>
  <si>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</si>
  <si>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</si>
  <si>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</si>
  <si>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</si>
  <si>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</si>
  <si>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</si>
  <si>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</si>
  <si>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</si>
  <si>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</si>
  <si>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</si>
  <si>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</si>
  <si>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</si>
  <si>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</si>
  <si>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</si>
  <si>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</si>
  <si>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</si>
  <si>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</si>
  <si>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</si>
  <si>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</si>
  <si>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</si>
  <si>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</si>
  <si>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</si>
  <si>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</si>
  <si>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</si>
  <si>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</si>
  <si>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</si>
  <si>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</si>
  <si>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</si>
  <si>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</si>
  <si>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</si>
  <si>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</si>
  <si>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</si>
  <si>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</si>
  <si>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</si>
  <si>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</si>
  <si>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</si>
  <si>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</si>
  <si>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</si>
  <si>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</si>
  <si>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</si>
  <si>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</si>
  <si>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</si>
  <si>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</si>
  <si>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</si>
  <si>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</si>
  <si>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</si>
  <si>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</si>
  <si>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</si>
  <si>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</si>
  <si>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</si>
  <si>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</si>
  <si>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</si>
  <si>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</si>
  <si>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</si>
  <si>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</si>
  <si>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</si>
  <si>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</si>
  <si>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</si>
  <si>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</si>
  <si>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</si>
  <si>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</si>
  <si>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</si>
  <si>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</si>
  <si>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</si>
  <si>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</si>
  <si>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</si>
  <si>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</si>
  <si>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</si>
  <si>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</si>
  <si>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</si>
  <si>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</si>
  <si>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</si>
  <si>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</si>
  <si>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</si>
  <si>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</si>
  <si>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</si>
  <si>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</si>
  <si>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</si>
  <si>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</si>
  <si>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</si>
  <si>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</si>
  <si>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</si>
  <si>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</si>
  <si>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</si>
  <si>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</si>
  <si>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</si>
  <si>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</si>
  <si>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</si>
  <si>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</si>
  <si>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</si>
  <si>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</si>
  <si>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</si>
  <si>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</si>
  <si>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</si>
  <si>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</si>
  <si>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</si>
  <si>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</si>
  <si>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</si>
  <si>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</si>
  <si>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</si>
  <si>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</si>
  <si>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</si>
  <si>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</si>
  <si>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</si>
  <si>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</si>
  <si>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</si>
  <si>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</si>
  <si>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</si>
  <si>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</si>
  <si>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</si>
  <si>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</si>
  <si>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</si>
  <si>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</si>
  <si>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</si>
  <si>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</si>
  <si>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</si>
  <si>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</si>
  <si>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</si>
  <si>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</si>
  <si>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</si>
  <si>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</si>
  <si>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</si>
  <si>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</si>
  <si>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</si>
  <si>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</si>
  <si>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</si>
  <si>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</si>
  <si>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</si>
  <si>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</si>
  <si>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</si>
  <si>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</si>
  <si>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</si>
  <si>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</si>
  <si>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</si>
  <si>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</si>
  <si>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</si>
  <si>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</si>
  <si>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</si>
  <si>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</si>
  <si>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</si>
  <si>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</si>
  <si>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</si>
  <si>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</si>
  <si>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</si>
  <si>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</si>
  <si>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</si>
  <si>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</si>
  <si>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</si>
  <si>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</si>
  <si>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</si>
  <si>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</si>
  <si>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</si>
  <si>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</si>
  <si>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</si>
  <si>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</si>
  <si>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</si>
  <si>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</si>
  <si>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</si>
  <si>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</si>
  <si>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</si>
  <si>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</si>
  <si>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</si>
  <si>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</si>
  <si>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</si>
  <si>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</si>
  <si>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</si>
  <si>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</si>
  <si>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</si>
  <si>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</si>
  <si>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</si>
  <si>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</si>
  <si>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</si>
  <si>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</si>
  <si>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</si>
  <si>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</si>
  <si>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</si>
  <si>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</si>
  <si>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</si>
  <si>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</si>
  <si>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</si>
  <si>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</si>
  <si>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</si>
  <si>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</si>
  <si>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</si>
  <si>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</si>
  <si>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</si>
  <si>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</si>
  <si>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</si>
  <si>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</si>
  <si>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</si>
  <si>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</si>
  <si>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</si>
  <si>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</si>
  <si>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</si>
  <si>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</si>
  <si>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</si>
  <si>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</si>
  <si>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</si>
  <si>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</si>
  <si>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</si>
  <si>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</si>
  <si>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</si>
  <si>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</si>
  <si>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</si>
  <si>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</si>
  <si>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</si>
  <si>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</si>
  <si>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</si>
  <si>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</si>
  <si>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</si>
  <si>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</si>
  <si>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</si>
  <si>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</si>
  <si>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</si>
  <si>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</si>
  <si>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</si>
  <si>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</si>
  <si>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</si>
  <si>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</si>
  <si>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</si>
  <si>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</si>
  <si>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</si>
  <si>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</si>
  <si>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</si>
  <si>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</si>
  <si>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</si>
  <si>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</si>
  <si>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</si>
  <si>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</si>
  <si>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</si>
  <si>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</si>
  <si>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</si>
  <si>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</si>
  <si>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</si>
  <si>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</si>
  <si>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</si>
  <si>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</si>
  <si>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</si>
  <si>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</si>
  <si>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</si>
  <si>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</si>
  <si>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</si>
  <si>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</si>
  <si>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</si>
  <si>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</si>
  <si>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</si>
  <si>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</si>
  <si>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</si>
  <si>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</si>
  <si>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</si>
  <si>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</si>
  <si>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</si>
  <si>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</si>
  <si>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</si>
  <si>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</si>
  <si>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</si>
  <si>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</si>
  <si>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</si>
  <si>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</si>
  <si>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</si>
  <si>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</si>
  <si>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</si>
  <si>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</si>
  <si>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</si>
  <si>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</si>
  <si>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</si>
  <si>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</si>
  <si>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</si>
  <si>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</si>
  <si>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</si>
  <si>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</si>
  <si>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</si>
  <si>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</si>
  <si>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</si>
  <si>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</si>
  <si>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</si>
  <si>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</si>
  <si>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</si>
  <si>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</si>
  <si>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</si>
  <si>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</si>
  <si>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</si>
  <si>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</si>
  <si>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</si>
  <si>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</si>
  <si>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</si>
  <si>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</si>
  <si>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</si>
  <si>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</si>
  <si>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</si>
  <si>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</si>
  <si>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</si>
  <si>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</si>
  <si>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</si>
  <si>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</si>
  <si>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</si>
  <si>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</si>
  <si>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</si>
  <si>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</si>
  <si>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</si>
  <si>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</si>
  <si>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</si>
  <si>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</si>
  <si>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</si>
  <si>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</si>
  <si>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</si>
  <si>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</si>
  <si>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</si>
  <si>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</si>
  <si>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</si>
  <si>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</si>
  <si>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</si>
  <si>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</si>
  <si>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</si>
  <si>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</si>
  <si>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</si>
  <si>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</si>
  <si>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</si>
  <si>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</si>
  <si>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</si>
  <si>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</si>
  <si>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</si>
  <si>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</si>
  <si>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</si>
  <si>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</si>
  <si>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</si>
  <si>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</si>
  <si>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</si>
  <si>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</si>
  <si>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</si>
  <si>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</si>
  <si>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</si>
  <si>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</si>
  <si>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</si>
  <si>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</si>
  <si>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</si>
  <si>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</si>
  <si>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</si>
  <si>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</si>
  <si>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</si>
  <si>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</si>
  <si>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</si>
  <si>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</si>
  <si>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</si>
  <si>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</si>
  <si>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</si>
  <si>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</si>
  <si>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</si>
  <si>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</si>
  <si>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</si>
  <si>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</si>
  <si>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</si>
  <si>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</si>
  <si>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</si>
  <si>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</si>
  <si>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</si>
  <si>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</si>
  <si>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</si>
  <si>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</si>
  <si>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</si>
  <si>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</si>
  <si>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</si>
  <si>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</si>
  <si>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</si>
  <si>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</si>
  <si>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</si>
  <si>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</si>
  <si>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</si>
  <si>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</si>
  <si>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</si>
  <si>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</si>
  <si>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</si>
  <si>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</si>
  <si>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</si>
  <si>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</si>
  <si>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</si>
  <si>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</si>
  <si>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</si>
  <si>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</si>
  <si>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</si>
  <si>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</si>
  <si>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</si>
  <si>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</si>
  <si>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</si>
  <si>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</si>
  <si>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</si>
  <si>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</si>
  <si>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</si>
  <si>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</si>
  <si>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</si>
  <si>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</si>
  <si>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</si>
  <si>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</si>
  <si>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</si>
  <si>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</si>
  <si>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</si>
  <si>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</si>
  <si>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</si>
  <si>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</si>
  <si>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</si>
  <si>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</si>
  <si>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</si>
  <si>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</si>
  <si>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</si>
  <si>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</si>
  <si>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</si>
  <si>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</si>
  <si>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</si>
  <si>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</si>
  <si>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</si>
  <si>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</si>
  <si>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</si>
  <si>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</si>
  <si>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</si>
  <si>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</si>
  <si>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</si>
  <si>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</si>
  <si>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</si>
  <si>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</si>
  <si>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</si>
  <si>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</si>
  <si>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</si>
  <si>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</si>
  <si>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</si>
  <si>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</si>
  <si>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</si>
  <si>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</si>
  <si>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</si>
  <si>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</si>
  <si>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</si>
  <si>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</si>
  <si>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</si>
  <si>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</si>
  <si>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</si>
  <si>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</si>
  <si>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</si>
  <si>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</si>
  <si>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</si>
  <si>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</si>
  <si>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</si>
  <si>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</si>
  <si>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</si>
  <si>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</si>
  <si>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</si>
  <si>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</si>
  <si>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</si>
  <si>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</si>
  <si>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</si>
  <si>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</si>
  <si>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</si>
  <si>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</si>
  <si>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</si>
  <si>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</si>
  <si>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</si>
  <si>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</si>
  <si>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</si>
  <si>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</si>
  <si>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</si>
  <si>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</si>
  <si>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</si>
  <si>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</si>
  <si>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</si>
  <si>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</si>
  <si>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</si>
  <si>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</si>
  <si>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</si>
  <si>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</si>
  <si>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</si>
  <si>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</si>
  <si>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</si>
  <si>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</si>
  <si>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</si>
  <si>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</si>
  <si>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</si>
  <si>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</si>
  <si>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</si>
  <si>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</si>
  <si>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</si>
  <si>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</si>
  <si>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</si>
  <si>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</si>
  <si>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</si>
  <si>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</si>
  <si>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</si>
  <si>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</si>
  <si>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</si>
  <si>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</si>
  <si>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</si>
  <si>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</si>
  <si>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</si>
  <si>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</si>
  <si>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</si>
  <si>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</si>
  <si>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</si>
  <si>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</si>
  <si>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</si>
  <si>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</si>
  <si>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</si>
  <si>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</si>
  <si>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</si>
  <si>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</si>
  <si>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</si>
  <si>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</si>
  <si>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</si>
  <si>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</si>
  <si>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</si>
  <si>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</si>
  <si>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</si>
  <si>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</si>
  <si>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</si>
  <si>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</si>
  <si>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</si>
  <si>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</si>
  <si>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</si>
  <si>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</si>
  <si>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</si>
  <si>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</si>
  <si>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</si>
  <si>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</si>
  <si>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</si>
  <si>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</si>
  <si>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</si>
  <si>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</si>
  <si>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</si>
  <si>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</si>
  <si>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</si>
  <si>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</si>
  <si>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</si>
  <si>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</si>
  <si>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</si>
  <si>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</si>
  <si>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</si>
  <si>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</si>
  <si>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</si>
  <si>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</si>
  <si>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</si>
  <si>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</si>
  <si>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</si>
  <si>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</si>
  <si>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</si>
  <si>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</si>
  <si>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</si>
  <si>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</si>
  <si>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</si>
  <si>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</si>
  <si>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</si>
  <si>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</si>
  <si>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</si>
  <si>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</si>
  <si>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</si>
  <si>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</si>
  <si>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</si>
  <si>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</si>
  <si>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</si>
  <si>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</si>
  <si>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</si>
  <si>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</si>
  <si>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</si>
  <si>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</si>
  <si>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</si>
  <si>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</si>
  <si>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</si>
  <si>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</si>
  <si>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</si>
  <si>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</si>
  <si>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</si>
  <si>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</si>
  <si>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</si>
  <si>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</si>
  <si>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</si>
  <si>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</si>
  <si>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</si>
  <si>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</si>
  <si>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</si>
  <si>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</si>
  <si>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</si>
  <si>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</si>
  <si>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</si>
  <si>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</si>
  <si>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</si>
  <si>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</si>
  <si>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</si>
  <si>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</si>
  <si>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</si>
  <si>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</si>
  <si>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</si>
  <si>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</si>
  <si>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</si>
  <si>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</si>
  <si>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</si>
  <si>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</si>
  <si>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</si>
  <si>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</si>
  <si>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</si>
  <si>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</si>
  <si>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</si>
  <si>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</si>
  <si>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</si>
  <si>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</si>
  <si>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</si>
  <si>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</si>
  <si>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</si>
  <si>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</si>
  <si>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</si>
  <si>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</si>
  <si>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</si>
  <si>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</si>
  <si>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</si>
  <si>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</si>
  <si>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</si>
  <si>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</si>
  <si>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</si>
  <si>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</si>
  <si>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</si>
  <si>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</si>
  <si>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</si>
  <si>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</si>
  <si>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</si>
  <si>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</si>
  <si>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</si>
  <si>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</si>
  <si>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</si>
  <si>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</si>
  <si>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</si>
  <si>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</si>
  <si>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</si>
  <si>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</si>
  <si>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</si>
  <si>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</si>
  <si>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</si>
  <si>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</si>
  <si>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</si>
  <si>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</si>
  <si>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</si>
  <si>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</si>
  <si>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</si>
  <si>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</si>
  <si>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</si>
  <si>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</si>
  <si>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</si>
  <si>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</si>
  <si>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</si>
  <si>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</si>
  <si>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</si>
  <si>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</si>
  <si>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</si>
  <si>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</si>
  <si>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</si>
  <si>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</si>
  <si>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</si>
  <si>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</si>
  <si>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</si>
  <si>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</si>
  <si>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</si>
  <si>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</si>
  <si>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</si>
  <si>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</si>
  <si>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</si>
  <si>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</si>
  <si>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</si>
  <si>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</si>
  <si>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</si>
  <si>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</si>
  <si>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</si>
  <si>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</si>
  <si>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</si>
  <si>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</si>
  <si>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</si>
  <si>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</si>
  <si>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</si>
  <si>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</si>
  <si>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</si>
  <si>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</si>
  <si>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</si>
  <si>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</si>
  <si>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</si>
  <si>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</si>
  <si>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</si>
  <si>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</si>
  <si>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</si>
  <si>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</si>
  <si>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</si>
  <si>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</si>
  <si>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</si>
  <si>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</si>
  <si>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</si>
  <si>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</si>
  <si>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</si>
  <si>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</si>
  <si>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</si>
  <si>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</si>
  <si>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</si>
  <si>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</si>
  <si>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</si>
  <si>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</si>
  <si>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</si>
  <si>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</si>
  <si>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</si>
  <si>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</si>
  <si>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</si>
  <si>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</si>
  <si>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</si>
  <si>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</si>
  <si>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</si>
  <si>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</si>
  <si>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</si>
  <si>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</si>
  <si>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</si>
  <si>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</si>
  <si>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</si>
  <si>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</si>
  <si>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</si>
  <si>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</si>
  <si>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</si>
  <si>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</si>
  <si>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</si>
  <si>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</si>
  <si>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</si>
  <si>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</si>
  <si>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</si>
  <si>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</si>
  <si>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</si>
  <si>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</si>
  <si>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</si>
  <si>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</si>
  <si>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</si>
  <si>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</si>
  <si>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</si>
  <si>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</si>
  <si>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</si>
  <si>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</si>
  <si>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</si>
  <si>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</si>
  <si>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</si>
  <si>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</si>
  <si>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</si>
  <si>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</si>
  <si>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</si>
  <si>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</si>
  <si>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</si>
  <si>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</si>
  <si>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</si>
  <si>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</si>
  <si>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</si>
  <si>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</si>
  <si>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</si>
  <si>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</si>
  <si>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</si>
  <si>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</si>
  <si>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</si>
  <si>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</si>
  <si>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</si>
  <si>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</si>
  <si>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</si>
  <si>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</si>
  <si>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</si>
  <si>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</si>
  <si>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</si>
  <si>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</si>
  <si>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</si>
  <si>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</si>
  <si>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</si>
  <si>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</si>
  <si>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</si>
  <si>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</si>
  <si>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</si>
  <si>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</si>
  <si>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</si>
  <si>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</si>
  <si>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</si>
  <si>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</si>
  <si>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</si>
  <si>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</si>
  <si>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</si>
  <si>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</si>
  <si>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</si>
  <si>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</si>
  <si>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</si>
  <si>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</si>
  <si>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</si>
  <si>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</si>
  <si>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</si>
  <si>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</si>
  <si>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</si>
  <si>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</si>
  <si>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</si>
  <si>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</si>
  <si>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</si>
  <si>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</si>
  <si>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</si>
  <si>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</si>
  <si>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</si>
  <si>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</si>
  <si>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</si>
  <si>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</si>
  <si>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</si>
  <si>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</si>
  <si>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</si>
  <si>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</si>
  <si>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</si>
  <si>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</si>
  <si>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</si>
  <si>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</si>
  <si>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</si>
  <si>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</si>
  <si>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</si>
  <si>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</si>
  <si>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</si>
  <si>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</si>
  <si>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</si>
  <si>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</si>
  <si>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</si>
  <si>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</si>
  <si>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</si>
  <si>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</si>
  <si>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</si>
  <si>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</si>
  <si>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</si>
  <si>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</si>
  <si>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</si>
  <si>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</si>
  <si>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</si>
  <si>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</si>
  <si>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</si>
  <si>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</si>
  <si>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</si>
  <si>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</si>
  <si>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</si>
  <si>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</si>
  <si>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</si>
  <si>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</si>
  <si>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</si>
  <si>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</si>
  <si>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</si>
  <si>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</si>
  <si>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</si>
  <si>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</si>
  <si>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</si>
  <si>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</si>
  <si>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</si>
  <si>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</si>
  <si>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</si>
  <si>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</si>
  <si>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</si>
  <si>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</si>
  <si>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</si>
  <si>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</si>
  <si>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</si>
  <si>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</si>
  <si>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</si>
  <si>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</si>
  <si>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</si>
  <si>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</si>
  <si>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</si>
  <si>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</si>
  <si>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</si>
  <si>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</si>
  <si>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</si>
  <si>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</si>
  <si>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</si>
  <si>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</si>
  <si>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</si>
  <si>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</si>
  <si>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</si>
  <si>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</si>
  <si>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</si>
  <si>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</si>
  <si>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</si>
  <si>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</si>
  <si>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</si>
  <si>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</si>
  <si>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</si>
  <si>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</si>
  <si>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</si>
  <si>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</si>
  <si>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</si>
  <si>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</si>
  <si>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</si>
  <si>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</si>
  <si>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</si>
  <si>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</si>
  <si>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</si>
  <si>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</si>
  <si>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</si>
  <si>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</si>
  <si>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</si>
  <si>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</si>
  <si>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</si>
  <si>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</si>
  <si>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</si>
  <si>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</si>
  <si>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</si>
  <si>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</si>
  <si>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</si>
  <si>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</si>
  <si>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</si>
  <si>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</si>
  <si>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</si>
  <si>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</si>
  <si>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</si>
  <si>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</si>
  <si>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</si>
  <si>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</si>
  <si>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</si>
  <si>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</si>
  <si>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</si>
  <si>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</si>
  <si>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</si>
  <si>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</si>
  <si>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</si>
  <si>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</si>
  <si>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</si>
  <si>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</si>
  <si>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</si>
  <si>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</si>
  <si>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</si>
  <si>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</si>
  <si>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</si>
  <si>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</si>
  <si>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</si>
  <si>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</si>
  <si>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</si>
  <si>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</si>
  <si>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</si>
  <si>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</si>
  <si>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</si>
  <si>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</si>
  <si>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</si>
  <si>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</si>
  <si>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</si>
  <si>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</si>
  <si>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</si>
  <si>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</si>
  <si>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</si>
  <si>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</si>
  <si>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</si>
  <si>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</si>
  <si>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</si>
  <si>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</si>
  <si>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</si>
  <si>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</si>
  <si>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</si>
  <si>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</si>
  <si>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</si>
  <si>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</si>
  <si>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</si>
  <si>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</si>
  <si>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</si>
  <si>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</si>
  <si>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</si>
  <si>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</si>
  <si>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</si>
  <si>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</si>
  <si>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</si>
  <si>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</si>
  <si>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</si>
  <si>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</si>
  <si>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</si>
  <si>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</si>
  <si>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</si>
  <si>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</si>
  <si>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</si>
  <si>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</si>
  <si>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</si>
  <si>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</si>
  <si>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</si>
  <si>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</si>
  <si>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</si>
  <si>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</si>
  <si>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</si>
  <si>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</si>
  <si>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</si>
  <si>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</si>
  <si>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</si>
  <si>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</si>
  <si>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</si>
  <si>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</si>
  <si>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</si>
  <si>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</si>
  <si>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</si>
  <si>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</si>
  <si>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</si>
  <si>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</si>
  <si>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</si>
  <si>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</si>
  <si>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</si>
  <si>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</si>
  <si>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</si>
  <si>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</si>
  <si>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</si>
  <si>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</si>
  <si>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</si>
  <si>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</si>
  <si>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</si>
  <si>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</si>
  <si>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</si>
  <si>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</si>
  <si>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</si>
  <si>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</si>
  <si>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</si>
  <si>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</si>
  <si>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</si>
  <si>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</si>
  <si>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</si>
  <si>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</si>
  <si>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</si>
  <si>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</si>
  <si>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</si>
  <si>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</si>
  <si>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</si>
  <si>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</si>
  <si>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</si>
  <si>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</si>
  <si>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</si>
  <si>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</si>
  <si>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</si>
  <si>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</si>
  <si>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</si>
  <si>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</si>
  <si>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</si>
  <si>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</si>
  <si>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</si>
  <si>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</si>
  <si>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</si>
  <si>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</si>
  <si>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</si>
  <si>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</si>
  <si>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</si>
  <si>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</si>
  <si>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</si>
  <si>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</si>
  <si>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</si>
  <si>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</si>
  <si>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</si>
  <si>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</si>
  <si>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</si>
  <si>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</si>
  <si>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</si>
  <si>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</si>
  <si>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</si>
  <si>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</si>
  <si>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</si>
  <si>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</si>
  <si>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</si>
  <si>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</si>
  <si>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</si>
  <si>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</si>
  <si>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</si>
  <si>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</si>
  <si>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</si>
  <si>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</si>
  <si>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</si>
  <si>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</si>
  <si>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</si>
  <si>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</si>
  <si>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</si>
  <si>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</si>
  <si>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</si>
  <si>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</si>
  <si>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</si>
  <si>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</si>
  <si>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</si>
  <si>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</si>
  <si>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</si>
  <si>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</si>
  <si>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</si>
  <si>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</si>
  <si>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</si>
  <si>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</si>
  <si>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</si>
  <si>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</si>
  <si>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</si>
  <si>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</si>
  <si>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</si>
  <si>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</si>
  <si>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</si>
  <si>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</si>
  <si>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</si>
  <si>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</si>
  <si>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</si>
  <si>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</si>
  <si>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</si>
  <si>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</si>
  <si>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</si>
  <si>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</si>
  <si>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</si>
  <si>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</si>
  <si>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</si>
  <si>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</si>
  <si>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</si>
  <si>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</si>
  <si>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</si>
  <si>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</si>
  <si>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</si>
  <si>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</si>
  <si>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</si>
  <si>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</si>
  <si>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</si>
  <si>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</si>
  <si>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</si>
  <si>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</si>
  <si>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</si>
  <si>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</si>
  <si>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</si>
  <si>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</si>
  <si>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</si>
  <si>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</si>
  <si>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</si>
  <si>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</si>
  <si>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</si>
  <si>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</si>
  <si>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</si>
  <si>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</si>
  <si>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</si>
  <si>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</si>
  <si>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</si>
  <si>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</si>
  <si>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</si>
  <si>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</si>
  <si>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</si>
  <si>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</si>
  <si>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</si>
  <si>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</si>
  <si>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</si>
  <si>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</si>
  <si>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</si>
  <si>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</si>
  <si>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</si>
  <si>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</si>
  <si>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</si>
  <si>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</si>
  <si>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</si>
  <si>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</si>
  <si>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</si>
  <si>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</si>
  <si>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</si>
  <si>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</si>
  <si>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</si>
  <si>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</si>
  <si>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</si>
  <si>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</si>
  <si>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</si>
  <si>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</si>
  <si>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</si>
  <si>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</si>
  <si>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</si>
  <si>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</si>
  <si>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</si>
  <si>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</si>
  <si>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</si>
  <si>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</si>
  <si>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</si>
  <si>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</si>
  <si>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</si>
  <si>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</si>
  <si>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</si>
  <si>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</si>
  <si>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</si>
  <si>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</si>
  <si>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</si>
  <si>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</si>
  <si>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</si>
  <si>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</si>
  <si>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</si>
  <si>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</si>
  <si>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</si>
  <si>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</si>
  <si>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</si>
  <si>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</si>
  <si>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</si>
  <si>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</si>
  <si>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</si>
  <si>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</si>
  <si>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</si>
  <si>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</si>
  <si>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</si>
  <si>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</si>
  <si>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</si>
  <si>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</si>
  <si>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</si>
  <si>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</si>
  <si>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</si>
  <si>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</si>
  <si>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</si>
  <si>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</si>
  <si>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</si>
  <si>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</si>
  <si>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</si>
  <si>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</si>
  <si>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</si>
  <si>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</si>
  <si>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</si>
  <si>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</si>
  <si>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</si>
  <si>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</si>
  <si>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</si>
  <si>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</si>
  <si>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</si>
  <si>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</si>
  <si>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</si>
  <si>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</si>
  <si>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</si>
  <si>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</si>
  <si>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</si>
  <si>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</si>
  <si>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</si>
  <si>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</si>
  <si>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</si>
  <si>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</si>
  <si>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</si>
  <si>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</si>
  <si>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</si>
  <si>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</si>
  <si>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</si>
  <si>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</si>
  <si>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</si>
  <si>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</si>
  <si>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</si>
  <si>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</si>
  <si>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</si>
  <si>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</si>
  <si>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</si>
  <si>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</si>
  <si>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</si>
  <si>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</si>
  <si>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</si>
  <si>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</si>
  <si>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</si>
  <si>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</si>
  <si>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</si>
  <si>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</si>
  <si>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</si>
  <si>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</si>
  <si>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</si>
  <si>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</si>
  <si>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</si>
  <si>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</si>
  <si>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</si>
  <si>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</si>
  <si>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</si>
  <si>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</si>
  <si>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</si>
  <si>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</si>
  <si>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</si>
  <si>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</si>
  <si>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</si>
  <si>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</si>
  <si>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</si>
  <si>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</si>
  <si>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</si>
  <si>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</si>
  <si>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</si>
  <si>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</si>
  <si>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</si>
  <si>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</si>
  <si>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</si>
  <si>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</si>
  <si>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</si>
  <si>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</si>
  <si>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</si>
  <si>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</si>
  <si>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</si>
  <si>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</si>
  <si>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</si>
  <si>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</si>
  <si>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</si>
  <si>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</si>
  <si>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</si>
  <si>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</si>
  <si>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</si>
  <si>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</si>
  <si>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</si>
  <si>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</si>
  <si>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</si>
  <si>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</si>
  <si>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</si>
  <si>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</si>
  <si>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</si>
  <si>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</si>
  <si>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</si>
  <si>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</si>
  <si>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</si>
  <si>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</si>
  <si>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</si>
  <si>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</si>
  <si>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</si>
  <si>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</si>
  <si>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</si>
  <si>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</si>
  <si>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</si>
  <si>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</si>
  <si>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</si>
  <si>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</si>
  <si>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</si>
  <si>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</si>
  <si>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</si>
  <si>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</si>
  <si>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</si>
  <si>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</si>
  <si>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</si>
  <si>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</si>
  <si>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</si>
  <si>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</si>
  <si>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</si>
  <si>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</si>
  <si>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</si>
  <si>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</si>
  <si>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</si>
  <si>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</si>
  <si>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</si>
  <si>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</si>
  <si>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</si>
  <si>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</si>
  <si>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</si>
  <si>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</si>
  <si>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</si>
  <si>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</si>
  <si>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</si>
  <si>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</si>
  <si>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</si>
  <si>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</si>
  <si>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</si>
  <si>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</si>
  <si>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</si>
  <si>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</si>
  <si>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</si>
  <si>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</si>
  <si>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</si>
  <si>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</si>
  <si>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</si>
  <si>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</si>
  <si>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</si>
  <si>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</si>
  <si>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</si>
  <si>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</si>
  <si>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</si>
  <si>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</si>
  <si>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</si>
  <si>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</si>
  <si>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</si>
  <si>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</si>
  <si>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</si>
  <si>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</si>
  <si>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</si>
  <si>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</si>
  <si>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</si>
  <si>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</si>
  <si>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</si>
  <si>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</si>
  <si>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</si>
  <si>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</si>
  <si>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</si>
  <si>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</si>
  <si>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</si>
  <si>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</si>
  <si>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</si>
  <si>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</si>
  <si>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</si>
  <si>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</si>
  <si>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</si>
  <si>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</si>
  <si>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</si>
  <si>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</si>
  <si>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</si>
  <si>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</si>
  <si>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</si>
  <si>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</si>
  <si>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</si>
  <si>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</si>
  <si>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</si>
  <si>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</si>
  <si>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</si>
  <si>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</si>
  <si>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</si>
  <si>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</si>
  <si>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</si>
  <si>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</si>
  <si>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</si>
  <si>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</si>
  <si>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</si>
  <si>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</si>
  <si>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</si>
  <si>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</si>
  <si>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</si>
  <si>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</si>
  <si>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</si>
  <si>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</si>
  <si>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</si>
  <si>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</si>
  <si>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</si>
  <si>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</si>
  <si>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</si>
  <si>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</si>
  <si>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</si>
  <si>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</si>
  <si>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</si>
  <si>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</si>
  <si>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</si>
  <si>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</si>
  <si>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</si>
  <si>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</si>
  <si>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</si>
  <si>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</si>
  <si>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</si>
  <si>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</si>
  <si>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</si>
  <si>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</si>
  <si>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</si>
  <si>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</si>
  <si>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</si>
  <si>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</si>
  <si>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</si>
  <si>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</si>
  <si>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</si>
  <si>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</si>
  <si>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</si>
  <si>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</si>
  <si>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</si>
  <si>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</si>
  <si>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</si>
  <si>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</si>
  <si>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</si>
  <si>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</si>
  <si>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</si>
  <si>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</si>
  <si>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</si>
  <si>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</si>
  <si>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</si>
  <si>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</si>
  <si>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</si>
  <si>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</si>
  <si>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</si>
  <si>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</si>
  <si>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</si>
  <si>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</si>
  <si>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</si>
  <si>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</si>
  <si>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</si>
  <si>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</si>
  <si>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</si>
  <si>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</si>
  <si>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</si>
  <si>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</si>
  <si>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</si>
  <si>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</si>
  <si>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</si>
  <si>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</si>
  <si>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</si>
  <si>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</si>
  <si>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</si>
  <si>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</si>
  <si>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</si>
  <si>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</si>
  <si>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</si>
  <si>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</si>
  <si>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</si>
  <si>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</si>
  <si>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</si>
  <si>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</si>
  <si>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</si>
  <si>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</si>
  <si>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</si>
  <si>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</si>
  <si>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</si>
  <si>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</si>
  <si>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</si>
  <si>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</si>
  <si>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</si>
  <si>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</si>
  <si>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</si>
  <si>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</si>
  <si>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</si>
  <si>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</si>
  <si>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</si>
  <si>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</si>
  <si>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</si>
  <si>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</si>
  <si>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</si>
  <si>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</si>
  <si>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</si>
  <si>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</si>
  <si>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</si>
  <si>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</si>
  <si>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</si>
  <si>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</si>
  <si>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</si>
  <si>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</si>
  <si>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</si>
  <si>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</si>
  <si>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</si>
  <si>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</si>
  <si>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</si>
  <si>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</si>
  <si>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</si>
  <si>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</si>
  <si>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</si>
  <si>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</si>
  <si>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</si>
  <si>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</si>
  <si>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</si>
  <si>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</si>
  <si>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</si>
  <si>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</si>
  <si>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</si>
  <si>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</si>
  <si>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</si>
  <si>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</si>
  <si>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</si>
  <si>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</si>
  <si>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</si>
  <si>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</si>
  <si>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</si>
  <si>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</si>
  <si>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</si>
  <si>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</si>
  <si>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</si>
  <si>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</si>
  <si>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</si>
  <si>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</si>
  <si>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</si>
  <si>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</si>
  <si>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</si>
  <si>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</si>
  <si>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</si>
  <si>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</si>
  <si>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</si>
  <si>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</si>
  <si>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</si>
  <si>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</si>
  <si>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</si>
  <si>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</si>
  <si>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</si>
  <si>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</si>
  <si>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</si>
  <si>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</si>
  <si>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</si>
  <si>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</si>
  <si>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</si>
  <si>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</si>
  <si>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</si>
  <si>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</si>
  <si>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</si>
  <si>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</si>
  <si>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</si>
  <si>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</si>
  <si>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</si>
  <si>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</si>
  <si>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</si>
  <si>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</si>
  <si>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</si>
  <si>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</si>
  <si>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</si>
  <si>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</si>
  <si>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</si>
  <si>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</si>
  <si>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</si>
  <si>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</si>
  <si>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</si>
  <si>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</si>
  <si>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</si>
  <si>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</si>
  <si>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</si>
  <si>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</si>
  <si>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</si>
  <si>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</si>
  <si>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</si>
  <si>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</si>
  <si>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</si>
  <si>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</si>
  <si>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</si>
  <si>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</si>
  <si>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</si>
  <si>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</si>
  <si>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</si>
  <si>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</si>
  <si>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</si>
  <si>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</si>
  <si>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</si>
  <si>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</si>
  <si>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</si>
  <si>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</si>
  <si>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</si>
  <si>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</si>
  <si>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</si>
  <si>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</si>
  <si>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</si>
  <si>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</si>
  <si>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</si>
  <si>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</si>
  <si>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</si>
  <si>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</si>
  <si>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</si>
  <si>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</si>
  <si>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</si>
  <si>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</si>
  <si>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</si>
  <si>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</si>
  <si>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</si>
  <si>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</si>
  <si>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</si>
  <si>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</si>
  <si>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</si>
  <si>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</si>
  <si>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</si>
  <si>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</si>
  <si>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</si>
  <si>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</si>
  <si>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</si>
  <si>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</si>
  <si>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</si>
  <si>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</si>
  <si>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</si>
  <si>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</si>
  <si>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</si>
  <si>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</si>
  <si>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</si>
  <si>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</si>
  <si>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</si>
  <si>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</si>
  <si>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</si>
  <si>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</si>
  <si>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</si>
  <si>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</si>
  <si>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</si>
  <si>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</si>
  <si>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</si>
  <si>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</si>
  <si>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</si>
  <si>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</si>
  <si>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</si>
  <si>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</si>
  <si>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</si>
  <si>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</si>
  <si>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</si>
  <si>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</si>
  <si>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</si>
  <si>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</si>
  <si>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</si>
  <si>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</si>
  <si>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</si>
  <si>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</si>
  <si>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</si>
  <si>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</si>
  <si>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</si>
  <si>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</si>
  <si>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</si>
  <si>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</si>
  <si>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</si>
  <si>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</si>
  <si>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</si>
  <si>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</si>
  <si>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</si>
  <si>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</si>
  <si>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</si>
  <si>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</si>
  <si>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</si>
  <si>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</si>
  <si>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</si>
  <si>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</si>
  <si>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</si>
  <si>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</si>
  <si>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</si>
  <si>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</si>
  <si>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</si>
  <si>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</si>
  <si>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</si>
  <si>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</si>
  <si>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</si>
  <si>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</si>
  <si>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</si>
  <si>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</si>
  <si>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</si>
  <si>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</si>
  <si>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</si>
  <si>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</si>
  <si>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</si>
  <si>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</si>
  <si>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</si>
  <si>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</si>
  <si>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</si>
  <si>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</si>
  <si>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</si>
  <si>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</si>
  <si>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</si>
  <si>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</si>
  <si>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</si>
  <si>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</si>
  <si>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</si>
  <si>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</si>
  <si>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</si>
  <si>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</si>
  <si>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</si>
  <si>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</si>
  <si>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</si>
  <si>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</si>
  <si>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</si>
  <si>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</si>
  <si>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</si>
  <si>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</si>
  <si>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</si>
  <si>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</si>
  <si>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</si>
  <si>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</si>
  <si>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</si>
  <si>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</si>
  <si>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</si>
  <si>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</si>
  <si>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</si>
  <si>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</si>
  <si>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</si>
  <si>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</si>
  <si>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</si>
  <si>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</si>
  <si>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</si>
  <si>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</si>
  <si>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</si>
  <si>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</si>
  <si>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</si>
  <si>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</si>
  <si>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</si>
  <si>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</si>
  <si>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</si>
  <si>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</si>
  <si>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</si>
  <si>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</si>
  <si>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</si>
  <si>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</si>
  <si>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</si>
  <si>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</si>
  <si>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</si>
  <si>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</si>
  <si>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</si>
  <si>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</si>
  <si>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</si>
  <si>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</si>
  <si>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</si>
  <si>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</si>
  <si>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</si>
  <si>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</si>
  <si>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</si>
  <si>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</si>
  <si>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</si>
  <si>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</si>
  <si>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</si>
  <si>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</si>
  <si>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</si>
  <si>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</si>
  <si>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</si>
  <si>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</si>
  <si>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</si>
  <si>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</si>
  <si>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</si>
  <si>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</si>
  <si>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</si>
  <si>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</si>
  <si>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</si>
  <si>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</si>
  <si>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</si>
  <si>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</si>
  <si>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</si>
  <si>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</si>
  <si>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</si>
  <si>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</si>
  <si>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</si>
  <si>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</si>
  <si>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</si>
  <si>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</si>
  <si>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</si>
  <si>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</si>
  <si>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</si>
  <si>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</si>
  <si>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</si>
  <si>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</si>
  <si>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</si>
  <si>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</si>
  <si>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</si>
  <si>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</si>
  <si>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</si>
  <si>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</si>
  <si>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</si>
  <si>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</si>
  <si>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</si>
  <si>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</si>
  <si>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</si>
  <si>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</si>
  <si>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</si>
  <si>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</si>
  <si>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</si>
  <si>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</si>
  <si>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</si>
  <si>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</si>
  <si>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</si>
  <si>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</si>
  <si>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</si>
  <si>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</si>
  <si>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</si>
  <si>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</si>
  <si>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</si>
  <si>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</si>
  <si>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</si>
  <si>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</si>
  <si>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</si>
  <si>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</si>
  <si>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</si>
  <si>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</si>
  <si>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</si>
  <si>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</si>
  <si>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</si>
  <si>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</si>
  <si>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</si>
  <si>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</si>
  <si>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</si>
  <si>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</si>
  <si>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</si>
  <si>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</si>
  <si>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</si>
  <si>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</si>
  <si>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</si>
  <si>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</si>
  <si>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</si>
  <si>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</si>
  <si>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</si>
  <si>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</si>
  <si>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</si>
  <si>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</si>
  <si>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</si>
  <si>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</si>
  <si>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</si>
  <si>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</si>
  <si>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</si>
  <si>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</si>
  <si>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</si>
  <si>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</si>
  <si>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</si>
  <si>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</si>
  <si>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</si>
  <si>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</si>
  <si>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</si>
  <si>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</si>
  <si>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</si>
  <si>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</si>
  <si>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</si>
  <si>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</si>
  <si>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</si>
  <si>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</si>
  <si>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</si>
  <si>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</si>
  <si>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</si>
  <si>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</si>
  <si>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</si>
  <si>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</si>
  <si>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</si>
  <si>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</si>
  <si>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</si>
  <si>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</si>
  <si>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</si>
  <si>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</si>
  <si>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</si>
  <si>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</si>
  <si>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</si>
  <si>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</si>
  <si>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</si>
  <si>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</si>
  <si>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</si>
  <si>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</si>
  <si>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</si>
  <si>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</si>
  <si>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</si>
  <si>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</si>
  <si>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</si>
  <si>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</si>
  <si>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</si>
  <si>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</si>
  <si>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</si>
  <si>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</si>
  <si>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</si>
  <si>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</si>
  <si>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</si>
  <si>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</si>
  <si>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</si>
  <si>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</si>
  <si>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</si>
  <si>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</si>
  <si>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</si>
  <si>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</si>
  <si>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</si>
  <si>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</si>
  <si>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</si>
  <si>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</si>
  <si>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</si>
  <si>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</si>
  <si>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</si>
  <si>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</si>
  <si>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</si>
  <si>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</si>
  <si>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</si>
  <si>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</si>
  <si>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</si>
  <si>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</si>
  <si>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</si>
  <si>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</si>
  <si>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</si>
  <si>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</si>
  <si>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</si>
  <si>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</si>
  <si>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</si>
  <si>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</si>
  <si>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</si>
  <si>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</si>
  <si>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</si>
  <si>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</si>
  <si>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</si>
  <si>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</si>
  <si>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</si>
  <si>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</si>
  <si>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</si>
  <si>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</si>
  <si>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</si>
  <si>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</si>
  <si>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</si>
  <si>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</si>
  <si>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</si>
  <si>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</si>
  <si>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</si>
  <si>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</si>
  <si>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</si>
  <si>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</si>
  <si>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</si>
  <si>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</si>
  <si>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</si>
  <si>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</si>
  <si>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</si>
  <si>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</si>
  <si>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</si>
  <si>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</si>
  <si>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</si>
  <si>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</si>
  <si>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</si>
  <si>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</si>
  <si>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</si>
  <si>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</si>
  <si>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</si>
  <si>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</si>
  <si>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</si>
  <si>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</si>
  <si>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</si>
  <si>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</si>
  <si>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</si>
  <si>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</si>
  <si>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</si>
  <si>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</si>
  <si>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</si>
  <si>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</si>
  <si>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</si>
  <si>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</si>
  <si>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</si>
  <si>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</si>
  <si>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</si>
  <si>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</si>
  <si>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</si>
  <si>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</si>
  <si>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</si>
  <si>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</si>
  <si>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</si>
  <si>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</si>
  <si>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</si>
  <si>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</si>
  <si>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</si>
  <si>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</si>
  <si>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</si>
  <si>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</si>
  <si>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</si>
  <si>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</si>
  <si>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</si>
  <si>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</si>
  <si>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</si>
  <si>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</si>
  <si>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</si>
  <si>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</si>
  <si>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</si>
  <si>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</si>
  <si>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</si>
  <si>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</si>
  <si>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</si>
  <si>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</si>
  <si>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</si>
  <si>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</si>
  <si>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</si>
  <si>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</si>
  <si>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</si>
  <si>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</si>
  <si>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</si>
  <si>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</si>
  <si>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</si>
  <si>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</si>
  <si>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</si>
  <si>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</si>
  <si>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</si>
  <si>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</si>
  <si>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</si>
  <si>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</si>
  <si>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</si>
  <si>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</si>
  <si>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</si>
  <si>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</si>
  <si>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</si>
  <si>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</si>
  <si>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</si>
  <si>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</si>
  <si>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</si>
  <si>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</si>
  <si>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</si>
  <si>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</si>
  <si>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</si>
  <si>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</si>
  <si>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</si>
  <si>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</si>
  <si>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</si>
  <si>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</si>
  <si>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</si>
  <si>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</si>
  <si>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</si>
  <si>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</si>
  <si>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</si>
  <si>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</si>
  <si>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</si>
  <si>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</si>
  <si>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</si>
  <si>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</si>
  <si>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</si>
  <si>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</si>
  <si>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</si>
  <si>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</si>
  <si>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</si>
  <si>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</si>
  <si>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</si>
  <si>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</si>
  <si>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</si>
  <si>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</si>
  <si>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</si>
  <si>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</si>
  <si>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</si>
  <si>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</si>
  <si>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</si>
  <si>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</si>
  <si>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</si>
  <si>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</si>
  <si>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</si>
  <si>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</si>
  <si>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</si>
  <si>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</si>
  <si>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</si>
  <si>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</si>
  <si>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</si>
  <si>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</si>
  <si>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</si>
  <si>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</si>
  <si>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</si>
  <si>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</si>
  <si>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</si>
  <si>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</si>
  <si>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</si>
  <si>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</si>
  <si>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</si>
  <si>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</si>
  <si>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</si>
  <si>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</si>
  <si>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</si>
  <si>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</si>
  <si>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</si>
  <si>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</si>
  <si>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</si>
  <si>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</si>
  <si>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</si>
  <si>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</si>
  <si>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</si>
  <si>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</si>
  <si>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</si>
  <si>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</si>
  <si>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</si>
  <si>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</si>
  <si>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</si>
  <si>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</si>
  <si>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</si>
  <si>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</si>
  <si>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</si>
  <si>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</si>
  <si>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</si>
  <si>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</si>
  <si>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</si>
  <si>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</si>
  <si>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</si>
  <si>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</si>
  <si>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</si>
  <si>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</si>
  <si>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</si>
  <si>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</si>
  <si>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</si>
  <si>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</si>
  <si>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</si>
  <si>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</si>
  <si>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</si>
  <si>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</si>
  <si>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</si>
  <si>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</si>
  <si>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</si>
  <si>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</si>
  <si>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</si>
  <si>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</si>
  <si>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</si>
  <si>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</si>
  <si>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</si>
  <si>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</si>
  <si>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</si>
  <si>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</si>
  <si>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</si>
  <si>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</si>
  <si>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</si>
  <si>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</si>
  <si>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</si>
  <si>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</si>
  <si>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</si>
  <si>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</si>
  <si>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</si>
  <si>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</si>
  <si>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</si>
  <si>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</si>
  <si>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</si>
  <si>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</si>
  <si>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</si>
  <si>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</si>
  <si>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</si>
  <si>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</si>
  <si>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</si>
  <si>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</si>
  <si>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</si>
  <si>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</si>
  <si>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</si>
  <si>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</si>
  <si>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</si>
  <si>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</si>
  <si>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</si>
  <si>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</si>
  <si>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</si>
  <si>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</si>
  <si>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</si>
  <si>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</si>
  <si>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</si>
  <si>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</si>
  <si>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</si>
  <si>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</si>
  <si>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</si>
  <si>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</si>
  <si>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</si>
  <si>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</si>
  <si>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</si>
  <si>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</si>
  <si>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</si>
  <si>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</si>
  <si>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</si>
  <si>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</si>
  <si>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</si>
  <si>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</si>
  <si>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</si>
  <si>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</si>
  <si>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</si>
  <si>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</si>
  <si>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</si>
  <si>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</si>
  <si>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</si>
  <si>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</si>
  <si>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</si>
  <si>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</si>
  <si>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</si>
  <si>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</si>
  <si>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</si>
  <si>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</si>
  <si>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</si>
  <si>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</si>
  <si>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</si>
  <si>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</si>
  <si>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</si>
  <si>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</si>
  <si>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</si>
  <si>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</si>
  <si>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</si>
  <si>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</si>
  <si>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</si>
  <si>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</si>
  <si>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</si>
  <si>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</si>
  <si>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</si>
  <si>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</si>
  <si>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</si>
  <si>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</si>
  <si>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</si>
  <si>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</si>
  <si>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</si>
  <si>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</si>
  <si>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</si>
  <si>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</si>
  <si>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</si>
  <si>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</si>
  <si>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</si>
  <si>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</si>
  <si>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</si>
  <si>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</si>
  <si>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</si>
  <si>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</si>
  <si>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</si>
  <si>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</si>
  <si>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</si>
  <si>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</si>
  <si>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</si>
  <si>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</si>
  <si>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</si>
  <si>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</si>
  <si>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</si>
  <si>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</si>
  <si>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</si>
  <si>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</si>
  <si>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</si>
  <si>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</si>
  <si>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</si>
  <si>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</si>
  <si>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</si>
  <si>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</si>
  <si>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</si>
  <si>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</si>
  <si>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</si>
  <si>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</si>
  <si>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</si>
  <si>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</si>
  <si>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</si>
  <si>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</si>
  <si>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</si>
  <si>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</si>
  <si>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</si>
  <si>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</si>
  <si>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</si>
  <si>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</si>
  <si>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</si>
  <si>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</si>
  <si>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</si>
  <si>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</si>
  <si>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</si>
  <si>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</si>
  <si>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</si>
  <si>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</si>
  <si>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</si>
  <si>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</si>
  <si>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</si>
  <si>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</si>
  <si>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</si>
  <si>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</si>
  <si>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</si>
  <si>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</si>
  <si>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</si>
  <si>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</si>
  <si>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</si>
  <si>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</si>
  <si>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</si>
  <si>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</si>
  <si>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</si>
  <si>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</si>
  <si>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</si>
  <si>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</si>
  <si>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</si>
  <si>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</si>
  <si>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</si>
  <si>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</si>
  <si>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</si>
  <si>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</si>
  <si>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</si>
  <si>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</si>
  <si>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</si>
  <si>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</si>
  <si>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</si>
  <si>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</si>
  <si>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</si>
  <si>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</si>
  <si>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</si>
  <si>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</si>
  <si>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</si>
  <si>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</si>
  <si>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</si>
  <si>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</si>
  <si>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</si>
  <si>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</si>
  <si>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</si>
  <si>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</si>
  <si>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</si>
  <si>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</si>
  <si>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</si>
  <si>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</si>
  <si>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</si>
  <si>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</si>
  <si>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</si>
  <si>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</si>
  <si>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</si>
  <si>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</si>
  <si>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</si>
  <si>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</si>
  <si>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</si>
  <si>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</si>
  <si>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</si>
  <si>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</si>
  <si>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</si>
  <si>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</si>
  <si>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</si>
  <si>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</si>
  <si>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</si>
  <si>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</si>
  <si>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</si>
  <si>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</si>
  <si>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</si>
  <si>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</si>
  <si>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</si>
  <si>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</si>
  <si>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</si>
  <si>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</si>
  <si>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</si>
  <si>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</si>
  <si>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</si>
  <si>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</si>
  <si>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</si>
  <si>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</si>
  <si>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</si>
  <si>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</si>
  <si>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</si>
  <si>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</si>
  <si>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</si>
  <si>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</si>
  <si>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</si>
  <si>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</si>
  <si>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</si>
  <si>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</si>
  <si>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</si>
  <si>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</si>
  <si>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</si>
  <si>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</si>
  <si>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</si>
  <si>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</si>
  <si>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</si>
  <si>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</si>
  <si>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</si>
  <si>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</si>
  <si>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</si>
  <si>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</si>
  <si>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</si>
  <si>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</si>
  <si>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</si>
  <si>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</si>
  <si>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</si>
  <si>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</si>
  <si>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</si>
  <si>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</si>
  <si>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</si>
  <si>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</si>
  <si>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</si>
  <si>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</si>
  <si>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</si>
  <si>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</si>
  <si>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</si>
  <si>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</si>
  <si>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</si>
  <si>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</si>
  <si>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</si>
  <si>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</si>
  <si>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</si>
  <si>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</si>
  <si>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</si>
  <si>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</si>
  <si>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</si>
  <si>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</si>
  <si>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</si>
  <si>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</si>
  <si>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</si>
  <si>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</si>
  <si>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</si>
  <si>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</si>
  <si>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</si>
  <si>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</si>
  <si>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</si>
  <si>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</si>
  <si>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</si>
  <si>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</si>
  <si>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</si>
  <si>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</si>
  <si>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</si>
  <si>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</si>
  <si>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</si>
  <si>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</si>
  <si>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</si>
  <si>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</si>
  <si>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</si>
  <si>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</si>
  <si>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</si>
  <si>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</si>
  <si>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</si>
  <si>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</si>
  <si>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</si>
  <si>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</si>
  <si>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</si>
  <si>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</si>
  <si>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</si>
  <si>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</si>
  <si>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</si>
  <si>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</si>
  <si>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</si>
  <si>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</si>
  <si>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</si>
  <si>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</si>
  <si>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</si>
  <si>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</si>
  <si>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</si>
  <si>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</si>
  <si>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</si>
  <si>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</si>
  <si>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</si>
  <si>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</si>
  <si>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</si>
  <si>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</si>
  <si>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</si>
  <si>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</si>
  <si>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</si>
  <si>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</si>
  <si>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</si>
  <si>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</si>
  <si>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</si>
  <si>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</si>
  <si>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</si>
  <si>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</si>
  <si>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</si>
  <si>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</si>
  <si>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</si>
  <si>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</si>
  <si>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</si>
  <si>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</si>
  <si>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</si>
  <si>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</si>
  <si>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</si>
  <si>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</si>
  <si>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</si>
  <si>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</si>
  <si>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</si>
  <si>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</si>
  <si>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</si>
  <si>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</si>
  <si>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</si>
  <si>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</si>
  <si>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</si>
  <si>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</si>
  <si>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</si>
  <si>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</si>
  <si>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</si>
  <si>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</si>
  <si>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</si>
  <si>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</si>
  <si>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</si>
  <si>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</si>
  <si>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</si>
  <si>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</si>
  <si>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</si>
  <si>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</si>
  <si>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</si>
  <si>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</si>
  <si>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</si>
  <si>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</si>
  <si>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</si>
  <si>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</si>
  <si>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</si>
  <si>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</si>
  <si>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</si>
  <si>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</si>
  <si>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</si>
  <si>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</si>
  <si>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</si>
  <si>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</si>
  <si>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</si>
  <si>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</si>
  <si>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</si>
  <si>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</si>
  <si>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</si>
  <si>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</si>
  <si>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</si>
  <si>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</si>
  <si>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</si>
  <si>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</si>
  <si>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</si>
  <si>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</si>
  <si>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</si>
  <si>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</si>
  <si>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</si>
  <si>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</si>
  <si>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</si>
  <si>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</si>
  <si>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</si>
  <si>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</si>
  <si>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</si>
  <si>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</si>
  <si>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</si>
  <si>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</si>
  <si>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</si>
  <si>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</si>
  <si>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</si>
  <si>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</si>
  <si>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</si>
  <si>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</si>
  <si>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</si>
  <si>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</si>
  <si>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</si>
  <si>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</si>
  <si>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</si>
  <si>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President</t>
  </si>
  <si>
    <t>Kevin Buckner</t>
  </si>
  <si>
    <t>3825 Paces Walk SE, Suite 100</t>
  </si>
  <si>
    <t>kbuckner@tbgresidential.com</t>
  </si>
  <si>
    <t>Amelia Johnson</t>
  </si>
  <si>
    <t xml:space="preserve">ajohnson@tbgresidential.com </t>
  </si>
  <si>
    <t xml:space="preserve">VP of Development </t>
  </si>
  <si>
    <t xml:space="preserve">Gibson Park </t>
  </si>
  <si>
    <t>City Limits</t>
  </si>
  <si>
    <t>The Qualification Determination Letter can be found in TAB 20.</t>
  </si>
  <si>
    <t xml:space="preserve">City of College Park Housing Authority </t>
  </si>
  <si>
    <t>Electric Heat Pump</t>
  </si>
  <si>
    <t>Agree</t>
  </si>
  <si>
    <t>N/ap</t>
  </si>
  <si>
    <t>N/Ap</t>
  </si>
  <si>
    <t xml:space="preserve">Applicant has met Threshold by designating this as a Family project.  </t>
  </si>
  <si>
    <t>Real Property Research Group</t>
  </si>
  <si>
    <t xml:space="preserve">There is no identity of interest between the buyer and seller. </t>
  </si>
  <si>
    <t xml:space="preserve">Geotechnical and Environmental Consultants </t>
  </si>
  <si>
    <t>Purchase Contract</t>
  </si>
  <si>
    <t>N/a</t>
  </si>
  <si>
    <t xml:space="preserve">Applicant has met Threshold by specifying an entrance to the site  that is legally accessible by paved roads.  See map in TAB 9. </t>
  </si>
  <si>
    <t xml:space="preserve">Georgia Power </t>
  </si>
  <si>
    <t>Applicant has met Threshold because operating utilities are available to the project. The project will not utilize gas service.  The electricity availability letter is in TAB 11.</t>
  </si>
  <si>
    <t xml:space="preserve">City of Atlanta Department of Watershed Management </t>
  </si>
  <si>
    <t xml:space="preserve">Fulton County Department of Public Works </t>
  </si>
  <si>
    <t>Building</t>
  </si>
  <si>
    <t>Gazebo</t>
  </si>
  <si>
    <t xml:space="preserve">Applicant has met Threshold because the project will include all required standard site amenities and additional amenities.   The Site Information and Conceptual Site Development Plan found in TAB 16 includes the location of these amenities. This is a family tenancy so no elevator are included or interior furnished gatherings. </t>
  </si>
  <si>
    <t xml:space="preserve">This project does not include rehabilitation. </t>
  </si>
  <si>
    <t>Above 60th Percentile</t>
  </si>
  <si>
    <t>Terracon</t>
  </si>
  <si>
    <t>Applicant has met Threshold by agreeing  to all of DCA's accessibility standards stated above and in the 2022 QAP and Accessibility Manual.</t>
  </si>
  <si>
    <t>Yes - W&amp;D hookups installed in each unit</t>
  </si>
  <si>
    <t xml:space="preserve">Applicant has met Threshold by commiting to adhering  to DCA design and quality standards.  </t>
  </si>
  <si>
    <t>Applicant has met Threshold because the Certifying Entities and other team members have completed all required documents as listed in QAP Threshold Section XX.</t>
  </si>
  <si>
    <t>Applicant has not applied for CHDO Setaside.</t>
  </si>
  <si>
    <t>No legal opinions are requied for this applicaton.</t>
  </si>
  <si>
    <t>This project does not involve relocation.</t>
  </si>
  <si>
    <t>Applicant has met Threshold by agreeing to all of the above.</t>
  </si>
  <si>
    <t>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t>
  </si>
  <si>
    <t xml:space="preserve">Applicant is not in a redevelopment area.  </t>
  </si>
  <si>
    <t xml:space="preserve">Applicant is not particapting in Community Transformation. </t>
  </si>
  <si>
    <t>Site Census Tract</t>
  </si>
  <si>
    <t>TBD (only if Option A)</t>
  </si>
  <si>
    <t xml:space="preserve">College Park is not a GICH Community. </t>
  </si>
  <si>
    <t xml:space="preserve">Applicant is not particpating in historic preservation. </t>
  </si>
  <si>
    <t xml:space="preserve">There is no favorable financing or long-term ground leases involved in this application. </t>
  </si>
  <si>
    <t xml:space="preserve">Applicant agrees to accet DCA-administered PBRA if funding is available. Gibson Park does not have any PBRA contracts, is a family tenancy and has at least 10% of its units are 1 bedrooms. Additionally, the applicant has a controlling interest in the General Partnership and has previously agreed to contract with DCA PBRA. </t>
  </si>
  <si>
    <t xml:space="preserve">This section is not applicable. </t>
  </si>
  <si>
    <t xml:space="preserve">The City of College Park has only received one other 9% Credit Award within the last 6 cycles and it is farther away than one mile from the project site. Please also note that Gibson Park would only be the second 9% tax credit development that City of College Park has recieved in over 15 funding cycles. </t>
  </si>
  <si>
    <t xml:space="preserve">Gibson Park is not a phased development. </t>
  </si>
  <si>
    <t>Applicant is not participating in Community Desigantion section.</t>
  </si>
  <si>
    <t>Seaborn Lee Elementary School</t>
  </si>
  <si>
    <t>Langston Hughes  Higih School</t>
  </si>
  <si>
    <t>Camp Creek Middle School</t>
  </si>
  <si>
    <t xml:space="preserve">All three schools meet the Quality Education Standars set forth by DCA. Seaborn "Lee" Elementary School recieved the "Beating the Odds" Designation in 2018. "Lee" Elementary School has a positive year over year change and the average of 2015-2019 CCRPI is 66.9 which is above the threshold 56.745. Camp Creek Middle Schooll recieved the "Beating the Odds" Designation in 2019. Camp Creek Middle School School has a positive year over year change and the average of 2015-2019 CCRPI is 64.3 which is above the threshold 55.335. Langston Hughes High School School has a positive year over year change and the average of 2015-2019 CCRPI is 63 which is above the threshold 57.39. </t>
  </si>
  <si>
    <t>https://www.itsmarta.com/180.aspx
https://www.itsmarta.com/82.aspx</t>
  </si>
  <si>
    <t>https://www.itsmarta.com/pdfs/maps/180.pdf
https://www.itsmarta.com/pdfs/maps/82.pdf</t>
  </si>
  <si>
    <t>MARTA</t>
  </si>
  <si>
    <t>404-848-5000</t>
  </si>
  <si>
    <t>schedinfo@itsmarta.com</t>
  </si>
  <si>
    <t xml:space="preserve">Applicant has met Threshold by agreeing to the above statements and that all selcted services will meet QAP policies. Since there are 72 family units, applicant will include 2 services from the categories in the 2022 QAP. </t>
  </si>
  <si>
    <t>14 units per month /5 months</t>
  </si>
  <si>
    <t xml:space="preserve">Maplewood Park </t>
  </si>
  <si>
    <t xml:space="preserve">Orchard Springs </t>
  </si>
  <si>
    <t xml:space="preserve">Legacy at Walton Lakes </t>
  </si>
  <si>
    <t>2010-052</t>
  </si>
  <si>
    <t>2007-016</t>
  </si>
  <si>
    <t>Manor at Broad Street</t>
  </si>
  <si>
    <t>2013-013</t>
  </si>
  <si>
    <t>Village of College Park</t>
  </si>
  <si>
    <t>1999-039</t>
  </si>
  <si>
    <t xml:space="preserve">Applicant has met Threshold because the Site Information and Conceptual Site Development Plan accurately addresses all requirements stated above and in the 2022 Architectural Manual.  The Site Plan can be found in TAB 16. All maps and photos are accurate and also included in TAB 16. </t>
  </si>
  <si>
    <t>2022PA-020</t>
  </si>
  <si>
    <t xml:space="preserve">TBG Development Services, Inc.  </t>
  </si>
  <si>
    <t xml:space="preserve">TBG Development Services, Inc. </t>
  </si>
  <si>
    <t>Applicant has met Threshold by providing site control for this project through November 30, 2022.  Please note Section 5.1 in the Purchase Agreement that states closing shall occur no later than 90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t>
  </si>
  <si>
    <t xml:space="preserve">TBG Development Services. Inc. </t>
  </si>
  <si>
    <t>On-site laundry</t>
  </si>
  <si>
    <t xml:space="preserve">Applicant is not providing a CSF.  </t>
  </si>
  <si>
    <t xml:space="preserve">Applicant has not applied for the Nonprofit Set-Aside. </t>
  </si>
  <si>
    <t>At or Below 60th Percentile</t>
  </si>
  <si>
    <t>Applicant agrees to engage Minority and Women Owned Businesses in the amounts equal to approximately 5% of the total construction hard costs and commits to all necessary reporting as defined in Section A.  Section B was left blank because applicant is not claiming points in this section.</t>
  </si>
  <si>
    <t xml:space="preserve">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40% of the units at 60% AMI as the minimum setaside and targeting units at lower levels.  The Application has an overall property area median income calculation based on the imputed income and rent limitations for each affordable unit, equal to or less than 58%, and therefore, qualifies for 2 points.  
          Section XI:  Mixed Income Developments:  Applicant has included at least 10% unrestricted market rate units, and will not make the income averaging minimum set-aside election, and therefore, qualifies for 1 point.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2022 Scoring Criteria, and in accordance with DCA requirements set forth in Exhibit A of Appendix II of the 2022 Scoring Criteria, and Section 42(i)(7) of the Code.   For these reasons, Applicant qualifies for 4 points in this section.      
       Section XXIII: Compliance Performance:   Compliance/Performance: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t>
  </si>
  <si>
    <t>Gibson Park, LP</t>
  </si>
  <si>
    <t>Manager</t>
  </si>
  <si>
    <t>Columbia Colony</t>
  </si>
  <si>
    <t>1999-058</t>
  </si>
  <si>
    <t>2002-518</t>
  </si>
  <si>
    <t>Park View at Coventry Station</t>
  </si>
  <si>
    <t>2002-502</t>
  </si>
  <si>
    <t xml:space="preserve">Leyland Pointe </t>
  </si>
  <si>
    <t>Princeton Court</t>
  </si>
  <si>
    <t>2003-039</t>
  </si>
  <si>
    <t>2004-522</t>
  </si>
  <si>
    <t>Amortizing</t>
  </si>
  <si>
    <t>Synovus Bank</t>
  </si>
  <si>
    <t>TBG Gibson Park Investments, LLC</t>
  </si>
  <si>
    <t>Synovus Bank Construction Loan</t>
  </si>
  <si>
    <t xml:space="preserve">Synovus Bank Bridge Loan </t>
  </si>
  <si>
    <t>There is an overage and a deficit created in the equity check above because Synovus is purchasing 98.99% of the Federal credits.  TBG Gibson Park Investments, LLC is purchasing 1% of the federal credits at federal pricing and 100% of the state credits at state pricing.  The Synovus construction/bridge loan interest rate is 4.00% (30-day BSBY plus 325 bps.  30-day BSBY will have a floor of .75bps).  Documentation can be found in TAB 02.</t>
  </si>
  <si>
    <t>3rd party cost review is required on 9% projects.  Must be approved by DCA prior to closing.</t>
  </si>
  <si>
    <t>These costs are related to the construction of the building and are allowed in basis.</t>
  </si>
  <si>
    <t>DCA requires Construction Compliance Inspector monitoring services for 9% projects.</t>
  </si>
  <si>
    <t>This amount covers the up front costs to the perm lender for processing the perm loan application, a legal deposit and 3rd party reports needed to underwrite perm loan.</t>
  </si>
  <si>
    <t>This line item includes costs associated with printing and copying plans, specifications, applications and other project documents during the development process.  Also included are overnight delivery service costs and mailing costs.</t>
  </si>
  <si>
    <t xml:space="preserve">Perm Loan App Processing Fee, Expense Deposit, Legal Deposit </t>
  </si>
  <si>
    <t xml:space="preserve">Landscaping </t>
  </si>
  <si>
    <t xml:space="preserve">FedEx, UPS, Copying, etc. </t>
  </si>
  <si>
    <t xml:space="preserve">A landscaping plan will be required for permitting.  </t>
  </si>
  <si>
    <t xml:space="preserve">These costs are eligible just as other Professional Services costs are eligible.  </t>
  </si>
  <si>
    <t xml:space="preserve">Front End Cost Review </t>
  </si>
  <si>
    <t>DCA Construction Inspection Fee</t>
  </si>
  <si>
    <t xml:space="preserve">Novogradac Rent and Income Calculator </t>
  </si>
  <si>
    <t>40% of Units at 60% of AMI</t>
  </si>
  <si>
    <t>TBG Development Services, Inc.</t>
  </si>
  <si>
    <t>Regions Bank</t>
  </si>
  <si>
    <t xml:space="preserve">Applicant has met Threshold by providing a Market Study that adheres to all requirements of the 2022 Market Study Manual. There is not more than one DCA funded projects in the PMA which have physical occupancy rates of less than 90% and which compete for the same tenant base as Gibson Park.   There are no capture rates over 30% for either a specific bedroom type or market segement.  The capture rate for the LIHTC units is 1.5% and for the Market Rate units the capture rate is .2% .  Other LIHTC projects in the PMA are shown above. Within the last 15 years, there has been one 9% DCA funded property within the City of College Park.  </t>
  </si>
  <si>
    <t xml:space="preserve">The transit stop which operates MARTA Routes 180 and 82 is in very close proxomity to the site entrance. The transit stop is 190 ft from the site entrance and operates 7 days a week. The site entrance's latitude is "33.614480", the "0" is missing above because of the Excel formatting. </t>
  </si>
  <si>
    <t xml:space="preserve">Applicant is not providing wifi in each unit. </t>
  </si>
  <si>
    <t xml:space="preserve">Applicant has met Threshold because public water and sanitary sewer are available to the project site.  The water and sewer availability letter can be found in TAB 12.  There are no easements  necessary for the City of College Park to extend the existing water and sewer services to the project.   There is no annexation or improvements needed so there is no documentation submitted with this Application. </t>
  </si>
  <si>
    <t xml:space="preserve">Applicant has met Threshold because this project will achieve the minimum standards for efficiency and sustainable building practices as defined in the 2022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Gibson Park scores 115 points on the score sheet and 100 points are  required to receive Earth Craft House Multifamily certification. The Earthcraft Multifamily Worksheet used is effective as of January 1, 2020, and this is the most current form. The Applicant also certifies that it has completed the required 30-minute Green Building Affordable Housing Webinar found at the above link provided by DCA. </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</si>
  <si>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The real estate tax is derived by applying an income capitalization rate to the year 1 NOI to establish the fair market value.  40% of the fair market value is then used to calculate the projected assessed value.  The Fulton County millage rate is applied to this value to arrive at the budgeted expense reflected in the operating budget of our core application.
Insurance expense is based on our agent's estimate of $375.00 a unit annually, and a letter from Top Floor Insurance can be found in Tab 2 to substantiate this estimate.  
2021 Income Limits are used to calculate gross rents.
Income Limit Distribution Among Bedroom Sizes is within two units as required.
Expenses per unit are above DCA's minimun.Insurance expense is based on our agent's estimate of $375.00 a unit annually, and a letter from Top Floor Insurance can be found in Tab 2 to substantiate this estimate.  
Income Limit Distribution Among Bedroom Sizes is within two units as required</t>
  </si>
  <si>
    <t xml:space="preserve">Applicant is not claiming points in this section. </t>
  </si>
  <si>
    <t>Applicant has met Threshold because the site is currently zoned appropriately for multifamily development.  The site is zoned RM and allows for multifamily.  The Collaborative Firm (TCF) supplements as College Park's zoning department. A zoning letter confirming this can be found in TAB 10.</t>
  </si>
  <si>
    <t xml:space="preserve">Documentation regarding utility allowances can be found in TAB 02. </t>
  </si>
  <si>
    <t>APPLICANTS: Explain any any debt service payment amounts that deviate from the amount shown in Permanent Sources (Part III)
Deferred developer fee is paid off in 14 years.
Synovus Bank's asset management fee is $4,800 and does not escalate annually.  The State Investor does not have an asset management fee.</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</si>
  <si>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02 are consistent with current equity market pricing.  Annual operating expenses meet the minimum standard in Exhibit A of Appendix I of the 2022 QAP.  Applicant has followed all of DCA's policies pertaining to Project Rents, Operating Utility Allowances, Deferred Developer Fees and Commitments in this application.   </t>
  </si>
  <si>
    <t xml:space="preserve">Applicant is applying under the General Set-aside. In this category for the following desirable activities/characteristics that are all within a 1.5 mile walking/driving distance from the site are Wayfield Foods, Inc., K Wings Roosevelt Hwy, Feldwood Elementary School, City of South Fulton/Fire Station #1, Siloam Church International and United States Postal Service. Other desirable activities were included in the "Desirable" Site Certification form that are not within 1.5 miles to demonstrate that there are desirable entities near the site and that residents will still have access to amenties such as Daycares, Parks, Libraries and many more. There are no undesirable activities/characteristics located within a  1/4th mile radius of the site.  </t>
  </si>
  <si>
    <t xml:space="preserve"> This site resides in a census tract with a Middle Tract Income Level and is 12.58% below the poverty line according to the most current FFIEC data. This census tract scores aove the 60th Percentile for  Life Expectancy. The Life Expectancy rate is 78.4  which is above DCA's threshold of 77.5. </t>
  </si>
  <si>
    <t xml:space="preserve">Applicant has not applied for the Preservation Set Aside. </t>
  </si>
  <si>
    <t>*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Gibson Park .
    Interest for the bridge loan and construction loans is calculated at 325 bps above the 30-day BSBY rate with a floor of 75 bps resulting in a rate of 4.00%.  Interest on both loans is included in the bridge loan interest cell. The Construction Interest Expense Estimate can be found in TAB 2.
     Construction Legal Fees are paid to lender's cousel and are in line with what we've spent on recent closings.
Tap Fees:  The following fees have been provided from Fulton County, the City of Atlanta, and  the City of College Park.   Sewer Tap Fee:  $123,230 (Sewer 8" Meter) + $420 (Utility Plan Review Fee) + $6,578 (Residential Inspection Fee) = $130,288.    
Water Tap Fee:  $3,150 (8" Water Main) + $51,100 (RR-LS Comound) + $53,300 (RR-LS Fire Service) = $107,550
    Building  and Land Disturbance Permit Fees: Building Permits: $5,652 for the first $1,000,001, or fraction thereof, plus $3.65 for each addtional $1,000 plus an additional 30% of the permit value therefore:  $5,652 +[($11,160,000-$1,000,001)/$1,000) x $3.65] = $42,735.99; Permit Value= $42,735.99 x .3 = $12,820.798; Total Building Permit Cost: $42,735.99 + $12,820.798 = $55,556.79; Land Disturbance Permit Cost: $500 X 6.827 Acres = $3,414; 
$55,556.79 (Total Cost of Building Permit) + $3,414 (LDP) = $58,971
   Impact Fee: Performance Bond Required by the City of College Park is $3000 x Area in Acres: $3,000 x 6.827 Acres = $20,481; See TAB 2 for documentation. 
     Construction Inspection Fees are based on monthly site visits and reports for 16 months.  Our construction loan lender engages with a  third party of this service.  Additionally, DCA requires a Construction Compliance Inspector.  Applicant used costs from a 2021 project for this item:( $975 x 16 months) 
    Construction an Bridge Loan Financing Fees are calculated at .75%.   
    Operating Deficit Reserve is based on DCA's requirement of 6 months operating expenses plus 6 months of debt service. 
    Developer fee calculation is on DCA's per unit basis of $27,500 for units 1-50, $22,000 for units 51-70, and $16,500 for units 71-72 and capped at $2,000,000.
    Green Building Consultant Fee is based on recent similarly sized projects the Applicant has completed in Georgia. 
    Furniture Fixtures and Equipment includes $7,500 for Clubhouse furnishings and $7,500 for office equipment. 
    Accounting: DCA's  Costs are similar to accounting fees charged on recent similarly sized projects the Applicant has completed in Georgia and include the Cost Certification, Contractor's Cost Certificaton and 10% Carryover Report.
    Accessibilty Inspections &amp; Plan Review: $18,000 is based upon accessibility fees from recent similar LIHTC projects the Applicant completed in Georgia.</t>
  </si>
  <si>
    <t xml:space="preserve">  Applicant has met Threshold by providing a Phase I Environmental Report that adheres to all requriements in the 2022 Environmental Manual. The noise level was above DCA's threshold, however, a noise attenuation plan is included in the site assessment. All noise concerns are being mitgated through building standards and site design.  Suitable wall, window, and door design details will be incorporated into the building to mitigate all noise issues. Apartment  buildings  located  on  site,  as  well  as  the topographic elevation, create a barrier to the noise and ensure no line-of-sight from the outdoor amenity. Please also note that according to the Phase I, the Monarch Butterfly is listed as a "candidate" species but Applicant does not interpret this as "endangered" in respect to DCA's requirements. For further information, please see Section 5.4.  Section F was left blank because there this is not a HOME application and thus it is not applicable to Gibson Park.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</si>
</sst>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3"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 xml:space="preserve">Gibson Park </v>
      </c>
    </row>
    <row r="3" spans="1:6" ht="15" customHeight="1">
      <c r="A3" s="849" t="str">
        <f>CONCATENATE('Part I-Project Identification'!F30,", ", 'Part I-Project Identification'!J30," County")</f>
        <v>College Park, Fulton County</v>
      </c>
    </row>
    <row r="4" spans="1:6" ht="12" customHeight="1">
      <c r="A4" s="1426"/>
    </row>
    <row r="5" spans="1:6" ht="72" customHeight="1">
      <c r="A5" s="3297" t="s">
        <v>6076</v>
      </c>
      <c r="B5" s="3298" t="s">
        <v>3900</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7" zoomScale="110" zoomScaleNormal="110" workbookViewId="0">
      <selection activeCell="F223" sqref="F223:G223"/>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4" t="str">
        <f>CONCATENATE("PART FOUR - PROJECTED REVENUES &amp; EXPENSES","  -  ",'Part I-Project Identification'!$O$7," ",'Part I-Project Identification'!$F$29,", ",'Part I-Project Identification'!F30,", ",'Part I-Project Identification'!J30," County")</f>
        <v>PART FOUR - PROJECTED REVENUES &amp; EXPENSES  -  2022-0 Gibson Park , College Park, Fulton County</v>
      </c>
      <c r="B2" s="3975"/>
      <c r="C2" s="3975"/>
      <c r="D2" s="3975"/>
      <c r="E2" s="3975"/>
      <c r="F2" s="3975"/>
      <c r="G2" s="3975"/>
      <c r="H2" s="3975"/>
      <c r="I2" s="3975"/>
      <c r="J2" s="3975"/>
      <c r="K2" s="3975"/>
      <c r="L2" s="3975"/>
      <c r="M2" s="3975"/>
      <c r="N2" s="3975"/>
      <c r="O2" s="3975"/>
      <c r="P2" s="3975"/>
      <c r="Q2" s="3976"/>
      <c r="T2" s="1820" t="str">
        <f>A2</f>
        <v>PART FOUR - PROJECTED REVENUES &amp; EXPENSES  -  2022-0 Gibson Park , College Park, Fulton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979" t="str">
        <f>'Part I-Project Identification'!$O$32</f>
        <v>Atlanta-Sandy Springs-Marietta</v>
      </c>
      <c r="Q4" s="3979"/>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2" t="s">
        <v>3047</v>
      </c>
      <c r="MG4" s="3862" t="s">
        <v>3048</v>
      </c>
      <c r="MH4" s="3862" t="s">
        <v>3049</v>
      </c>
      <c r="MI4" s="3862" t="s">
        <v>3050</v>
      </c>
      <c r="MJ4" s="3862"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0" t="s">
        <v>3206</v>
      </c>
      <c r="R5" s="1053"/>
      <c r="S5" s="443"/>
      <c r="T5" s="443"/>
      <c r="U5" s="443"/>
      <c r="W5" s="444"/>
      <c r="X5" s="3862" t="s">
        <v>3684</v>
      </c>
      <c r="Y5" s="3862" t="s">
        <v>3685</v>
      </c>
      <c r="Z5" s="3862" t="s">
        <v>3686</v>
      </c>
      <c r="AA5" s="3862" t="s">
        <v>3687</v>
      </c>
      <c r="AB5" s="3862" t="s">
        <v>3688</v>
      </c>
      <c r="AC5" s="3862" t="s">
        <v>3689</v>
      </c>
      <c r="AD5" s="3862" t="s">
        <v>3690</v>
      </c>
      <c r="AE5" s="3862" t="s">
        <v>3691</v>
      </c>
      <c r="AF5" s="3862" t="s">
        <v>3692</v>
      </c>
      <c r="AG5" s="3862" t="s">
        <v>3693</v>
      </c>
      <c r="AH5" s="3862" t="s">
        <v>861</v>
      </c>
      <c r="AI5" s="3862" t="s">
        <v>705</v>
      </c>
      <c r="AJ5" s="3862" t="s">
        <v>706</v>
      </c>
      <c r="AK5" s="3862" t="s">
        <v>707</v>
      </c>
      <c r="AL5" s="3862" t="s">
        <v>708</v>
      </c>
      <c r="AM5" s="3862" t="s">
        <v>862</v>
      </c>
      <c r="AN5" s="3862" t="s">
        <v>2132</v>
      </c>
      <c r="AO5" s="3862" t="s">
        <v>2133</v>
      </c>
      <c r="AP5" s="3862" t="s">
        <v>2134</v>
      </c>
      <c r="AQ5" s="3862" t="s">
        <v>2135</v>
      </c>
      <c r="AR5" s="3862" t="s">
        <v>3695</v>
      </c>
      <c r="AS5" s="3862" t="s">
        <v>3696</v>
      </c>
      <c r="AT5" s="3862" t="s">
        <v>3697</v>
      </c>
      <c r="AU5" s="3862" t="s">
        <v>3698</v>
      </c>
      <c r="AV5" s="3862" t="s">
        <v>3694</v>
      </c>
      <c r="AW5" s="3862" t="s">
        <v>863</v>
      </c>
      <c r="AX5" s="3862" t="s">
        <v>2136</v>
      </c>
      <c r="AY5" s="3862" t="s">
        <v>2137</v>
      </c>
      <c r="AZ5" s="3862" t="s">
        <v>2138</v>
      </c>
      <c r="BA5" s="3862" t="s">
        <v>2139</v>
      </c>
      <c r="BB5" s="3862" t="s">
        <v>3699</v>
      </c>
      <c r="BC5" s="3862" t="s">
        <v>3700</v>
      </c>
      <c r="BD5" s="3862" t="s">
        <v>3701</v>
      </c>
      <c r="BE5" s="3862" t="s">
        <v>3702</v>
      </c>
      <c r="BF5" s="3862" t="s">
        <v>3703</v>
      </c>
      <c r="BG5" s="3862" t="s">
        <v>123</v>
      </c>
      <c r="BH5" s="3862" t="s">
        <v>2140</v>
      </c>
      <c r="BI5" s="3862" t="s">
        <v>2141</v>
      </c>
      <c r="BJ5" s="3862" t="s">
        <v>2142</v>
      </c>
      <c r="BK5" s="3862" t="s">
        <v>1081</v>
      </c>
      <c r="BL5" s="3862" t="s">
        <v>3704</v>
      </c>
      <c r="BM5" s="3862" t="s">
        <v>3705</v>
      </c>
      <c r="BN5" s="3862" t="s">
        <v>3706</v>
      </c>
      <c r="BO5" s="3862" t="s">
        <v>3707</v>
      </c>
      <c r="BP5" s="3862" t="s">
        <v>3708</v>
      </c>
      <c r="BQ5" s="3862" t="s">
        <v>517</v>
      </c>
      <c r="BR5" s="3862" t="s">
        <v>518</v>
      </c>
      <c r="BS5" s="3862" t="s">
        <v>535</v>
      </c>
      <c r="BT5" s="3862" t="s">
        <v>536</v>
      </c>
      <c r="BU5" s="3862" t="s">
        <v>537</v>
      </c>
      <c r="BV5" s="3862" t="s">
        <v>3709</v>
      </c>
      <c r="BW5" s="3862" t="s">
        <v>3710</v>
      </c>
      <c r="BX5" s="3862" t="s">
        <v>3711</v>
      </c>
      <c r="BY5" s="3862" t="s">
        <v>3712</v>
      </c>
      <c r="BZ5" s="3862" t="s">
        <v>3713</v>
      </c>
      <c r="CA5" s="3862" t="s">
        <v>538</v>
      </c>
      <c r="CB5" s="3862" t="s">
        <v>539</v>
      </c>
      <c r="CC5" s="3862" t="s">
        <v>540</v>
      </c>
      <c r="CD5" s="3862" t="s">
        <v>541</v>
      </c>
      <c r="CE5" s="3862" t="s">
        <v>542</v>
      </c>
      <c r="CF5" s="3862" t="s">
        <v>543</v>
      </c>
      <c r="CG5" s="3862" t="s">
        <v>544</v>
      </c>
      <c r="CH5" s="3862" t="s">
        <v>872</v>
      </c>
      <c r="CI5" s="3862" t="s">
        <v>873</v>
      </c>
      <c r="CJ5" s="3862" t="s">
        <v>874</v>
      </c>
      <c r="CK5" s="3862" t="s">
        <v>3719</v>
      </c>
      <c r="CL5" s="3862" t="s">
        <v>3720</v>
      </c>
      <c r="CM5" s="3862" t="s">
        <v>3721</v>
      </c>
      <c r="CN5" s="3862" t="s">
        <v>3722</v>
      </c>
      <c r="CO5" s="3862" t="s">
        <v>3723</v>
      </c>
      <c r="CP5" s="3862" t="s">
        <v>3714</v>
      </c>
      <c r="CQ5" s="3862" t="s">
        <v>3715</v>
      </c>
      <c r="CR5" s="3862" t="s">
        <v>3716</v>
      </c>
      <c r="CS5" s="3862" t="s">
        <v>3717</v>
      </c>
      <c r="CT5" s="3862" t="s">
        <v>3718</v>
      </c>
      <c r="CU5" s="3862" t="s">
        <v>3724</v>
      </c>
      <c r="CV5" s="3862" t="s">
        <v>3725</v>
      </c>
      <c r="CW5" s="3862" t="s">
        <v>3726</v>
      </c>
      <c r="CX5" s="3862" t="s">
        <v>3727</v>
      </c>
      <c r="CY5" s="3862" t="s">
        <v>3728</v>
      </c>
      <c r="CZ5" s="3862" t="s">
        <v>466</v>
      </c>
      <c r="DA5" s="3862" t="s">
        <v>467</v>
      </c>
      <c r="DB5" s="3862" t="s">
        <v>468</v>
      </c>
      <c r="DC5" s="3862" t="s">
        <v>469</v>
      </c>
      <c r="DD5" s="3862" t="s">
        <v>470</v>
      </c>
      <c r="DE5" s="3862" t="s">
        <v>3729</v>
      </c>
      <c r="DF5" s="3862" t="s">
        <v>3730</v>
      </c>
      <c r="DG5" s="3862" t="s">
        <v>3731</v>
      </c>
      <c r="DH5" s="3862" t="s">
        <v>3732</v>
      </c>
      <c r="DI5" s="3862" t="s">
        <v>3733</v>
      </c>
      <c r="DJ5" s="3862" t="s">
        <v>822</v>
      </c>
      <c r="DK5" s="3862" t="s">
        <v>823</v>
      </c>
      <c r="DL5" s="3862" t="s">
        <v>824</v>
      </c>
      <c r="DM5" s="3862" t="s">
        <v>825</v>
      </c>
      <c r="DN5" s="3862" t="s">
        <v>826</v>
      </c>
      <c r="DO5" s="3862" t="s">
        <v>827</v>
      </c>
      <c r="DP5" s="3862" t="s">
        <v>828</v>
      </c>
      <c r="DQ5" s="3862" t="s">
        <v>829</v>
      </c>
      <c r="DR5" s="3862" t="s">
        <v>830</v>
      </c>
      <c r="DS5" s="3862" t="s">
        <v>831</v>
      </c>
      <c r="DT5" s="3862" t="s">
        <v>3734</v>
      </c>
      <c r="DU5" s="3862" t="s">
        <v>3735</v>
      </c>
      <c r="DV5" s="3862" t="s">
        <v>3736</v>
      </c>
      <c r="DW5" s="3862" t="s">
        <v>3737</v>
      </c>
      <c r="DX5" s="3862" t="s">
        <v>3738</v>
      </c>
      <c r="DY5" s="3862" t="s">
        <v>3739</v>
      </c>
      <c r="DZ5" s="3862" t="s">
        <v>3740</v>
      </c>
      <c r="EA5" s="3862" t="s">
        <v>3741</v>
      </c>
      <c r="EB5" s="3862" t="s">
        <v>3742</v>
      </c>
      <c r="EC5" s="3862" t="s">
        <v>3743</v>
      </c>
      <c r="ED5" s="3862" t="s">
        <v>2236</v>
      </c>
      <c r="EE5" s="3862" t="s">
        <v>2237</v>
      </c>
      <c r="EF5" s="3862" t="s">
        <v>2238</v>
      </c>
      <c r="EG5" s="3862" t="s">
        <v>2239</v>
      </c>
      <c r="EH5" s="3862" t="s">
        <v>2240</v>
      </c>
      <c r="EI5" s="3862" t="s">
        <v>3744</v>
      </c>
      <c r="EJ5" s="3862" t="s">
        <v>3745</v>
      </c>
      <c r="EK5" s="3862" t="s">
        <v>3746</v>
      </c>
      <c r="EL5" s="3862" t="s">
        <v>3747</v>
      </c>
      <c r="EM5" s="3862" t="s">
        <v>3748</v>
      </c>
      <c r="EN5" s="3862" t="s">
        <v>3749</v>
      </c>
      <c r="EO5" s="3862" t="s">
        <v>3750</v>
      </c>
      <c r="EP5" s="3862" t="s">
        <v>3751</v>
      </c>
      <c r="EQ5" s="3862" t="s">
        <v>3752</v>
      </c>
      <c r="ER5" s="3862" t="s">
        <v>3753</v>
      </c>
      <c r="ES5" s="3862" t="s">
        <v>111</v>
      </c>
      <c r="ET5" s="3862" t="s">
        <v>1084</v>
      </c>
      <c r="EU5" s="3862" t="s">
        <v>1085</v>
      </c>
      <c r="EV5" s="3862" t="s">
        <v>1140</v>
      </c>
      <c r="EW5" s="3862" t="s">
        <v>1141</v>
      </c>
      <c r="EX5" s="3862" t="s">
        <v>126</v>
      </c>
      <c r="EY5" s="3862" t="s">
        <v>1142</v>
      </c>
      <c r="EZ5" s="3862" t="s">
        <v>1143</v>
      </c>
      <c r="FA5" s="3862" t="s">
        <v>1144</v>
      </c>
      <c r="FB5" s="3862" t="s">
        <v>1145</v>
      </c>
      <c r="FC5" s="3862" t="s">
        <v>3754</v>
      </c>
      <c r="FD5" s="3862" t="s">
        <v>3755</v>
      </c>
      <c r="FE5" s="3862" t="s">
        <v>3756</v>
      </c>
      <c r="FF5" s="3862" t="s">
        <v>3757</v>
      </c>
      <c r="FG5" s="3862" t="s">
        <v>3758</v>
      </c>
      <c r="FH5" s="3862" t="s">
        <v>125</v>
      </c>
      <c r="FI5" s="3862" t="s">
        <v>853</v>
      </c>
      <c r="FJ5" s="3862" t="s">
        <v>854</v>
      </c>
      <c r="FK5" s="3862" t="s">
        <v>855</v>
      </c>
      <c r="FL5" s="3862" t="s">
        <v>856</v>
      </c>
      <c r="FM5" s="3862" t="s">
        <v>3759</v>
      </c>
      <c r="FN5" s="3862" t="s">
        <v>3760</v>
      </c>
      <c r="FO5" s="3862" t="s">
        <v>3761</v>
      </c>
      <c r="FP5" s="3862" t="s">
        <v>3762</v>
      </c>
      <c r="FQ5" s="3862" t="s">
        <v>3763</v>
      </c>
      <c r="FR5" s="3862" t="s">
        <v>124</v>
      </c>
      <c r="FS5" s="3862" t="s">
        <v>857</v>
      </c>
      <c r="FT5" s="3862" t="s">
        <v>858</v>
      </c>
      <c r="FU5" s="3862" t="s">
        <v>859</v>
      </c>
      <c r="FV5" s="3862" t="s">
        <v>860</v>
      </c>
      <c r="FW5" s="3862" t="s">
        <v>752</v>
      </c>
      <c r="FX5" s="3862" t="s">
        <v>753</v>
      </c>
      <c r="FY5" s="3862" t="s">
        <v>754</v>
      </c>
      <c r="FZ5" s="3862" t="s">
        <v>755</v>
      </c>
      <c r="GA5" s="3862" t="s">
        <v>756</v>
      </c>
      <c r="GB5" s="3862" t="s">
        <v>897</v>
      </c>
      <c r="GC5" s="3862" t="s">
        <v>898</v>
      </c>
      <c r="GD5" s="3862" t="s">
        <v>899</v>
      </c>
      <c r="GE5" s="3862" t="s">
        <v>900</v>
      </c>
      <c r="GF5" s="3862" t="s">
        <v>2235</v>
      </c>
      <c r="GG5" s="3862" t="s">
        <v>1345</v>
      </c>
      <c r="GH5" s="3862" t="s">
        <v>1346</v>
      </c>
      <c r="GI5" s="3862" t="s">
        <v>1347</v>
      </c>
      <c r="GJ5" s="3862" t="s">
        <v>1348</v>
      </c>
      <c r="GK5" s="3862" t="s">
        <v>1349</v>
      </c>
      <c r="GL5" s="3862" t="s">
        <v>411</v>
      </c>
      <c r="GM5" s="3862" t="s">
        <v>412</v>
      </c>
      <c r="GN5" s="3862" t="s">
        <v>413</v>
      </c>
      <c r="GO5" s="3862" t="s">
        <v>414</v>
      </c>
      <c r="GP5" s="3862" t="s">
        <v>415</v>
      </c>
      <c r="GQ5" s="3862" t="s">
        <v>14</v>
      </c>
      <c r="GR5" s="3862" t="s">
        <v>15</v>
      </c>
      <c r="GS5" s="3862" t="s">
        <v>16</v>
      </c>
      <c r="GT5" s="3862" t="s">
        <v>17</v>
      </c>
      <c r="GU5" s="3862" t="s">
        <v>18</v>
      </c>
      <c r="GV5" s="3862" t="s">
        <v>214</v>
      </c>
      <c r="GW5" s="3862" t="s">
        <v>215</v>
      </c>
      <c r="GX5" s="3862" t="s">
        <v>216</v>
      </c>
      <c r="GY5" s="3862" t="s">
        <v>1681</v>
      </c>
      <c r="GZ5" s="3862" t="s">
        <v>1682</v>
      </c>
      <c r="HA5" s="3862" t="s">
        <v>1683</v>
      </c>
      <c r="HB5" s="3862" t="s">
        <v>550</v>
      </c>
      <c r="HC5" s="3862" t="s">
        <v>551</v>
      </c>
      <c r="HD5" s="3862" t="s">
        <v>552</v>
      </c>
      <c r="HE5" s="3862" t="s">
        <v>553</v>
      </c>
      <c r="HF5" s="3862" t="s">
        <v>19</v>
      </c>
      <c r="HG5" s="3862" t="s">
        <v>20</v>
      </c>
      <c r="HH5" s="3862" t="s">
        <v>21</v>
      </c>
      <c r="HI5" s="3862" t="s">
        <v>22</v>
      </c>
      <c r="HJ5" s="3862" t="s">
        <v>23</v>
      </c>
      <c r="HK5" s="3862" t="s">
        <v>465</v>
      </c>
      <c r="HL5" s="3862" t="s">
        <v>407</v>
      </c>
      <c r="HM5" s="3862" t="s">
        <v>408</v>
      </c>
      <c r="HN5" s="3862" t="s">
        <v>409</v>
      </c>
      <c r="HO5" s="3862" t="s">
        <v>410</v>
      </c>
      <c r="HP5" s="3862" t="s">
        <v>2043</v>
      </c>
      <c r="HQ5" s="3862" t="s">
        <v>2044</v>
      </c>
      <c r="HR5" s="3862" t="s">
        <v>2045</v>
      </c>
      <c r="HS5" s="3862" t="s">
        <v>1386</v>
      </c>
      <c r="HT5" s="3862" t="s">
        <v>1387</v>
      </c>
      <c r="HU5" s="3862" t="s">
        <v>24</v>
      </c>
      <c r="HV5" s="3862" t="s">
        <v>25</v>
      </c>
      <c r="HW5" s="3862" t="s">
        <v>26</v>
      </c>
      <c r="HX5" s="3862" t="s">
        <v>27</v>
      </c>
      <c r="HY5" s="3862"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2" t="s">
        <v>1519</v>
      </c>
      <c r="LH5" s="3862" t="s">
        <v>2322</v>
      </c>
      <c r="LI5" s="3862" t="s">
        <v>2323</v>
      </c>
      <c r="LJ5" s="3862" t="s">
        <v>364</v>
      </c>
      <c r="LK5" s="3862" t="s">
        <v>365</v>
      </c>
      <c r="LL5" s="3862" t="s">
        <v>366</v>
      </c>
      <c r="LM5" s="3862" t="s">
        <v>367</v>
      </c>
      <c r="LN5" s="3862" t="s">
        <v>368</v>
      </c>
      <c r="LO5" s="3862" t="s">
        <v>369</v>
      </c>
      <c r="LP5" s="3862" t="s">
        <v>370</v>
      </c>
      <c r="LQ5" s="3862" t="s">
        <v>195</v>
      </c>
      <c r="LR5" s="3862" t="s">
        <v>196</v>
      </c>
      <c r="LS5" s="3862" t="s">
        <v>197</v>
      </c>
      <c r="LT5" s="3862" t="s">
        <v>198</v>
      </c>
      <c r="LU5" s="3862" t="s">
        <v>199</v>
      </c>
      <c r="LV5" s="3862" t="s">
        <v>200</v>
      </c>
      <c r="LW5" s="3862" t="s">
        <v>201</v>
      </c>
      <c r="LX5" s="3862" t="s">
        <v>202</v>
      </c>
      <c r="LY5" s="3862" t="s">
        <v>203</v>
      </c>
      <c r="LZ5" s="3862" t="s">
        <v>204</v>
      </c>
      <c r="MA5" s="3862" t="s">
        <v>205</v>
      </c>
      <c r="MB5" s="3862" t="s">
        <v>206</v>
      </c>
      <c r="MC5" s="3862" t="s">
        <v>207</v>
      </c>
      <c r="MD5" s="3862" t="s">
        <v>208</v>
      </c>
      <c r="ME5" s="3862" t="s">
        <v>209</v>
      </c>
      <c r="MF5" s="3862"/>
      <c r="MG5" s="3862"/>
      <c r="MH5" s="3862"/>
      <c r="MI5" s="3862"/>
      <c r="MJ5" s="3862"/>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3" t="str">
        <f>IF(A49&gt;0,"Finish Row!","")</f>
        <v>Finish Row!</v>
      </c>
      <c r="B6" s="177" t="s">
        <v>6099</v>
      </c>
      <c r="D6" s="1929"/>
      <c r="E6" s="1929"/>
      <c r="F6" s="1929"/>
      <c r="G6" s="1530" t="s">
        <v>194</v>
      </c>
      <c r="H6" s="3977" t="s">
        <v>6101</v>
      </c>
      <c r="I6" s="3978"/>
      <c r="J6" s="3978"/>
      <c r="K6" s="1054" t="s">
        <v>3138</v>
      </c>
      <c r="L6" s="3864" t="str">
        <f>'Part I-Project Identification'!$A$6</f>
        <v>May 12 2022 Core Application</v>
      </c>
      <c r="M6" s="3864"/>
      <c r="N6" s="3864"/>
      <c r="O6" s="2257" t="s">
        <v>6081</v>
      </c>
      <c r="P6" s="1915">
        <v>86200</v>
      </c>
      <c r="Q6" s="3930"/>
      <c r="R6" s="1053"/>
      <c r="S6" s="94"/>
      <c r="U6" s="94"/>
      <c r="X6" s="3862"/>
      <c r="Y6" s="3862"/>
      <c r="Z6" s="3862"/>
      <c r="AA6" s="3862"/>
      <c r="AB6" s="3862"/>
      <c r="AC6" s="3862"/>
      <c r="AD6" s="3862"/>
      <c r="AE6" s="3862"/>
      <c r="AF6" s="3862"/>
      <c r="AG6" s="3862"/>
      <c r="AH6" s="3862"/>
      <c r="AI6" s="3862"/>
      <c r="AJ6" s="3862"/>
      <c r="AK6" s="3862"/>
      <c r="AL6" s="3862"/>
      <c r="AM6" s="3862"/>
      <c r="AN6" s="3862"/>
      <c r="AO6" s="3862"/>
      <c r="AP6" s="3862"/>
      <c r="AQ6" s="3862"/>
      <c r="AR6" s="3862"/>
      <c r="AS6" s="3862"/>
      <c r="AT6" s="3862"/>
      <c r="AU6" s="3862"/>
      <c r="AV6" s="3862"/>
      <c r="AW6" s="3862"/>
      <c r="AX6" s="3862"/>
      <c r="AY6" s="3862"/>
      <c r="AZ6" s="3862"/>
      <c r="BA6" s="3862"/>
      <c r="BB6" s="3862"/>
      <c r="BC6" s="3862"/>
      <c r="BD6" s="3862"/>
      <c r="BE6" s="3862"/>
      <c r="BF6" s="3862"/>
      <c r="BG6" s="3862"/>
      <c r="BH6" s="3862"/>
      <c r="BI6" s="3862"/>
      <c r="BJ6" s="3862"/>
      <c r="BK6" s="3862"/>
      <c r="BL6" s="3862"/>
      <c r="BM6" s="3862"/>
      <c r="BN6" s="3862"/>
      <c r="BO6" s="3862"/>
      <c r="BP6" s="3862"/>
      <c r="BQ6" s="3862"/>
      <c r="BR6" s="3862"/>
      <c r="BS6" s="3862"/>
      <c r="BT6" s="3862"/>
      <c r="BU6" s="3862"/>
      <c r="BV6" s="3862"/>
      <c r="BW6" s="3862"/>
      <c r="BX6" s="3862"/>
      <c r="BY6" s="3862"/>
      <c r="BZ6" s="3862"/>
      <c r="CA6" s="3862"/>
      <c r="CB6" s="3862"/>
      <c r="CC6" s="3862"/>
      <c r="CD6" s="3862"/>
      <c r="CE6" s="3862"/>
      <c r="CF6" s="3862"/>
      <c r="CG6" s="3862"/>
      <c r="CH6" s="3862"/>
      <c r="CI6" s="3862"/>
      <c r="CJ6" s="3862"/>
      <c r="CK6" s="3862"/>
      <c r="CL6" s="3862"/>
      <c r="CM6" s="3862"/>
      <c r="CN6" s="3862"/>
      <c r="CO6" s="3862"/>
      <c r="CP6" s="3862"/>
      <c r="CQ6" s="3862"/>
      <c r="CR6" s="3862"/>
      <c r="CS6" s="3862"/>
      <c r="CT6" s="3862"/>
      <c r="CU6" s="3862"/>
      <c r="CV6" s="3862"/>
      <c r="CW6" s="3862"/>
      <c r="CX6" s="3862"/>
      <c r="CY6" s="3862"/>
      <c r="CZ6" s="3862"/>
      <c r="DA6" s="3862"/>
      <c r="DB6" s="3862"/>
      <c r="DC6" s="3862"/>
      <c r="DD6" s="3862"/>
      <c r="DE6" s="3862"/>
      <c r="DF6" s="3862"/>
      <c r="DG6" s="3862"/>
      <c r="DH6" s="3862"/>
      <c r="DI6" s="3862"/>
      <c r="DJ6" s="3862"/>
      <c r="DK6" s="3862"/>
      <c r="DL6" s="3862"/>
      <c r="DM6" s="3862"/>
      <c r="DN6" s="3862"/>
      <c r="DO6" s="3862"/>
      <c r="DP6" s="3862"/>
      <c r="DQ6" s="3862"/>
      <c r="DR6" s="3862"/>
      <c r="DS6" s="3862"/>
      <c r="DT6" s="3862"/>
      <c r="DU6" s="3862"/>
      <c r="DV6" s="3862"/>
      <c r="DW6" s="3862"/>
      <c r="DX6" s="3862"/>
      <c r="DY6" s="3862"/>
      <c r="DZ6" s="3862"/>
      <c r="EA6" s="3862"/>
      <c r="EB6" s="3862"/>
      <c r="EC6" s="3862"/>
      <c r="ED6" s="3862"/>
      <c r="EE6" s="3862"/>
      <c r="EF6" s="3862"/>
      <c r="EG6" s="3862"/>
      <c r="EH6" s="3862"/>
      <c r="EI6" s="3862"/>
      <c r="EJ6" s="3862"/>
      <c r="EK6" s="3862"/>
      <c r="EL6" s="3862"/>
      <c r="EM6" s="3862"/>
      <c r="EN6" s="3862"/>
      <c r="EO6" s="3862"/>
      <c r="EP6" s="3862"/>
      <c r="EQ6" s="3862"/>
      <c r="ER6" s="3862"/>
      <c r="ES6" s="3862"/>
      <c r="ET6" s="3862"/>
      <c r="EU6" s="3862"/>
      <c r="EV6" s="3862"/>
      <c r="EW6" s="3862"/>
      <c r="EX6" s="3862"/>
      <c r="EY6" s="3862"/>
      <c r="EZ6" s="3862"/>
      <c r="FA6" s="3862"/>
      <c r="FB6" s="3862"/>
      <c r="FC6" s="3862"/>
      <c r="FD6" s="3862"/>
      <c r="FE6" s="3862"/>
      <c r="FF6" s="3862"/>
      <c r="FG6" s="3862"/>
      <c r="FH6" s="3862"/>
      <c r="FI6" s="3862"/>
      <c r="FJ6" s="3862"/>
      <c r="FK6" s="3862"/>
      <c r="FL6" s="3862"/>
      <c r="FM6" s="3862"/>
      <c r="FN6" s="3862"/>
      <c r="FO6" s="3862"/>
      <c r="FP6" s="3862"/>
      <c r="FQ6" s="3862"/>
      <c r="FR6" s="3862"/>
      <c r="FS6" s="3862"/>
      <c r="FT6" s="3862"/>
      <c r="FU6" s="3862"/>
      <c r="FV6" s="3862"/>
      <c r="FW6" s="3862"/>
      <c r="FX6" s="3862"/>
      <c r="FY6" s="3862"/>
      <c r="FZ6" s="3862"/>
      <c r="GA6" s="3862"/>
      <c r="GB6" s="3862"/>
      <c r="GC6" s="3862"/>
      <c r="GD6" s="3862"/>
      <c r="GE6" s="3862"/>
      <c r="GF6" s="3862"/>
      <c r="GG6" s="3862"/>
      <c r="GH6" s="3862"/>
      <c r="GI6" s="3862"/>
      <c r="GJ6" s="3862"/>
      <c r="GK6" s="3862"/>
      <c r="GL6" s="3862"/>
      <c r="GM6" s="3862"/>
      <c r="GN6" s="3862"/>
      <c r="GO6" s="3862"/>
      <c r="GP6" s="3862"/>
      <c r="GQ6" s="3862"/>
      <c r="GR6" s="3862"/>
      <c r="GS6" s="3862"/>
      <c r="GT6" s="3862"/>
      <c r="GU6" s="3862"/>
      <c r="GV6" s="3862"/>
      <c r="GW6" s="3862"/>
      <c r="GX6" s="3862"/>
      <c r="GY6" s="3862"/>
      <c r="GZ6" s="3862"/>
      <c r="HA6" s="3862"/>
      <c r="HB6" s="3862"/>
      <c r="HC6" s="3862"/>
      <c r="HD6" s="3862"/>
      <c r="HE6" s="3862"/>
      <c r="HF6" s="3862"/>
      <c r="HG6" s="3862"/>
      <c r="HH6" s="3862"/>
      <c r="HI6" s="3862"/>
      <c r="HJ6" s="3862"/>
      <c r="HK6" s="3862"/>
      <c r="HL6" s="3862"/>
      <c r="HM6" s="3862"/>
      <c r="HN6" s="3862"/>
      <c r="HO6" s="3862"/>
      <c r="HP6" s="3862"/>
      <c r="HQ6" s="3862"/>
      <c r="HR6" s="3862"/>
      <c r="HS6" s="3862"/>
      <c r="HT6" s="3862"/>
      <c r="HU6" s="3862"/>
      <c r="HV6" s="3862"/>
      <c r="HW6" s="3862"/>
      <c r="HX6" s="3862"/>
      <c r="HY6" s="3862"/>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2"/>
      <c r="LH6" s="3862"/>
      <c r="LI6" s="3862"/>
      <c r="LJ6" s="3862"/>
      <c r="LK6" s="3862"/>
      <c r="LL6" s="3862"/>
      <c r="LM6" s="3862"/>
      <c r="LN6" s="3862"/>
      <c r="LO6" s="3862"/>
      <c r="LP6" s="3862"/>
      <c r="LQ6" s="3862"/>
      <c r="LR6" s="3862"/>
      <c r="LS6" s="3862"/>
      <c r="LT6" s="3862"/>
      <c r="LU6" s="3862"/>
      <c r="LV6" s="3862"/>
      <c r="LW6" s="3862"/>
      <c r="LX6" s="3862"/>
      <c r="LY6" s="3862"/>
      <c r="LZ6" s="3862"/>
      <c r="MA6" s="3862"/>
      <c r="MB6" s="3862"/>
      <c r="MC6" s="3862"/>
      <c r="MD6" s="3862"/>
      <c r="ME6" s="3862"/>
      <c r="MF6" s="3862"/>
      <c r="MG6" s="3862"/>
      <c r="MH6" s="3862"/>
      <c r="MI6" s="3862"/>
      <c r="MJ6" s="3862"/>
      <c r="MK6" s="3895" t="s">
        <v>3042</v>
      </c>
      <c r="ML6" s="3895" t="s">
        <v>3043</v>
      </c>
      <c r="MM6" s="3895" t="s">
        <v>3044</v>
      </c>
      <c r="MN6" s="3895" t="s">
        <v>3045</v>
      </c>
      <c r="MO6" s="3895" t="s">
        <v>3046</v>
      </c>
      <c r="MP6" s="3862" t="s">
        <v>6288</v>
      </c>
      <c r="MQ6" s="3862" t="s">
        <v>6289</v>
      </c>
      <c r="MR6" s="3862" t="s">
        <v>6290</v>
      </c>
      <c r="MS6" s="3862" t="s">
        <v>6291</v>
      </c>
      <c r="MT6" s="3862"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3"/>
      <c r="B7" s="29" t="s">
        <v>6100</v>
      </c>
      <c r="E7" s="4"/>
      <c r="G7" s="1575" t="s">
        <v>2654</v>
      </c>
      <c r="I7" s="3888" t="s">
        <v>4075</v>
      </c>
      <c r="J7" s="1054" t="s">
        <v>742</v>
      </c>
      <c r="K7" s="1054" t="s">
        <v>3185</v>
      </c>
      <c r="L7" s="3864"/>
      <c r="M7" s="3864"/>
      <c r="N7" s="3864"/>
      <c r="O7" s="2258" t="s">
        <v>6080</v>
      </c>
      <c r="P7" s="1971">
        <v>44287</v>
      </c>
      <c r="Q7" s="3930"/>
      <c r="R7" s="3892" t="s">
        <v>2458</v>
      </c>
      <c r="S7" s="3892"/>
      <c r="X7" s="3862"/>
      <c r="Y7" s="3862"/>
      <c r="Z7" s="3862"/>
      <c r="AA7" s="3862"/>
      <c r="AB7" s="3862"/>
      <c r="AC7" s="3862"/>
      <c r="AD7" s="3862"/>
      <c r="AE7" s="3862"/>
      <c r="AF7" s="3862"/>
      <c r="AG7" s="3862"/>
      <c r="AH7" s="3862"/>
      <c r="AI7" s="3862"/>
      <c r="AJ7" s="3862"/>
      <c r="AK7" s="3862"/>
      <c r="AL7" s="3862"/>
      <c r="AM7" s="3862"/>
      <c r="AN7" s="3862"/>
      <c r="AO7" s="3862"/>
      <c r="AP7" s="3862"/>
      <c r="AQ7" s="3862"/>
      <c r="AR7" s="3862"/>
      <c r="AS7" s="3862"/>
      <c r="AT7" s="3862"/>
      <c r="AU7" s="3862"/>
      <c r="AV7" s="3862"/>
      <c r="AW7" s="3862"/>
      <c r="AX7" s="3862"/>
      <c r="AY7" s="3862"/>
      <c r="AZ7" s="3862"/>
      <c r="BA7" s="3862"/>
      <c r="BB7" s="3862"/>
      <c r="BC7" s="3862"/>
      <c r="BD7" s="3862"/>
      <c r="BE7" s="3862"/>
      <c r="BF7" s="3862"/>
      <c r="BG7" s="3862"/>
      <c r="BH7" s="3862"/>
      <c r="BI7" s="3862"/>
      <c r="BJ7" s="3862"/>
      <c r="BK7" s="3862"/>
      <c r="BL7" s="3862"/>
      <c r="BM7" s="3862"/>
      <c r="BN7" s="3862"/>
      <c r="BO7" s="3862"/>
      <c r="BP7" s="3862"/>
      <c r="BQ7" s="3862"/>
      <c r="BR7" s="3862"/>
      <c r="BS7" s="3862"/>
      <c r="BT7" s="3862"/>
      <c r="BU7" s="3862"/>
      <c r="BV7" s="3862"/>
      <c r="BW7" s="3862"/>
      <c r="BX7" s="3862"/>
      <c r="BY7" s="3862"/>
      <c r="BZ7" s="3862"/>
      <c r="CA7" s="3862"/>
      <c r="CB7" s="3862"/>
      <c r="CC7" s="3862"/>
      <c r="CD7" s="3862"/>
      <c r="CE7" s="3862"/>
      <c r="CF7" s="3862"/>
      <c r="CG7" s="3862"/>
      <c r="CH7" s="3862"/>
      <c r="CI7" s="3862"/>
      <c r="CJ7" s="3862"/>
      <c r="CK7" s="3862"/>
      <c r="CL7" s="3862"/>
      <c r="CM7" s="3862"/>
      <c r="CN7" s="3862"/>
      <c r="CO7" s="3862"/>
      <c r="CP7" s="3862"/>
      <c r="CQ7" s="3862"/>
      <c r="CR7" s="3862"/>
      <c r="CS7" s="3862"/>
      <c r="CT7" s="3862"/>
      <c r="CU7" s="3862"/>
      <c r="CV7" s="3862"/>
      <c r="CW7" s="3862"/>
      <c r="CX7" s="3862"/>
      <c r="CY7" s="3862"/>
      <c r="CZ7" s="3862"/>
      <c r="DA7" s="3862"/>
      <c r="DB7" s="3862"/>
      <c r="DC7" s="3862"/>
      <c r="DD7" s="3862"/>
      <c r="DE7" s="3862"/>
      <c r="DF7" s="3862"/>
      <c r="DG7" s="3862"/>
      <c r="DH7" s="3862"/>
      <c r="DI7" s="3862"/>
      <c r="DJ7" s="3862"/>
      <c r="DK7" s="3862"/>
      <c r="DL7" s="3862"/>
      <c r="DM7" s="3862"/>
      <c r="DN7" s="3862"/>
      <c r="DO7" s="3862"/>
      <c r="DP7" s="3862"/>
      <c r="DQ7" s="3862"/>
      <c r="DR7" s="3862"/>
      <c r="DS7" s="3862"/>
      <c r="DT7" s="3862"/>
      <c r="DU7" s="3862"/>
      <c r="DV7" s="3862"/>
      <c r="DW7" s="3862"/>
      <c r="DX7" s="3862"/>
      <c r="DY7" s="3862"/>
      <c r="DZ7" s="3862"/>
      <c r="EA7" s="3862"/>
      <c r="EB7" s="3862"/>
      <c r="EC7" s="3862"/>
      <c r="ED7" s="3862"/>
      <c r="EE7" s="3862"/>
      <c r="EF7" s="3862"/>
      <c r="EG7" s="3862"/>
      <c r="EH7" s="3862"/>
      <c r="EI7" s="3862"/>
      <c r="EJ7" s="3862"/>
      <c r="EK7" s="3862"/>
      <c r="EL7" s="3862"/>
      <c r="EM7" s="3862"/>
      <c r="EN7" s="3862"/>
      <c r="EO7" s="3862"/>
      <c r="EP7" s="3862"/>
      <c r="EQ7" s="3862"/>
      <c r="ER7" s="3862"/>
      <c r="ES7" s="3862"/>
      <c r="ET7" s="3862"/>
      <c r="EU7" s="3862"/>
      <c r="EV7" s="3862"/>
      <c r="EW7" s="3862"/>
      <c r="EX7" s="3862"/>
      <c r="EY7" s="3862"/>
      <c r="EZ7" s="3862"/>
      <c r="FA7" s="3862"/>
      <c r="FB7" s="3862"/>
      <c r="FC7" s="3862"/>
      <c r="FD7" s="3862"/>
      <c r="FE7" s="3862"/>
      <c r="FF7" s="3862"/>
      <c r="FG7" s="3862"/>
      <c r="FH7" s="3862"/>
      <c r="FI7" s="3862"/>
      <c r="FJ7" s="3862"/>
      <c r="FK7" s="3862"/>
      <c r="FL7" s="3862"/>
      <c r="FM7" s="3862"/>
      <c r="FN7" s="3862"/>
      <c r="FO7" s="3862"/>
      <c r="FP7" s="3862"/>
      <c r="FQ7" s="3862"/>
      <c r="FR7" s="3862"/>
      <c r="FS7" s="3862"/>
      <c r="FT7" s="3862"/>
      <c r="FU7" s="3862"/>
      <c r="FV7" s="3862"/>
      <c r="FW7" s="3862"/>
      <c r="FX7" s="3862"/>
      <c r="FY7" s="3862"/>
      <c r="FZ7" s="3862"/>
      <c r="GA7" s="3862"/>
      <c r="GB7" s="3862"/>
      <c r="GC7" s="3862"/>
      <c r="GD7" s="3862"/>
      <c r="GE7" s="3862"/>
      <c r="GF7" s="3862"/>
      <c r="GG7" s="3862"/>
      <c r="GH7" s="3862"/>
      <c r="GI7" s="3862"/>
      <c r="GJ7" s="3862"/>
      <c r="GK7" s="3862"/>
      <c r="GL7" s="3862"/>
      <c r="GM7" s="3862"/>
      <c r="GN7" s="3862"/>
      <c r="GO7" s="3862"/>
      <c r="GP7" s="3862"/>
      <c r="GQ7" s="3862"/>
      <c r="GR7" s="3862"/>
      <c r="GS7" s="3862"/>
      <c r="GT7" s="3862"/>
      <c r="GU7" s="3862"/>
      <c r="GV7" s="3862"/>
      <c r="GW7" s="3862"/>
      <c r="GX7" s="3862"/>
      <c r="GY7" s="3862"/>
      <c r="GZ7" s="3862"/>
      <c r="HA7" s="3862"/>
      <c r="HB7" s="3862"/>
      <c r="HC7" s="3862"/>
      <c r="HD7" s="3862"/>
      <c r="HE7" s="3862"/>
      <c r="HF7" s="3862"/>
      <c r="HG7" s="3862"/>
      <c r="HH7" s="3862"/>
      <c r="HI7" s="3862"/>
      <c r="HJ7" s="3862"/>
      <c r="HK7" s="3862"/>
      <c r="HL7" s="3862"/>
      <c r="HM7" s="3862"/>
      <c r="HN7" s="3862"/>
      <c r="HO7" s="3862"/>
      <c r="HP7" s="3862"/>
      <c r="HQ7" s="3862"/>
      <c r="HR7" s="3862"/>
      <c r="HS7" s="3862"/>
      <c r="HT7" s="3862"/>
      <c r="HU7" s="3862"/>
      <c r="HV7" s="3862"/>
      <c r="HW7" s="3862"/>
      <c r="HX7" s="3862"/>
      <c r="HY7" s="3862"/>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2"/>
      <c r="LH7" s="3862"/>
      <c r="LI7" s="3862"/>
      <c r="LJ7" s="3862"/>
      <c r="LK7" s="3862"/>
      <c r="LL7" s="3862"/>
      <c r="LM7" s="3862"/>
      <c r="LN7" s="3862"/>
      <c r="LO7" s="3862"/>
      <c r="LP7" s="3862"/>
      <c r="LQ7" s="3862"/>
      <c r="LR7" s="3862"/>
      <c r="LS7" s="3862"/>
      <c r="LT7" s="3862"/>
      <c r="LU7" s="3862"/>
      <c r="LV7" s="3862"/>
      <c r="LW7" s="3862"/>
      <c r="LX7" s="3862"/>
      <c r="LY7" s="3862"/>
      <c r="LZ7" s="3862"/>
      <c r="MA7" s="3862"/>
      <c r="MB7" s="3862"/>
      <c r="MC7" s="3862"/>
      <c r="MD7" s="3862"/>
      <c r="ME7" s="3862"/>
      <c r="MF7" s="3862"/>
      <c r="MG7" s="3862"/>
      <c r="MH7" s="3862"/>
      <c r="MI7" s="3862"/>
      <c r="MJ7" s="3862"/>
      <c r="MK7" s="3895"/>
      <c r="ML7" s="3895"/>
      <c r="MM7" s="3895"/>
      <c r="MN7" s="3895"/>
      <c r="MO7" s="3895"/>
      <c r="MP7" s="3862"/>
      <c r="MQ7" s="3862"/>
      <c r="MR7" s="3862"/>
      <c r="MS7" s="3862"/>
      <c r="MT7" s="3862"/>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3"/>
      <c r="B8" s="1055" t="s">
        <v>3766</v>
      </c>
      <c r="C8" s="1"/>
      <c r="E8" s="1"/>
      <c r="F8" s="1"/>
      <c r="I8" s="3888"/>
      <c r="J8" s="1054" t="s">
        <v>743</v>
      </c>
      <c r="K8" s="1054" t="s">
        <v>3186</v>
      </c>
      <c r="L8" s="850"/>
      <c r="M8" s="850"/>
      <c r="N8" s="2256" t="s">
        <v>6486</v>
      </c>
      <c r="O8" s="3890" t="s">
        <v>7024</v>
      </c>
      <c r="P8" s="3891"/>
      <c r="Q8" s="3930"/>
      <c r="R8" s="851"/>
      <c r="S8" s="855" t="s">
        <v>2455</v>
      </c>
      <c r="T8" s="443"/>
      <c r="W8" s="444"/>
      <c r="X8" s="3862"/>
      <c r="Y8" s="3862"/>
      <c r="Z8" s="3862"/>
      <c r="AA8" s="3862"/>
      <c r="AB8" s="3862"/>
      <c r="AC8" s="3862"/>
      <c r="AD8" s="3862"/>
      <c r="AE8" s="3862"/>
      <c r="AF8" s="3862"/>
      <c r="AG8" s="3862"/>
      <c r="AH8" s="3862"/>
      <c r="AI8" s="3862"/>
      <c r="AJ8" s="3862"/>
      <c r="AK8" s="3862"/>
      <c r="AL8" s="3862"/>
      <c r="AM8" s="3862"/>
      <c r="AN8" s="3862"/>
      <c r="AO8" s="3862"/>
      <c r="AP8" s="3862"/>
      <c r="AQ8" s="3862"/>
      <c r="AR8" s="3862"/>
      <c r="AS8" s="3862"/>
      <c r="AT8" s="3862"/>
      <c r="AU8" s="3862"/>
      <c r="AV8" s="3862"/>
      <c r="AW8" s="3862"/>
      <c r="AX8" s="3862"/>
      <c r="AY8" s="3862"/>
      <c r="AZ8" s="3862"/>
      <c r="BA8" s="3862"/>
      <c r="BB8" s="3862"/>
      <c r="BC8" s="3862"/>
      <c r="BD8" s="3862"/>
      <c r="BE8" s="3862"/>
      <c r="BF8" s="3862"/>
      <c r="BG8" s="3862"/>
      <c r="BH8" s="3862"/>
      <c r="BI8" s="3862"/>
      <c r="BJ8" s="3862"/>
      <c r="BK8" s="3862"/>
      <c r="BL8" s="3862"/>
      <c r="BM8" s="3862"/>
      <c r="BN8" s="3862"/>
      <c r="BO8" s="3862"/>
      <c r="BP8" s="3862"/>
      <c r="BQ8" s="3862"/>
      <c r="BR8" s="3862"/>
      <c r="BS8" s="3862"/>
      <c r="BT8" s="3862"/>
      <c r="BU8" s="3862"/>
      <c r="BV8" s="3862"/>
      <c r="BW8" s="3862"/>
      <c r="BX8" s="3862"/>
      <c r="BY8" s="3862"/>
      <c r="BZ8" s="3862"/>
      <c r="CA8" s="3862"/>
      <c r="CB8" s="3862"/>
      <c r="CC8" s="3862"/>
      <c r="CD8" s="3862"/>
      <c r="CE8" s="3862"/>
      <c r="CF8" s="3862"/>
      <c r="CG8" s="3862"/>
      <c r="CH8" s="3862"/>
      <c r="CI8" s="3862"/>
      <c r="CJ8" s="3862"/>
      <c r="CK8" s="3862"/>
      <c r="CL8" s="3862"/>
      <c r="CM8" s="3862"/>
      <c r="CN8" s="3862"/>
      <c r="CO8" s="3862"/>
      <c r="CP8" s="3862"/>
      <c r="CQ8" s="3862"/>
      <c r="CR8" s="3862"/>
      <c r="CS8" s="3862"/>
      <c r="CT8" s="3862"/>
      <c r="CU8" s="3862"/>
      <c r="CV8" s="3862"/>
      <c r="CW8" s="3862"/>
      <c r="CX8" s="3862"/>
      <c r="CY8" s="3862"/>
      <c r="CZ8" s="3862"/>
      <c r="DA8" s="3862"/>
      <c r="DB8" s="3862"/>
      <c r="DC8" s="3862"/>
      <c r="DD8" s="3862"/>
      <c r="DE8" s="3862"/>
      <c r="DF8" s="3862"/>
      <c r="DG8" s="3862"/>
      <c r="DH8" s="3862"/>
      <c r="DI8" s="3862"/>
      <c r="DJ8" s="3862"/>
      <c r="DK8" s="3862"/>
      <c r="DL8" s="3862"/>
      <c r="DM8" s="3862"/>
      <c r="DN8" s="3862"/>
      <c r="DO8" s="3862"/>
      <c r="DP8" s="3862"/>
      <c r="DQ8" s="3862"/>
      <c r="DR8" s="3862"/>
      <c r="DS8" s="3862"/>
      <c r="DT8" s="3862"/>
      <c r="DU8" s="3862"/>
      <c r="DV8" s="3862"/>
      <c r="DW8" s="3862"/>
      <c r="DX8" s="3862"/>
      <c r="DY8" s="3862"/>
      <c r="DZ8" s="3862"/>
      <c r="EA8" s="3862"/>
      <c r="EB8" s="3862"/>
      <c r="EC8" s="3862"/>
      <c r="ED8" s="3862"/>
      <c r="EE8" s="3862"/>
      <c r="EF8" s="3862"/>
      <c r="EG8" s="3862"/>
      <c r="EH8" s="3862"/>
      <c r="EI8" s="3862"/>
      <c r="EJ8" s="3862"/>
      <c r="EK8" s="3862"/>
      <c r="EL8" s="3862"/>
      <c r="EM8" s="3862"/>
      <c r="EN8" s="3862"/>
      <c r="EO8" s="3862"/>
      <c r="EP8" s="3862"/>
      <c r="EQ8" s="3862"/>
      <c r="ER8" s="3862"/>
      <c r="ES8" s="3862"/>
      <c r="ET8" s="3862"/>
      <c r="EU8" s="3862"/>
      <c r="EV8" s="3862"/>
      <c r="EW8" s="3862"/>
      <c r="EX8" s="3862"/>
      <c r="EY8" s="3862"/>
      <c r="EZ8" s="3862"/>
      <c r="FA8" s="3862"/>
      <c r="FB8" s="3862"/>
      <c r="FC8" s="3862"/>
      <c r="FD8" s="3862"/>
      <c r="FE8" s="3862"/>
      <c r="FF8" s="3862"/>
      <c r="FG8" s="3862"/>
      <c r="FH8" s="3862"/>
      <c r="FI8" s="3862"/>
      <c r="FJ8" s="3862"/>
      <c r="FK8" s="3862"/>
      <c r="FL8" s="3862"/>
      <c r="FM8" s="3862"/>
      <c r="FN8" s="3862"/>
      <c r="FO8" s="3862"/>
      <c r="FP8" s="3862"/>
      <c r="FQ8" s="3862"/>
      <c r="FR8" s="3862"/>
      <c r="FS8" s="3862"/>
      <c r="FT8" s="3862"/>
      <c r="FU8" s="3862"/>
      <c r="FV8" s="3862"/>
      <c r="FW8" s="3862"/>
      <c r="FX8" s="3862"/>
      <c r="FY8" s="3862"/>
      <c r="FZ8" s="3862"/>
      <c r="GA8" s="3862"/>
      <c r="GB8" s="3862"/>
      <c r="GC8" s="3862"/>
      <c r="GD8" s="3862"/>
      <c r="GE8" s="3862"/>
      <c r="GF8" s="3862"/>
      <c r="GG8" s="3862"/>
      <c r="GH8" s="3862"/>
      <c r="GI8" s="3862"/>
      <c r="GJ8" s="3862"/>
      <c r="GK8" s="3862"/>
      <c r="GL8" s="3862"/>
      <c r="GM8" s="3862"/>
      <c r="GN8" s="3862"/>
      <c r="GO8" s="3862"/>
      <c r="GP8" s="3862"/>
      <c r="GQ8" s="3862"/>
      <c r="GR8" s="3862"/>
      <c r="GS8" s="3862"/>
      <c r="GT8" s="3862"/>
      <c r="GU8" s="3862"/>
      <c r="GV8" s="3862"/>
      <c r="GW8" s="3862"/>
      <c r="GX8" s="3862"/>
      <c r="GY8" s="3862"/>
      <c r="GZ8" s="3862"/>
      <c r="HA8" s="3862"/>
      <c r="HB8" s="3862"/>
      <c r="HC8" s="3862"/>
      <c r="HD8" s="3862"/>
      <c r="HE8" s="3862"/>
      <c r="HF8" s="3862"/>
      <c r="HG8" s="3862"/>
      <c r="HH8" s="3862"/>
      <c r="HI8" s="3862"/>
      <c r="HJ8" s="3862"/>
      <c r="HK8" s="3862"/>
      <c r="HL8" s="3862"/>
      <c r="HM8" s="3862"/>
      <c r="HN8" s="3862"/>
      <c r="HO8" s="3862"/>
      <c r="HP8" s="3862"/>
      <c r="HQ8" s="3862"/>
      <c r="HR8" s="3862"/>
      <c r="HS8" s="3862"/>
      <c r="HT8" s="3862"/>
      <c r="HU8" s="3862"/>
      <c r="HV8" s="3862"/>
      <c r="HW8" s="3862"/>
      <c r="HX8" s="3862"/>
      <c r="HY8" s="3862"/>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2"/>
      <c r="LH8" s="3862"/>
      <c r="LI8" s="3862"/>
      <c r="LJ8" s="3862"/>
      <c r="LK8" s="3862"/>
      <c r="LL8" s="3862"/>
      <c r="LM8" s="3862"/>
      <c r="LN8" s="3862"/>
      <c r="LO8" s="3862"/>
      <c r="LP8" s="3862"/>
      <c r="LQ8" s="3862"/>
      <c r="LR8" s="3862"/>
      <c r="LS8" s="3862"/>
      <c r="LT8" s="3862"/>
      <c r="LU8" s="3862"/>
      <c r="LV8" s="3862"/>
      <c r="LW8" s="3862"/>
      <c r="LX8" s="3862"/>
      <c r="LY8" s="3862"/>
      <c r="LZ8" s="3862"/>
      <c r="MA8" s="3862"/>
      <c r="MB8" s="3862"/>
      <c r="MC8" s="3862"/>
      <c r="MD8" s="3862"/>
      <c r="ME8" s="3862"/>
      <c r="MF8" s="3862"/>
      <c r="MG8" s="3862"/>
      <c r="MH8" s="3862"/>
      <c r="MI8" s="3862"/>
      <c r="MJ8" s="3862"/>
      <c r="MK8" s="3895"/>
      <c r="ML8" s="3895"/>
      <c r="MM8" s="3895"/>
      <c r="MN8" s="3895"/>
      <c r="MO8" s="3895"/>
      <c r="MP8" s="3862"/>
      <c r="MQ8" s="3862"/>
      <c r="MR8" s="3862"/>
      <c r="MS8" s="3862"/>
      <c r="MT8" s="3862"/>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3"/>
      <c r="B9" s="1414" t="s">
        <v>3767</v>
      </c>
      <c r="C9" s="1054" t="s">
        <v>165</v>
      </c>
      <c r="D9" s="1054" t="s">
        <v>510</v>
      </c>
      <c r="E9" s="1054" t="s">
        <v>1383</v>
      </c>
      <c r="F9" s="1054" t="s">
        <v>1383</v>
      </c>
      <c r="G9" s="3888" t="s">
        <v>6096</v>
      </c>
      <c r="H9" s="1928" t="s">
        <v>3304</v>
      </c>
      <c r="I9" s="3888"/>
      <c r="J9" s="3884" t="s">
        <v>6090</v>
      </c>
      <c r="K9" s="1054" t="s">
        <v>2218</v>
      </c>
      <c r="L9" s="3893" t="s">
        <v>139</v>
      </c>
      <c r="M9" s="3894"/>
      <c r="N9" s="1054" t="s">
        <v>2185</v>
      </c>
      <c r="O9" s="1054" t="s">
        <v>6489</v>
      </c>
      <c r="P9" s="3886" t="s">
        <v>6252</v>
      </c>
      <c r="Q9" s="3930"/>
      <c r="R9" s="1054" t="s">
        <v>2454</v>
      </c>
      <c r="S9" s="1054" t="s">
        <v>2456</v>
      </c>
      <c r="T9" s="445"/>
      <c r="W9" s="446"/>
      <c r="X9" s="3862"/>
      <c r="Y9" s="3862"/>
      <c r="Z9" s="3862"/>
      <c r="AA9" s="3862"/>
      <c r="AB9" s="3862"/>
      <c r="AC9" s="3862"/>
      <c r="AD9" s="3862"/>
      <c r="AE9" s="3862"/>
      <c r="AF9" s="3862"/>
      <c r="AG9" s="3862"/>
      <c r="AH9" s="3862"/>
      <c r="AI9" s="3862"/>
      <c r="AJ9" s="3862"/>
      <c r="AK9" s="3862"/>
      <c r="AL9" s="3862"/>
      <c r="AM9" s="3862"/>
      <c r="AN9" s="3862"/>
      <c r="AO9" s="3862"/>
      <c r="AP9" s="3862"/>
      <c r="AQ9" s="3862"/>
      <c r="AR9" s="3862"/>
      <c r="AS9" s="3862"/>
      <c r="AT9" s="3862"/>
      <c r="AU9" s="3862"/>
      <c r="AV9" s="3862"/>
      <c r="AW9" s="3862"/>
      <c r="AX9" s="3862"/>
      <c r="AY9" s="3862"/>
      <c r="AZ9" s="3862"/>
      <c r="BA9" s="3862"/>
      <c r="BB9" s="3862"/>
      <c r="BC9" s="3862"/>
      <c r="BD9" s="3862"/>
      <c r="BE9" s="3862"/>
      <c r="BF9" s="3862"/>
      <c r="BG9" s="3862"/>
      <c r="BH9" s="3862"/>
      <c r="BI9" s="3862"/>
      <c r="BJ9" s="3862"/>
      <c r="BK9" s="3862"/>
      <c r="BL9" s="3862"/>
      <c r="BM9" s="3862"/>
      <c r="BN9" s="3862"/>
      <c r="BO9" s="3862"/>
      <c r="BP9" s="3862"/>
      <c r="BQ9" s="3862"/>
      <c r="BR9" s="3862"/>
      <c r="BS9" s="3862"/>
      <c r="BT9" s="3862"/>
      <c r="BU9" s="3862"/>
      <c r="BV9" s="3862"/>
      <c r="BW9" s="3862"/>
      <c r="BX9" s="3862"/>
      <c r="BY9" s="3862"/>
      <c r="BZ9" s="3862"/>
      <c r="CA9" s="3862"/>
      <c r="CB9" s="3862"/>
      <c r="CC9" s="3862"/>
      <c r="CD9" s="3862"/>
      <c r="CE9" s="3862"/>
      <c r="CF9" s="3862"/>
      <c r="CG9" s="3862"/>
      <c r="CH9" s="3862"/>
      <c r="CI9" s="3862"/>
      <c r="CJ9" s="3862"/>
      <c r="CK9" s="3862"/>
      <c r="CL9" s="3862"/>
      <c r="CM9" s="3862"/>
      <c r="CN9" s="3862"/>
      <c r="CO9" s="3862"/>
      <c r="CP9" s="3862"/>
      <c r="CQ9" s="3862"/>
      <c r="CR9" s="3862"/>
      <c r="CS9" s="3862"/>
      <c r="CT9" s="3862"/>
      <c r="CU9" s="3862"/>
      <c r="CV9" s="3862"/>
      <c r="CW9" s="3862"/>
      <c r="CX9" s="3862"/>
      <c r="CY9" s="3862"/>
      <c r="CZ9" s="3862"/>
      <c r="DA9" s="3862"/>
      <c r="DB9" s="3862"/>
      <c r="DC9" s="3862"/>
      <c r="DD9" s="3862"/>
      <c r="DE9" s="3862"/>
      <c r="DF9" s="3862"/>
      <c r="DG9" s="3862"/>
      <c r="DH9" s="3862"/>
      <c r="DI9" s="3862"/>
      <c r="DJ9" s="3862"/>
      <c r="DK9" s="3862"/>
      <c r="DL9" s="3862"/>
      <c r="DM9" s="3862"/>
      <c r="DN9" s="3862"/>
      <c r="DO9" s="3862"/>
      <c r="DP9" s="3862"/>
      <c r="DQ9" s="3862"/>
      <c r="DR9" s="3862"/>
      <c r="DS9" s="3862"/>
      <c r="DT9" s="3862"/>
      <c r="DU9" s="3862"/>
      <c r="DV9" s="3862"/>
      <c r="DW9" s="3862"/>
      <c r="DX9" s="3862"/>
      <c r="DY9" s="3862"/>
      <c r="DZ9" s="3862"/>
      <c r="EA9" s="3862"/>
      <c r="EB9" s="3862"/>
      <c r="EC9" s="3862"/>
      <c r="ED9" s="3862"/>
      <c r="EE9" s="3862"/>
      <c r="EF9" s="3862"/>
      <c r="EG9" s="3862"/>
      <c r="EH9" s="3862"/>
      <c r="EI9" s="3862"/>
      <c r="EJ9" s="3862"/>
      <c r="EK9" s="3862"/>
      <c r="EL9" s="3862"/>
      <c r="EM9" s="3862"/>
      <c r="EN9" s="3862"/>
      <c r="EO9" s="3862"/>
      <c r="EP9" s="3862"/>
      <c r="EQ9" s="3862"/>
      <c r="ER9" s="3862"/>
      <c r="ES9" s="3862"/>
      <c r="ET9" s="3862"/>
      <c r="EU9" s="3862"/>
      <c r="EV9" s="3862"/>
      <c r="EW9" s="3862"/>
      <c r="EX9" s="3862"/>
      <c r="EY9" s="3862"/>
      <c r="EZ9" s="3862"/>
      <c r="FA9" s="3862"/>
      <c r="FB9" s="3862"/>
      <c r="FC9" s="3862"/>
      <c r="FD9" s="3862"/>
      <c r="FE9" s="3862"/>
      <c r="FF9" s="3862"/>
      <c r="FG9" s="3862"/>
      <c r="FH9" s="3862"/>
      <c r="FI9" s="3862"/>
      <c r="FJ9" s="3862"/>
      <c r="FK9" s="3862"/>
      <c r="FL9" s="3862"/>
      <c r="FM9" s="3862"/>
      <c r="FN9" s="3862"/>
      <c r="FO9" s="3862"/>
      <c r="FP9" s="3862"/>
      <c r="FQ9" s="3862"/>
      <c r="FR9" s="3862"/>
      <c r="FS9" s="3862"/>
      <c r="FT9" s="3862"/>
      <c r="FU9" s="3862"/>
      <c r="FV9" s="3862"/>
      <c r="FW9" s="3862"/>
      <c r="FX9" s="3862"/>
      <c r="FY9" s="3862"/>
      <c r="FZ9" s="3862"/>
      <c r="GA9" s="3862"/>
      <c r="GB9" s="3862"/>
      <c r="GC9" s="3862"/>
      <c r="GD9" s="3862"/>
      <c r="GE9" s="3862"/>
      <c r="GF9" s="3862"/>
      <c r="GG9" s="3862"/>
      <c r="GH9" s="3862"/>
      <c r="GI9" s="3862"/>
      <c r="GJ9" s="3862"/>
      <c r="GK9" s="3862"/>
      <c r="GL9" s="3862"/>
      <c r="GM9" s="3862"/>
      <c r="GN9" s="3862"/>
      <c r="GO9" s="3862"/>
      <c r="GP9" s="3862"/>
      <c r="GQ9" s="3862"/>
      <c r="GR9" s="3862"/>
      <c r="GS9" s="3862"/>
      <c r="GT9" s="3862"/>
      <c r="GU9" s="3862"/>
      <c r="GV9" s="3862"/>
      <c r="GW9" s="3862"/>
      <c r="GX9" s="3862"/>
      <c r="GY9" s="3862"/>
      <c r="GZ9" s="3862"/>
      <c r="HA9" s="3862"/>
      <c r="HB9" s="3862"/>
      <c r="HC9" s="3862"/>
      <c r="HD9" s="3862"/>
      <c r="HE9" s="3862"/>
      <c r="HF9" s="3862"/>
      <c r="HG9" s="3862"/>
      <c r="HH9" s="3862"/>
      <c r="HI9" s="3862"/>
      <c r="HJ9" s="3862"/>
      <c r="HK9" s="3862"/>
      <c r="HL9" s="3862"/>
      <c r="HM9" s="3862"/>
      <c r="HN9" s="3862"/>
      <c r="HO9" s="3862"/>
      <c r="HP9" s="3862"/>
      <c r="HQ9" s="3862"/>
      <c r="HR9" s="3862"/>
      <c r="HS9" s="3862"/>
      <c r="HT9" s="3862"/>
      <c r="HU9" s="3862"/>
      <c r="HV9" s="3862"/>
      <c r="HW9" s="3862"/>
      <c r="HX9" s="3862"/>
      <c r="HY9" s="3862"/>
      <c r="HZ9" s="3862" t="s">
        <v>1372</v>
      </c>
      <c r="IA9" s="2517" t="s">
        <v>2246</v>
      </c>
      <c r="IB9" s="2517" t="s">
        <v>2247</v>
      </c>
      <c r="IC9" s="2517" t="s">
        <v>2248</v>
      </c>
      <c r="ID9" s="2517" t="s">
        <v>2249</v>
      </c>
      <c r="IE9" s="3862" t="s">
        <v>2300</v>
      </c>
      <c r="IF9" s="3862" t="s">
        <v>2300</v>
      </c>
      <c r="IG9" s="3862" t="s">
        <v>2300</v>
      </c>
      <c r="IH9" s="3862" t="s">
        <v>2300</v>
      </c>
      <c r="II9" s="3862" t="s">
        <v>2300</v>
      </c>
      <c r="IJ9" s="3862" t="s">
        <v>3002</v>
      </c>
      <c r="IK9" s="3862" t="s">
        <v>3002</v>
      </c>
      <c r="IL9" s="3862" t="s">
        <v>3002</v>
      </c>
      <c r="IM9" s="3862" t="s">
        <v>3002</v>
      </c>
      <c r="IN9" s="3862" t="s">
        <v>3002</v>
      </c>
      <c r="IO9" s="2517" t="s">
        <v>526</v>
      </c>
      <c r="IP9" s="2517" t="s">
        <v>2246</v>
      </c>
      <c r="IQ9" s="2517" t="s">
        <v>2247</v>
      </c>
      <c r="IR9" s="2517" t="s">
        <v>2248</v>
      </c>
      <c r="IS9" s="2517" t="s">
        <v>2249</v>
      </c>
      <c r="IT9" s="2517" t="s">
        <v>526</v>
      </c>
      <c r="IU9" s="2517" t="s">
        <v>2246</v>
      </c>
      <c r="IV9" s="2517" t="s">
        <v>2247</v>
      </c>
      <c r="IW9" s="2517" t="s">
        <v>2248</v>
      </c>
      <c r="IX9" s="2517" t="s">
        <v>2249</v>
      </c>
      <c r="IY9" s="3862" t="s">
        <v>6293</v>
      </c>
      <c r="IZ9" s="3862" t="s">
        <v>6293</v>
      </c>
      <c r="JA9" s="3862" t="s">
        <v>6293</v>
      </c>
      <c r="JB9" s="3862" t="s">
        <v>6293</v>
      </c>
      <c r="JC9" s="3862" t="s">
        <v>6293</v>
      </c>
      <c r="JD9" s="3862" t="s">
        <v>6294</v>
      </c>
      <c r="JE9" s="3862" t="s">
        <v>6294</v>
      </c>
      <c r="JF9" s="3862" t="s">
        <v>6294</v>
      </c>
      <c r="JG9" s="3862" t="s">
        <v>6294</v>
      </c>
      <c r="JH9" s="3862" t="s">
        <v>6294</v>
      </c>
      <c r="JI9" s="3862" t="s">
        <v>6296</v>
      </c>
      <c r="JJ9" s="3862" t="s">
        <v>6296</v>
      </c>
      <c r="JK9" s="3862" t="s">
        <v>6296</v>
      </c>
      <c r="JL9" s="3862" t="s">
        <v>6296</v>
      </c>
      <c r="JM9" s="3862" t="s">
        <v>6296</v>
      </c>
      <c r="JN9" s="3862" t="s">
        <v>6297</v>
      </c>
      <c r="JO9" s="3862" t="s">
        <v>6297</v>
      </c>
      <c r="JP9" s="3862" t="s">
        <v>6297</v>
      </c>
      <c r="JQ9" s="3862" t="s">
        <v>6297</v>
      </c>
      <c r="JR9" s="3862" t="s">
        <v>6297</v>
      </c>
      <c r="JS9" s="3862" t="s">
        <v>6298</v>
      </c>
      <c r="JT9" s="3862" t="s">
        <v>6298</v>
      </c>
      <c r="JU9" s="3862" t="s">
        <v>6298</v>
      </c>
      <c r="JV9" s="3862" t="s">
        <v>6298</v>
      </c>
      <c r="JW9" s="3862" t="s">
        <v>6298</v>
      </c>
      <c r="JX9" s="3862" t="s">
        <v>6490</v>
      </c>
      <c r="JY9" s="3862" t="s">
        <v>6490</v>
      </c>
      <c r="JZ9" s="3862" t="s">
        <v>6490</v>
      </c>
      <c r="KA9" s="3862" t="s">
        <v>6490</v>
      </c>
      <c r="KB9" s="3862" t="s">
        <v>6490</v>
      </c>
      <c r="KC9" s="3862" t="s">
        <v>6658</v>
      </c>
      <c r="KD9" s="3862" t="s">
        <v>6658</v>
      </c>
      <c r="KE9" s="3862" t="s">
        <v>6658</v>
      </c>
      <c r="KF9" s="3862" t="s">
        <v>6658</v>
      </c>
      <c r="KG9" s="3862" t="s">
        <v>6658</v>
      </c>
      <c r="KH9" s="3862" t="s">
        <v>6659</v>
      </c>
      <c r="KI9" s="3862" t="s">
        <v>6659</v>
      </c>
      <c r="KJ9" s="3862" t="s">
        <v>6659</v>
      </c>
      <c r="KK9" s="3862" t="s">
        <v>6659</v>
      </c>
      <c r="KL9" s="3862" t="s">
        <v>6659</v>
      </c>
      <c r="KM9" s="3862" t="s">
        <v>6300</v>
      </c>
      <c r="KN9" s="3862" t="s">
        <v>6300</v>
      </c>
      <c r="KO9" s="3862" t="s">
        <v>6300</v>
      </c>
      <c r="KP9" s="3862" t="s">
        <v>6300</v>
      </c>
      <c r="KQ9" s="3862" t="s">
        <v>6300</v>
      </c>
      <c r="KR9" s="3862" t="s">
        <v>6491</v>
      </c>
      <c r="KS9" s="3862" t="s">
        <v>6491</v>
      </c>
      <c r="KT9" s="3862" t="s">
        <v>6491</v>
      </c>
      <c r="KU9" s="3862" t="s">
        <v>6491</v>
      </c>
      <c r="KV9" s="3862" t="s">
        <v>6491</v>
      </c>
      <c r="KW9" s="3862" t="s">
        <v>6660</v>
      </c>
      <c r="KX9" s="3862" t="s">
        <v>6660</v>
      </c>
      <c r="KY9" s="3862" t="s">
        <v>6660</v>
      </c>
      <c r="KZ9" s="3862" t="s">
        <v>6660</v>
      </c>
      <c r="LA9" s="3862" t="s">
        <v>6660</v>
      </c>
      <c r="LB9" s="3862" t="s">
        <v>6661</v>
      </c>
      <c r="LC9" s="3862" t="s">
        <v>6661</v>
      </c>
      <c r="LD9" s="3862" t="s">
        <v>6661</v>
      </c>
      <c r="LE9" s="3862" t="s">
        <v>6661</v>
      </c>
      <c r="LF9" s="3862" t="s">
        <v>6661</v>
      </c>
      <c r="LG9" s="3862"/>
      <c r="LH9" s="3862"/>
      <c r="LI9" s="3862"/>
      <c r="LJ9" s="3862"/>
      <c r="LK9" s="3862"/>
      <c r="LL9" s="3862"/>
      <c r="LM9" s="3862"/>
      <c r="LN9" s="3862"/>
      <c r="LO9" s="3862"/>
      <c r="LP9" s="3862"/>
      <c r="LQ9" s="3862"/>
      <c r="LR9" s="3862"/>
      <c r="LS9" s="3862"/>
      <c r="LT9" s="3862"/>
      <c r="LU9" s="3862"/>
      <c r="LV9" s="3862"/>
      <c r="LW9" s="3862"/>
      <c r="LX9" s="3862"/>
      <c r="LY9" s="3862"/>
      <c r="LZ9" s="3862"/>
      <c r="MA9" s="3862"/>
      <c r="MB9" s="3862"/>
      <c r="MC9" s="3862"/>
      <c r="MD9" s="3862"/>
      <c r="ME9" s="3862"/>
      <c r="MF9" s="3862"/>
      <c r="MG9" s="3862"/>
      <c r="MH9" s="3862"/>
      <c r="MI9" s="3862"/>
      <c r="MJ9" s="3862"/>
      <c r="MK9" s="3895"/>
      <c r="ML9" s="3895"/>
      <c r="MM9" s="3895"/>
      <c r="MN9" s="3895"/>
      <c r="MO9" s="3895"/>
      <c r="MP9" s="3862"/>
      <c r="MQ9" s="3862"/>
      <c r="MR9" s="3862"/>
      <c r="MS9" s="3862"/>
      <c r="MT9" s="3862"/>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3"/>
      <c r="B10" s="1599" t="s">
        <v>3936</v>
      </c>
      <c r="C10" s="1054" t="s">
        <v>164</v>
      </c>
      <c r="D10" s="1054" t="s">
        <v>166</v>
      </c>
      <c r="E10" s="1054" t="s">
        <v>1384</v>
      </c>
      <c r="F10" s="1054" t="s">
        <v>1204</v>
      </c>
      <c r="G10" s="3889"/>
      <c r="H10" s="1054" t="s">
        <v>6097</v>
      </c>
      <c r="I10" s="3889"/>
      <c r="J10" s="3885"/>
      <c r="K10" s="470" t="s">
        <v>334</v>
      </c>
      <c r="L10" s="1054" t="s">
        <v>1433</v>
      </c>
      <c r="M10" s="1054" t="s">
        <v>504</v>
      </c>
      <c r="N10" s="1054" t="s">
        <v>1383</v>
      </c>
      <c r="O10" s="1054" t="s">
        <v>6503</v>
      </c>
      <c r="P10" s="3887"/>
      <c r="Q10" s="3931"/>
      <c r="R10" s="1054" t="s">
        <v>1385</v>
      </c>
      <c r="S10" s="1054" t="s">
        <v>2457</v>
      </c>
      <c r="T10" s="31" t="s">
        <v>1711</v>
      </c>
      <c r="W10" s="31"/>
      <c r="X10" s="3862"/>
      <c r="Y10" s="3862"/>
      <c r="Z10" s="3862"/>
      <c r="AA10" s="3862"/>
      <c r="AB10" s="3862"/>
      <c r="AC10" s="3862"/>
      <c r="AD10" s="3862"/>
      <c r="AE10" s="3862"/>
      <c r="AF10" s="3862"/>
      <c r="AG10" s="3862"/>
      <c r="AH10" s="3862"/>
      <c r="AI10" s="3862"/>
      <c r="AJ10" s="3862"/>
      <c r="AK10" s="3862"/>
      <c r="AL10" s="3862"/>
      <c r="AM10" s="3862"/>
      <c r="AN10" s="3862"/>
      <c r="AO10" s="3862"/>
      <c r="AP10" s="3862"/>
      <c r="AQ10" s="3862"/>
      <c r="AR10" s="3862"/>
      <c r="AS10" s="3862"/>
      <c r="AT10" s="3862"/>
      <c r="AU10" s="3862"/>
      <c r="AV10" s="3862"/>
      <c r="AW10" s="3862"/>
      <c r="AX10" s="3862"/>
      <c r="AY10" s="3862"/>
      <c r="AZ10" s="3862"/>
      <c r="BA10" s="3862"/>
      <c r="BB10" s="3862"/>
      <c r="BC10" s="3862"/>
      <c r="BD10" s="3862"/>
      <c r="BE10" s="3862"/>
      <c r="BF10" s="3862"/>
      <c r="BG10" s="3862"/>
      <c r="BH10" s="3862"/>
      <c r="BI10" s="3862"/>
      <c r="BJ10" s="3862"/>
      <c r="BK10" s="3862"/>
      <c r="BL10" s="3862"/>
      <c r="BM10" s="3862"/>
      <c r="BN10" s="3862"/>
      <c r="BO10" s="3862"/>
      <c r="BP10" s="3862"/>
      <c r="BQ10" s="3862"/>
      <c r="BR10" s="3862"/>
      <c r="BS10" s="3862"/>
      <c r="BT10" s="3862"/>
      <c r="BU10" s="3862"/>
      <c r="BV10" s="3862"/>
      <c r="BW10" s="3862"/>
      <c r="BX10" s="3862"/>
      <c r="BY10" s="3862"/>
      <c r="BZ10" s="3862"/>
      <c r="CA10" s="3862"/>
      <c r="CB10" s="3862"/>
      <c r="CC10" s="3862"/>
      <c r="CD10" s="3862"/>
      <c r="CE10" s="3862"/>
      <c r="CF10" s="3862"/>
      <c r="CG10" s="3862"/>
      <c r="CH10" s="3862"/>
      <c r="CI10" s="3862"/>
      <c r="CJ10" s="3862"/>
      <c r="CK10" s="3862"/>
      <c r="CL10" s="3862"/>
      <c r="CM10" s="3862"/>
      <c r="CN10" s="3862"/>
      <c r="CO10" s="3862"/>
      <c r="CP10" s="3862"/>
      <c r="CQ10" s="3862"/>
      <c r="CR10" s="3862"/>
      <c r="CS10" s="3862"/>
      <c r="CT10" s="3862"/>
      <c r="CU10" s="3862"/>
      <c r="CV10" s="3862"/>
      <c r="CW10" s="3862"/>
      <c r="CX10" s="3862"/>
      <c r="CY10" s="3862"/>
      <c r="CZ10" s="3862"/>
      <c r="DA10" s="3862"/>
      <c r="DB10" s="3862"/>
      <c r="DC10" s="3862"/>
      <c r="DD10" s="3862"/>
      <c r="DE10" s="3862"/>
      <c r="DF10" s="3862"/>
      <c r="DG10" s="3862"/>
      <c r="DH10" s="3862"/>
      <c r="DI10" s="3862"/>
      <c r="DJ10" s="3862"/>
      <c r="DK10" s="3862"/>
      <c r="DL10" s="3862"/>
      <c r="DM10" s="3862"/>
      <c r="DN10" s="3862"/>
      <c r="DO10" s="3862"/>
      <c r="DP10" s="3862"/>
      <c r="DQ10" s="3862"/>
      <c r="DR10" s="3862"/>
      <c r="DS10" s="3862"/>
      <c r="DT10" s="3862"/>
      <c r="DU10" s="3862"/>
      <c r="DV10" s="3862"/>
      <c r="DW10" s="3862"/>
      <c r="DX10" s="3862"/>
      <c r="DY10" s="3862"/>
      <c r="DZ10" s="3862"/>
      <c r="EA10" s="3862"/>
      <c r="EB10" s="3862"/>
      <c r="EC10" s="3862"/>
      <c r="ED10" s="3862"/>
      <c r="EE10" s="3862"/>
      <c r="EF10" s="3862"/>
      <c r="EG10" s="3862"/>
      <c r="EH10" s="3862"/>
      <c r="EI10" s="3862"/>
      <c r="EJ10" s="3862"/>
      <c r="EK10" s="3862"/>
      <c r="EL10" s="3862"/>
      <c r="EM10" s="3862"/>
      <c r="EN10" s="3862"/>
      <c r="EO10" s="3862"/>
      <c r="EP10" s="3862"/>
      <c r="EQ10" s="3862"/>
      <c r="ER10" s="3862"/>
      <c r="ES10" s="3862"/>
      <c r="ET10" s="3862"/>
      <c r="EU10" s="3862"/>
      <c r="EV10" s="3862"/>
      <c r="EW10" s="3862"/>
      <c r="EX10" s="3862"/>
      <c r="EY10" s="3862"/>
      <c r="EZ10" s="3862"/>
      <c r="FA10" s="3862"/>
      <c r="FB10" s="3862"/>
      <c r="FC10" s="3862"/>
      <c r="FD10" s="3862"/>
      <c r="FE10" s="3862"/>
      <c r="FF10" s="3862"/>
      <c r="FG10" s="3862"/>
      <c r="FH10" s="3862"/>
      <c r="FI10" s="3862"/>
      <c r="FJ10" s="3862"/>
      <c r="FK10" s="3862"/>
      <c r="FL10" s="3862"/>
      <c r="FM10" s="3862"/>
      <c r="FN10" s="3862"/>
      <c r="FO10" s="3862"/>
      <c r="FP10" s="3862"/>
      <c r="FQ10" s="3862"/>
      <c r="FR10" s="3862"/>
      <c r="FS10" s="3862"/>
      <c r="FT10" s="3862"/>
      <c r="FU10" s="3862"/>
      <c r="FV10" s="3862"/>
      <c r="FW10" s="3862"/>
      <c r="FX10" s="3862"/>
      <c r="FY10" s="3862"/>
      <c r="FZ10" s="3862"/>
      <c r="GA10" s="3862"/>
      <c r="GB10" s="3862"/>
      <c r="GC10" s="3862"/>
      <c r="GD10" s="3862"/>
      <c r="GE10" s="3862"/>
      <c r="GF10" s="3862"/>
      <c r="GG10" s="3862"/>
      <c r="GH10" s="3862"/>
      <c r="GI10" s="3862"/>
      <c r="GJ10" s="3862"/>
      <c r="GK10" s="3862"/>
      <c r="GL10" s="3862"/>
      <c r="GM10" s="3862"/>
      <c r="GN10" s="3862"/>
      <c r="GO10" s="3862"/>
      <c r="GP10" s="3862"/>
      <c r="GQ10" s="3862"/>
      <c r="GR10" s="3862"/>
      <c r="GS10" s="3862"/>
      <c r="GT10" s="3862"/>
      <c r="GU10" s="3862"/>
      <c r="GV10" s="3862"/>
      <c r="GW10" s="3862"/>
      <c r="GX10" s="3862"/>
      <c r="GY10" s="3862"/>
      <c r="GZ10" s="3862"/>
      <c r="HA10" s="3862"/>
      <c r="HB10" s="3862"/>
      <c r="HC10" s="3862"/>
      <c r="HD10" s="3862"/>
      <c r="HE10" s="3862"/>
      <c r="HF10" s="3862"/>
      <c r="HG10" s="3862"/>
      <c r="HH10" s="3862"/>
      <c r="HI10" s="3862"/>
      <c r="HJ10" s="3862"/>
      <c r="HK10" s="3862"/>
      <c r="HL10" s="3862"/>
      <c r="HM10" s="3862"/>
      <c r="HN10" s="3862"/>
      <c r="HO10" s="3862"/>
      <c r="HP10" s="3862"/>
      <c r="HQ10" s="3862"/>
      <c r="HR10" s="3862"/>
      <c r="HS10" s="3862"/>
      <c r="HT10" s="3862"/>
      <c r="HU10" s="3862"/>
      <c r="HV10" s="3862"/>
      <c r="HW10" s="3862"/>
      <c r="HX10" s="3862"/>
      <c r="HY10" s="3862"/>
      <c r="HZ10" s="3862"/>
      <c r="IA10" s="2517" t="s">
        <v>2299</v>
      </c>
      <c r="IB10" s="2517" t="s">
        <v>2299</v>
      </c>
      <c r="IC10" s="2517" t="s">
        <v>2299</v>
      </c>
      <c r="ID10" s="2517" t="s">
        <v>2299</v>
      </c>
      <c r="IE10" s="3862"/>
      <c r="IF10" s="3862"/>
      <c r="IG10" s="3862"/>
      <c r="IH10" s="3862"/>
      <c r="II10" s="3862"/>
      <c r="IJ10" s="3862"/>
      <c r="IK10" s="3862"/>
      <c r="IL10" s="3862"/>
      <c r="IM10" s="3862"/>
      <c r="IN10" s="3862"/>
      <c r="IO10" s="2517" t="s">
        <v>2301</v>
      </c>
      <c r="IP10" s="2517" t="s">
        <v>2301</v>
      </c>
      <c r="IQ10" s="2517" t="s">
        <v>2301</v>
      </c>
      <c r="IR10" s="2517" t="s">
        <v>2301</v>
      </c>
      <c r="IS10" s="2517" t="s">
        <v>2301</v>
      </c>
      <c r="IT10" s="2517" t="s">
        <v>3003</v>
      </c>
      <c r="IU10" s="2517" t="s">
        <v>3003</v>
      </c>
      <c r="IV10" s="2517" t="s">
        <v>3003</v>
      </c>
      <c r="IW10" s="2517" t="s">
        <v>3003</v>
      </c>
      <c r="IX10" s="2517" t="s">
        <v>3003</v>
      </c>
      <c r="IY10" s="3862"/>
      <c r="IZ10" s="3862"/>
      <c r="JA10" s="3862"/>
      <c r="JB10" s="3862"/>
      <c r="JC10" s="3862"/>
      <c r="JD10" s="3862"/>
      <c r="JE10" s="3862"/>
      <c r="JF10" s="3862"/>
      <c r="JG10" s="3862"/>
      <c r="JH10" s="3862"/>
      <c r="JI10" s="3862"/>
      <c r="JJ10" s="3862"/>
      <c r="JK10" s="3862"/>
      <c r="JL10" s="3862"/>
      <c r="JM10" s="3862"/>
      <c r="JN10" s="3862"/>
      <c r="JO10" s="3862"/>
      <c r="JP10" s="3862"/>
      <c r="JQ10" s="3862"/>
      <c r="JR10" s="3862"/>
      <c r="JS10" s="3862"/>
      <c r="JT10" s="3862"/>
      <c r="JU10" s="3862"/>
      <c r="JV10" s="3862"/>
      <c r="JW10" s="3862"/>
      <c r="JX10" s="3862"/>
      <c r="JY10" s="3862"/>
      <c r="JZ10" s="3862"/>
      <c r="KA10" s="3862"/>
      <c r="KB10" s="3862"/>
      <c r="KC10" s="3862"/>
      <c r="KD10" s="3862"/>
      <c r="KE10" s="3862"/>
      <c r="KF10" s="3862"/>
      <c r="KG10" s="3862"/>
      <c r="KH10" s="3862"/>
      <c r="KI10" s="3862"/>
      <c r="KJ10" s="3862"/>
      <c r="KK10" s="3862"/>
      <c r="KL10" s="3862"/>
      <c r="KM10" s="3862"/>
      <c r="KN10" s="3862"/>
      <c r="KO10" s="3862"/>
      <c r="KP10" s="3862"/>
      <c r="KQ10" s="3862"/>
      <c r="KR10" s="3862"/>
      <c r="KS10" s="3862"/>
      <c r="KT10" s="3862"/>
      <c r="KU10" s="3862"/>
      <c r="KV10" s="3862"/>
      <c r="KW10" s="3862"/>
      <c r="KX10" s="3862"/>
      <c r="KY10" s="3862"/>
      <c r="KZ10" s="3862"/>
      <c r="LA10" s="3862"/>
      <c r="LB10" s="3862"/>
      <c r="LC10" s="3862"/>
      <c r="LD10" s="3862"/>
      <c r="LE10" s="3862"/>
      <c r="LF10" s="3862"/>
      <c r="LG10" s="3862"/>
      <c r="LH10" s="3862"/>
      <c r="LI10" s="3862"/>
      <c r="LJ10" s="3862"/>
      <c r="LK10" s="3862"/>
      <c r="LL10" s="3862"/>
      <c r="LM10" s="3862"/>
      <c r="LN10" s="3862"/>
      <c r="LO10" s="3862"/>
      <c r="LP10" s="3862"/>
      <c r="LQ10" s="3862"/>
      <c r="LR10" s="3862"/>
      <c r="LS10" s="3862"/>
      <c r="LT10" s="3862"/>
      <c r="LU10" s="3862"/>
      <c r="LV10" s="3862"/>
      <c r="LW10" s="3862"/>
      <c r="LX10" s="3862"/>
      <c r="LY10" s="3862"/>
      <c r="LZ10" s="3862"/>
      <c r="MA10" s="3862"/>
      <c r="MB10" s="3862"/>
      <c r="MC10" s="3862"/>
      <c r="MD10" s="3862"/>
      <c r="ME10" s="3862"/>
      <c r="MF10" s="3862"/>
      <c r="MG10" s="3862"/>
      <c r="MH10" s="3862"/>
      <c r="MI10" s="3862"/>
      <c r="MJ10" s="3862"/>
      <c r="MK10" s="3895"/>
      <c r="ML10" s="3895"/>
      <c r="MM10" s="3895"/>
      <c r="MN10" s="3895"/>
      <c r="MO10" s="3895"/>
      <c r="MP10" s="3862"/>
      <c r="MQ10" s="3862"/>
      <c r="MR10" s="3862"/>
      <c r="MS10" s="3862"/>
      <c r="MT10" s="3862"/>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70"/>
      <c r="U11" s="3971"/>
      <c r="V11" s="3971"/>
      <c r="W11" s="3972"/>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f t="shared" si="0"/>
        <v>1</v>
      </c>
      <c r="B15" s="1386" t="s">
        <v>290</v>
      </c>
      <c r="C15" s="167">
        <v>1</v>
      </c>
      <c r="D15" s="2302">
        <v>1</v>
      </c>
      <c r="E15" s="168">
        <v>2</v>
      </c>
      <c r="F15" s="168">
        <v>800</v>
      </c>
      <c r="G15" s="168">
        <v>1294</v>
      </c>
      <c r="H15" s="168">
        <v>1294</v>
      </c>
      <c r="I15" s="168"/>
      <c r="J15" s="1824"/>
      <c r="K15" s="826"/>
      <c r="L15" s="601">
        <f t="shared" si="1"/>
        <v>1294</v>
      </c>
      <c r="M15" s="601">
        <f t="shared" si="2"/>
        <v>2588</v>
      </c>
      <c r="N15" s="890" t="s">
        <v>2654</v>
      </c>
      <c r="O15" s="2222" t="s">
        <v>6299</v>
      </c>
      <c r="P15" s="890" t="s">
        <v>2121</v>
      </c>
      <c r="Q15" s="169" t="s">
        <v>2654</v>
      </c>
      <c r="R15" s="940"/>
      <c r="S15" s="941"/>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f t="shared" si="39"/>
        <v>2</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f t="shared" si="154"/>
        <v>1600</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f t="shared" si="174"/>
        <v>2</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f t="shared" si="214"/>
        <v>2</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f t="shared" si="259"/>
        <v>2</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2</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f t="shared" si="0"/>
        <v>1</v>
      </c>
      <c r="B16" s="1386" t="s">
        <v>290</v>
      </c>
      <c r="C16" s="167">
        <v>2</v>
      </c>
      <c r="D16" s="2302">
        <v>2</v>
      </c>
      <c r="E16" s="168">
        <v>4</v>
      </c>
      <c r="F16" s="168">
        <v>1100</v>
      </c>
      <c r="G16" s="168">
        <v>1552</v>
      </c>
      <c r="H16" s="168">
        <v>1552</v>
      </c>
      <c r="I16" s="168"/>
      <c r="J16" s="1824"/>
      <c r="K16" s="826"/>
      <c r="L16" s="601">
        <f t="shared" si="1"/>
        <v>1552</v>
      </c>
      <c r="M16" s="601">
        <f t="shared" si="2"/>
        <v>6208</v>
      </c>
      <c r="N16" s="890" t="s">
        <v>2654</v>
      </c>
      <c r="O16" s="2222" t="s">
        <v>6299</v>
      </c>
      <c r="P16" s="890" t="s">
        <v>2121</v>
      </c>
      <c r="Q16" s="169" t="s">
        <v>2654</v>
      </c>
      <c r="R16" s="940"/>
      <c r="S16" s="941"/>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f t="shared" si="40"/>
        <v>4</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f t="shared" si="155"/>
        <v>4400</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f t="shared" si="175"/>
        <v>4</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f t="shared" si="215"/>
        <v>4</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f t="shared" si="260"/>
        <v>4</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4</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f t="shared" si="0"/>
        <v>1</v>
      </c>
      <c r="B17" s="1387" t="s">
        <v>290</v>
      </c>
      <c r="C17" s="1390">
        <v>3</v>
      </c>
      <c r="D17" s="2303">
        <v>2</v>
      </c>
      <c r="E17" s="1391">
        <v>2</v>
      </c>
      <c r="F17" s="1391">
        <v>1250</v>
      </c>
      <c r="G17" s="1391">
        <v>1793</v>
      </c>
      <c r="H17" s="1391">
        <v>1793</v>
      </c>
      <c r="I17" s="1391"/>
      <c r="J17" s="1825"/>
      <c r="K17" s="1410"/>
      <c r="L17" s="1411">
        <f t="shared" si="1"/>
        <v>1793</v>
      </c>
      <c r="M17" s="1411">
        <f t="shared" si="2"/>
        <v>3586</v>
      </c>
      <c r="N17" s="1412" t="s">
        <v>2654</v>
      </c>
      <c r="O17" s="2223" t="s">
        <v>6299</v>
      </c>
      <c r="P17" s="1412" t="s">
        <v>2121</v>
      </c>
      <c r="Q17" s="1413" t="s">
        <v>2654</v>
      </c>
      <c r="R17" s="940"/>
      <c r="S17" s="941"/>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f t="shared" si="41"/>
        <v>2</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f t="shared" si="156"/>
        <v>2500</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f t="shared" si="176"/>
        <v>2</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f t="shared" si="216"/>
        <v>2</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f t="shared" si="261"/>
        <v>2</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2</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f t="shared" si="0"/>
        <v>1</v>
      </c>
      <c r="B18" s="1423">
        <v>50</v>
      </c>
      <c r="C18" s="1388">
        <v>1</v>
      </c>
      <c r="D18" s="2304">
        <v>1</v>
      </c>
      <c r="E18" s="1389">
        <v>1</v>
      </c>
      <c r="F18" s="1389">
        <v>800</v>
      </c>
      <c r="G18" s="1389">
        <v>808</v>
      </c>
      <c r="H18" s="1389">
        <v>808</v>
      </c>
      <c r="I18" s="1389"/>
      <c r="J18" s="1405">
        <f>IF(C18="",0,HLOOKUP(C18,'Part IV-Utility Allowances'!$I$11:$M$22,12))</f>
        <v>167</v>
      </c>
      <c r="K18" s="1406"/>
      <c r="L18" s="1407">
        <f t="shared" si="1"/>
        <v>641</v>
      </c>
      <c r="M18" s="1407">
        <f t="shared" si="2"/>
        <v>641</v>
      </c>
      <c r="N18" s="1408" t="s">
        <v>2654</v>
      </c>
      <c r="O18" s="2224" t="s">
        <v>6299</v>
      </c>
      <c r="P18" s="1408" t="s">
        <v>2121</v>
      </c>
      <c r="Q18" s="1409" t="s">
        <v>2654</v>
      </c>
      <c r="R18" s="940"/>
      <c r="S18" s="941"/>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1</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800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1</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1</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1</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1</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f t="shared" si="0"/>
        <v>1</v>
      </c>
      <c r="B19" s="1424">
        <v>50</v>
      </c>
      <c r="C19" s="167">
        <v>2</v>
      </c>
      <c r="D19" s="2302">
        <v>2</v>
      </c>
      <c r="E19" s="168">
        <v>9</v>
      </c>
      <c r="F19" s="168">
        <v>1100</v>
      </c>
      <c r="G19" s="168">
        <v>970</v>
      </c>
      <c r="H19" s="168">
        <v>970</v>
      </c>
      <c r="I19" s="168"/>
      <c r="J19" s="959">
        <f>IF(C19="",0,HLOOKUP(C19,'Part IV-Utility Allowances'!$I$11:$M$22,12))</f>
        <v>220</v>
      </c>
      <c r="K19" s="826"/>
      <c r="L19" s="601">
        <f t="shared" si="1"/>
        <v>750</v>
      </c>
      <c r="M19" s="601">
        <f t="shared" si="2"/>
        <v>6750</v>
      </c>
      <c r="N19" s="890" t="s">
        <v>2654</v>
      </c>
      <c r="O19" s="2222" t="s">
        <v>6299</v>
      </c>
      <c r="P19" s="890" t="s">
        <v>2121</v>
      </c>
      <c r="Q19" s="169" t="s">
        <v>2654</v>
      </c>
      <c r="R19" s="940"/>
      <c r="S19" s="941"/>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9</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9900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9</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9</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9</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9</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f t="shared" si="0"/>
        <v>1</v>
      </c>
      <c r="B20" s="1424">
        <v>50</v>
      </c>
      <c r="C20" s="167">
        <v>3</v>
      </c>
      <c r="D20" s="2302">
        <v>2</v>
      </c>
      <c r="E20" s="168">
        <v>5</v>
      </c>
      <c r="F20" s="168">
        <v>1250</v>
      </c>
      <c r="G20" s="168">
        <v>1120</v>
      </c>
      <c r="H20" s="168">
        <v>1120</v>
      </c>
      <c r="I20" s="168"/>
      <c r="J20" s="959">
        <f>IF(C20="",0,HLOOKUP(C20,'Part IV-Utility Allowances'!$I$11:$M$22,12))</f>
        <v>269</v>
      </c>
      <c r="K20" s="826"/>
      <c r="L20" s="601">
        <f t="shared" si="1"/>
        <v>851</v>
      </c>
      <c r="M20" s="601">
        <f t="shared" si="2"/>
        <v>4255</v>
      </c>
      <c r="N20" s="890" t="s">
        <v>2654</v>
      </c>
      <c r="O20" s="2222" t="s">
        <v>6299</v>
      </c>
      <c r="P20" s="890" t="s">
        <v>2121</v>
      </c>
      <c r="Q20" s="169" t="s">
        <v>2654</v>
      </c>
      <c r="R20" s="940"/>
      <c r="S20" s="941"/>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5</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6250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5</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5</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5</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5</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f t="shared" si="0"/>
        <v>1</v>
      </c>
      <c r="B21" s="1424">
        <v>60</v>
      </c>
      <c r="C21" s="167">
        <v>1</v>
      </c>
      <c r="D21" s="2302">
        <v>1</v>
      </c>
      <c r="E21" s="168">
        <v>10</v>
      </c>
      <c r="F21" s="168">
        <v>800</v>
      </c>
      <c r="G21" s="168">
        <v>970</v>
      </c>
      <c r="H21" s="168">
        <v>970</v>
      </c>
      <c r="I21" s="168"/>
      <c r="J21" s="959">
        <f>IF(C21="",0,HLOOKUP(C21,'Part IV-Utility Allowances'!$I$11:$M$22,12))</f>
        <v>167</v>
      </c>
      <c r="K21" s="826"/>
      <c r="L21" s="601">
        <f t="shared" si="1"/>
        <v>803</v>
      </c>
      <c r="M21" s="601">
        <f t="shared" si="2"/>
        <v>8030</v>
      </c>
      <c r="N21" s="890" t="s">
        <v>2654</v>
      </c>
      <c r="O21" s="2222" t="s">
        <v>6299</v>
      </c>
      <c r="P21" s="890" t="s">
        <v>2121</v>
      </c>
      <c r="Q21" s="169" t="s">
        <v>2654</v>
      </c>
      <c r="R21" s="940"/>
      <c r="S21" s="941"/>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10</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8000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10</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10</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10</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10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f t="shared" si="0"/>
        <v>1</v>
      </c>
      <c r="B22" s="1424">
        <v>60</v>
      </c>
      <c r="C22" s="167">
        <v>2</v>
      </c>
      <c r="D22" s="2302">
        <v>2</v>
      </c>
      <c r="E22" s="168">
        <v>24</v>
      </c>
      <c r="F22" s="168">
        <v>1100</v>
      </c>
      <c r="G22" s="168">
        <v>1164</v>
      </c>
      <c r="H22" s="168">
        <v>1164</v>
      </c>
      <c r="I22" s="168"/>
      <c r="J22" s="959">
        <f>IF(C22="",0,HLOOKUP(C22,'Part IV-Utility Allowances'!$I$11:$M$22,12))</f>
        <v>220</v>
      </c>
      <c r="K22" s="826"/>
      <c r="L22" s="601">
        <f t="shared" si="1"/>
        <v>944</v>
      </c>
      <c r="M22" s="601">
        <f t="shared" si="2"/>
        <v>22656</v>
      </c>
      <c r="N22" s="890" t="s">
        <v>2654</v>
      </c>
      <c r="O22" s="2222" t="s">
        <v>6299</v>
      </c>
      <c r="P22" s="890" t="s">
        <v>2121</v>
      </c>
      <c r="Q22" s="169" t="s">
        <v>2654</v>
      </c>
      <c r="R22" s="940"/>
      <c r="S22" s="941"/>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24</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26400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24</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24</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24</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24</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f t="shared" si="0"/>
        <v>1</v>
      </c>
      <c r="B23" s="1424">
        <v>60</v>
      </c>
      <c r="C23" s="167">
        <v>3</v>
      </c>
      <c r="D23" s="2302">
        <v>2</v>
      </c>
      <c r="E23" s="168">
        <v>15</v>
      </c>
      <c r="F23" s="168">
        <v>1250</v>
      </c>
      <c r="G23" s="168">
        <v>1344</v>
      </c>
      <c r="H23" s="168">
        <v>1344</v>
      </c>
      <c r="I23" s="168"/>
      <c r="J23" s="959">
        <f>IF(C23="",0,HLOOKUP(C23,'Part IV-Utility Allowances'!$I$11:$M$22,12))</f>
        <v>269</v>
      </c>
      <c r="K23" s="826"/>
      <c r="L23" s="601">
        <f t="shared" si="1"/>
        <v>1075</v>
      </c>
      <c r="M23" s="601">
        <f t="shared" si="2"/>
        <v>16125</v>
      </c>
      <c r="N23" s="890" t="s">
        <v>2654</v>
      </c>
      <c r="O23" s="2222" t="s">
        <v>6299</v>
      </c>
      <c r="P23" s="890" t="s">
        <v>2121</v>
      </c>
      <c r="Q23" s="169" t="s">
        <v>2654</v>
      </c>
      <c r="R23" s="940"/>
      <c r="S23" s="941"/>
      <c r="T23" s="3865"/>
      <c r="U23" s="3866"/>
      <c r="V23" s="3866"/>
      <c r="W23" s="386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15</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18750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15</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15</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15</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15</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5"/>
      <c r="U24" s="3866"/>
      <c r="V24" s="3866"/>
      <c r="W24" s="3867"/>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5"/>
      <c r="U40" s="3866"/>
      <c r="V40" s="3866"/>
      <c r="W40" s="386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9</v>
      </c>
      <c r="B49" s="3914" t="s">
        <v>3771</v>
      </c>
      <c r="C49" s="3915"/>
      <c r="D49" s="139" t="s">
        <v>955</v>
      </c>
      <c r="E49" s="1418">
        <f>SUM(E11:E48)</f>
        <v>72</v>
      </c>
      <c r="F49" s="1416">
        <f>(E11*F11+E12*F12+E13*F13+E14*F14+E15*F15+E16*F16+E17*F17+E18*F18+E19*F19+E20*F20+E21*F21+E22*F22+E23*F23+E24*F24+E25*F25+E26*F26+E27*F27+E28*F28+E29*F29+E30*F30+E31*F31+E32*F32+E33*F33+E34*F34+E35*F35+E36*F36+E37*F37+E38*F38+E39*F39+E40*F40+E41*F41+E42*F42+E43*F43+E44*F44+E45*F45+E46*F46+E47*F47+E48*F48)</f>
        <v>78600</v>
      </c>
      <c r="H49" s="3962" t="s">
        <v>3768</v>
      </c>
      <c r="I49" s="1419" t="s">
        <v>3769</v>
      </c>
      <c r="J49" s="1420" t="str">
        <f>IF(P67=0,"",IF(SUM(P58:P62)/P67&gt;=0.4,"Pass","Fail"))</f>
        <v>Pass</v>
      </c>
      <c r="K49" s="585"/>
      <c r="L49" s="894" t="s">
        <v>1226</v>
      </c>
      <c r="M49" s="124">
        <f>SUM(M11:M48)</f>
        <v>70839</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10</v>
      </c>
      <c r="AJ49" s="2300">
        <f t="shared" si="339"/>
        <v>24</v>
      </c>
      <c r="AK49" s="2300">
        <f t="shared" si="339"/>
        <v>15</v>
      </c>
      <c r="AL49" s="2300">
        <f t="shared" si="339"/>
        <v>0</v>
      </c>
      <c r="AM49" s="2300">
        <f>SUM(AM11:AM48)</f>
        <v>0</v>
      </c>
      <c r="AN49" s="2300">
        <f>SUM(AN11:AN48)</f>
        <v>1</v>
      </c>
      <c r="AO49" s="2300">
        <f>SUM(AO11:AO48)</f>
        <v>9</v>
      </c>
      <c r="AP49" s="2300">
        <f>SUM(AP11:AP48)</f>
        <v>5</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2</v>
      </c>
      <c r="BI49" s="2300">
        <f t="shared" si="338"/>
        <v>4</v>
      </c>
      <c r="BJ49" s="2300">
        <f t="shared" si="338"/>
        <v>2</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8000</v>
      </c>
      <c r="EU49" s="2300">
        <f t="shared" si="342"/>
        <v>26400</v>
      </c>
      <c r="EV49" s="2300">
        <f t="shared" si="342"/>
        <v>18750</v>
      </c>
      <c r="EW49" s="2300">
        <f t="shared" si="342"/>
        <v>0</v>
      </c>
      <c r="EX49" s="2300">
        <f t="shared" si="338"/>
        <v>0</v>
      </c>
      <c r="EY49" s="2300">
        <f t="shared" si="338"/>
        <v>800</v>
      </c>
      <c r="EZ49" s="2300">
        <f t="shared" si="338"/>
        <v>9900</v>
      </c>
      <c r="FA49" s="2300">
        <f t="shared" si="338"/>
        <v>6250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1600</v>
      </c>
      <c r="FT49" s="2300">
        <f t="shared" si="343"/>
        <v>4400</v>
      </c>
      <c r="FU49" s="2300">
        <f t="shared" si="343"/>
        <v>2500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11</v>
      </c>
      <c r="GI49" s="2300">
        <f t="shared" si="343"/>
        <v>33</v>
      </c>
      <c r="GJ49" s="2300">
        <f t="shared" si="343"/>
        <v>20</v>
      </c>
      <c r="GK49" s="2300">
        <f t="shared" si="343"/>
        <v>0</v>
      </c>
      <c r="GL49" s="2300">
        <f t="shared" si="343"/>
        <v>0</v>
      </c>
      <c r="GM49" s="2300">
        <f t="shared" si="343"/>
        <v>2</v>
      </c>
      <c r="GN49" s="2300">
        <f t="shared" si="343"/>
        <v>4</v>
      </c>
      <c r="GO49" s="2300">
        <f t="shared" si="343"/>
        <v>2</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13</v>
      </c>
      <c r="IB49" s="2300">
        <f t="shared" si="344"/>
        <v>37</v>
      </c>
      <c r="IC49" s="2300">
        <f t="shared" si="344"/>
        <v>22</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13</v>
      </c>
      <c r="JU49" s="2300">
        <f t="shared" si="344"/>
        <v>37</v>
      </c>
      <c r="JV49" s="2300">
        <f t="shared" si="344"/>
        <v>22</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13</v>
      </c>
      <c r="MM49" s="2300">
        <f t="shared" si="350"/>
        <v>37</v>
      </c>
      <c r="MN49" s="2300">
        <f t="shared" si="350"/>
        <v>22</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896">
        <f>IF(SUM(E18:E48)=0,"",(B18*E18+B19*E19+B20*E20+B21*E21+B22*E22+B23*E23+B24*E24+B25*E25+B26*E26+B27*E27+B28*E28+B29*E29+B30*E30+B31*E31+B32*E32+B33*E33+B34*E34+B35*E35+B36*E36+B37*E37+B38*E38+B39*E39+B40*E40+B41*E41+B42*E42+B43*E43+B44*E44+B45*E45+B46*E46+B47*E47+B48*E48)/SUM(E18:E48))</f>
        <v>57.65625</v>
      </c>
      <c r="C50" s="3897"/>
      <c r="D50" s="1383" t="s">
        <v>3678</v>
      </c>
      <c r="E50" s="1415">
        <f>SUM(E18:E48)</f>
        <v>64</v>
      </c>
      <c r="F50" s="1417">
        <f>(E18*F18+E19*F19+E20*F20+E21*F21+E22*F22+E23*F23+E24*F24+E25*F25+E26*F26+E27*F27+E28*F28+E29*F29+E30*F30+E31*F31+E32*F32+E33*F33+E34*F34+E35*F35+E36*F36+E37*F37+E38*F38+E39*F39+E40*F40+E41*F41+E42*F42+E43*F43+E44*F44+E45*F45+E46*F46+E47*F47+E48*F48)</f>
        <v>70100</v>
      </c>
      <c r="H50" s="3963"/>
      <c r="I50" s="1421" t="s">
        <v>3770</v>
      </c>
      <c r="J50" s="1422" t="str">
        <f>IF(P67=0,"",IF(SUM(P59:P62)/P67&gt;=0.2,"Pass","Fail"))</f>
        <v>Pass</v>
      </c>
      <c r="K50" s="585"/>
      <c r="L50" s="139" t="s">
        <v>757</v>
      </c>
      <c r="M50" s="124">
        <f>M49*12</f>
        <v>850068</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879" t="s">
        <v>2409</v>
      </c>
      <c r="B51" s="3880"/>
      <c r="C51" s="3880"/>
      <c r="D51" s="3880"/>
      <c r="E51" s="3880"/>
      <c r="F51" s="3880"/>
      <c r="G51" s="3880"/>
      <c r="H51" s="3880"/>
      <c r="I51" s="3880"/>
      <c r="J51" s="3880"/>
      <c r="K51" s="3880"/>
      <c r="L51" s="3880"/>
      <c r="M51" s="3880"/>
      <c r="N51" s="3880"/>
      <c r="O51" s="3880"/>
      <c r="P51" s="3880"/>
      <c r="Q51" s="3880"/>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80"/>
      <c r="B52" s="3880"/>
      <c r="C52" s="3880"/>
      <c r="D52" s="3880"/>
      <c r="E52" s="3880"/>
      <c r="F52" s="3880"/>
      <c r="G52" s="3880"/>
      <c r="H52" s="3880"/>
      <c r="I52" s="3880"/>
      <c r="J52" s="3880"/>
      <c r="K52" s="3880"/>
      <c r="L52" s="3880"/>
      <c r="M52" s="3880"/>
      <c r="N52" s="3880"/>
      <c r="O52" s="3880"/>
      <c r="P52" s="3880"/>
      <c r="Q52" s="3880"/>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6651</v>
      </c>
      <c r="O53" s="3902" t="s">
        <v>7025</v>
      </c>
      <c r="P53" s="3903"/>
      <c r="S53" s="3901" t="str">
        <f>B53</f>
        <v>UNIT SUMMARY</v>
      </c>
      <c r="T53" s="3901"/>
      <c r="U53" s="3901"/>
      <c r="V53" s="3901"/>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6653</v>
      </c>
      <c r="O54" s="3964" t="s">
        <v>6930</v>
      </c>
      <c r="P54" s="3965"/>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6500</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3" t="s">
        <v>4080</v>
      </c>
      <c r="B56" s="3973"/>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7" t="s">
        <v>3187</v>
      </c>
      <c r="R56" s="1156"/>
      <c r="S56" s="3871"/>
      <c r="T56" s="3872"/>
      <c r="U56" s="3872"/>
      <c r="V56" s="3872"/>
      <c r="W56" s="3873"/>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3"/>
      <c r="B57" s="3973"/>
      <c r="C57" s="94"/>
      <c r="D57" s="1"/>
      <c r="E57" s="1"/>
      <c r="F57" s="1"/>
      <c r="G57" s="83"/>
      <c r="H57" s="111" t="s">
        <v>3680</v>
      </c>
      <c r="I57" s="36"/>
      <c r="J57" s="83"/>
      <c r="K57" s="1432">
        <f>AC49</f>
        <v>0</v>
      </c>
      <c r="L57" s="1433">
        <f>AD49</f>
        <v>0</v>
      </c>
      <c r="M57" s="1433">
        <f>AE49</f>
        <v>0</v>
      </c>
      <c r="N57" s="1433">
        <f>AF49</f>
        <v>0</v>
      </c>
      <c r="O57" s="1434">
        <f>AG49</f>
        <v>0</v>
      </c>
      <c r="P57" s="946">
        <f t="shared" si="351"/>
        <v>0</v>
      </c>
      <c r="Q57" s="3877"/>
      <c r="R57" s="1384"/>
      <c r="S57" s="3865"/>
      <c r="T57" s="3866"/>
      <c r="U57" s="3866"/>
      <c r="V57" s="3866"/>
      <c r="W57" s="3867"/>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3"/>
      <c r="B58" s="3973"/>
      <c r="C58" s="94"/>
      <c r="D58" s="1"/>
      <c r="E58" s="1"/>
      <c r="F58" s="1"/>
      <c r="G58" s="83"/>
      <c r="H58" s="111" t="s">
        <v>1082</v>
      </c>
      <c r="I58" s="36"/>
      <c r="J58" s="83"/>
      <c r="K58" s="1432">
        <f>AH49</f>
        <v>0</v>
      </c>
      <c r="L58" s="1433">
        <f>AI49</f>
        <v>10</v>
      </c>
      <c r="M58" s="1433">
        <f>AJ49</f>
        <v>24</v>
      </c>
      <c r="N58" s="1433">
        <f>AK49</f>
        <v>15</v>
      </c>
      <c r="O58" s="1434">
        <f>AL49</f>
        <v>0</v>
      </c>
      <c r="P58" s="946">
        <f t="shared" si="351"/>
        <v>49</v>
      </c>
      <c r="Q58" s="3877"/>
      <c r="R58" s="1384"/>
      <c r="S58" s="3865"/>
      <c r="T58" s="3866"/>
      <c r="U58" s="3866"/>
      <c r="V58" s="3866"/>
      <c r="W58" s="3867"/>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3"/>
      <c r="B59" s="3973"/>
      <c r="C59" s="94"/>
      <c r="D59" s="1"/>
      <c r="E59" s="1"/>
      <c r="F59" s="1"/>
      <c r="G59" s="83"/>
      <c r="H59" s="104" t="s">
        <v>112</v>
      </c>
      <c r="I59" s="52"/>
      <c r="J59" s="1169"/>
      <c r="K59" s="1453">
        <f>AM49</f>
        <v>0</v>
      </c>
      <c r="L59" s="1454">
        <f>AN49</f>
        <v>1</v>
      </c>
      <c r="M59" s="1454">
        <f>AO49</f>
        <v>9</v>
      </c>
      <c r="N59" s="1454">
        <f>AP49</f>
        <v>5</v>
      </c>
      <c r="O59" s="1455">
        <f>AQ49</f>
        <v>0</v>
      </c>
      <c r="P59" s="606">
        <f t="shared" si="351"/>
        <v>15</v>
      </c>
      <c r="Q59" s="3877"/>
      <c r="R59" s="1384"/>
      <c r="S59" s="3865"/>
      <c r="T59" s="3866"/>
      <c r="U59" s="3866"/>
      <c r="V59" s="3866"/>
      <c r="W59" s="3867"/>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3"/>
      <c r="B60" s="3973"/>
      <c r="C60" s="94"/>
      <c r="D60" s="1"/>
      <c r="E60" s="1"/>
      <c r="F60" s="1"/>
      <c r="G60" s="83"/>
      <c r="H60" s="104" t="s">
        <v>3681</v>
      </c>
      <c r="I60" s="52"/>
      <c r="J60" s="1169"/>
      <c r="K60" s="1432">
        <f>AR49</f>
        <v>0</v>
      </c>
      <c r="L60" s="1433">
        <f>AS49</f>
        <v>0</v>
      </c>
      <c r="M60" s="1433">
        <f>AT49</f>
        <v>0</v>
      </c>
      <c r="N60" s="1433">
        <f>AU49</f>
        <v>0</v>
      </c>
      <c r="O60" s="1434">
        <f>AV49</f>
        <v>0</v>
      </c>
      <c r="P60" s="946">
        <f t="shared" si="351"/>
        <v>0</v>
      </c>
      <c r="Q60" s="3877"/>
      <c r="R60" s="1384"/>
      <c r="S60" s="3865"/>
      <c r="T60" s="3866"/>
      <c r="U60" s="3866"/>
      <c r="V60" s="3866"/>
      <c r="W60" s="3867"/>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3"/>
      <c r="B61" s="3973"/>
      <c r="C61" s="94"/>
      <c r="D61" s="1"/>
      <c r="E61" s="1"/>
      <c r="F61" s="1"/>
      <c r="G61" s="83"/>
      <c r="H61" s="111" t="s">
        <v>3682</v>
      </c>
      <c r="I61" s="36"/>
      <c r="J61" s="83"/>
      <c r="K61" s="1432">
        <f>AW49</f>
        <v>0</v>
      </c>
      <c r="L61" s="1433">
        <f>AX49</f>
        <v>0</v>
      </c>
      <c r="M61" s="1433">
        <f>AY49</f>
        <v>0</v>
      </c>
      <c r="N61" s="1433">
        <f>AZ49</f>
        <v>0</v>
      </c>
      <c r="O61" s="1434">
        <f>BA49</f>
        <v>0</v>
      </c>
      <c r="P61" s="946">
        <f t="shared" si="351"/>
        <v>0</v>
      </c>
      <c r="Q61" s="3877"/>
      <c r="R61" s="1384"/>
      <c r="S61" s="3865"/>
      <c r="T61" s="3866"/>
      <c r="U61" s="3866"/>
      <c r="V61" s="3866"/>
      <c r="W61" s="3867"/>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3"/>
      <c r="B62" s="3973"/>
      <c r="C62" s="4"/>
      <c r="D62" s="1"/>
      <c r="E62" s="1"/>
      <c r="F62" s="1"/>
      <c r="G62" s="83"/>
      <c r="H62" s="111" t="s">
        <v>3683</v>
      </c>
      <c r="I62" s="36"/>
      <c r="J62" s="83"/>
      <c r="K62" s="1435">
        <f>BB49</f>
        <v>0</v>
      </c>
      <c r="L62" s="1436">
        <f>BC49</f>
        <v>0</v>
      </c>
      <c r="M62" s="1436">
        <f>BD49</f>
        <v>0</v>
      </c>
      <c r="N62" s="1436">
        <f>BE49</f>
        <v>0</v>
      </c>
      <c r="O62" s="1437">
        <f>BF49</f>
        <v>0</v>
      </c>
      <c r="P62" s="606">
        <f t="shared" si="351"/>
        <v>0</v>
      </c>
      <c r="Q62" s="3877"/>
      <c r="R62" s="1156"/>
      <c r="S62" s="3865"/>
      <c r="T62" s="3866"/>
      <c r="U62" s="3866"/>
      <c r="V62" s="3866"/>
      <c r="W62" s="3867"/>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3"/>
      <c r="B63" s="3973"/>
      <c r="C63" s="111" t="s">
        <v>3765</v>
      </c>
      <c r="D63" s="1"/>
      <c r="E63" s="1"/>
      <c r="F63" s="1"/>
      <c r="G63" s="83"/>
      <c r="H63" s="90"/>
      <c r="I63" s="55"/>
      <c r="J63" s="83"/>
      <c r="K63" s="1397">
        <f>SUM(K56:K62)</f>
        <v>0</v>
      </c>
      <c r="L63" s="1397">
        <f>SUM(L56:L62)</f>
        <v>11</v>
      </c>
      <c r="M63" s="1397">
        <f>SUM(M56:M62)</f>
        <v>33</v>
      </c>
      <c r="N63" s="1397">
        <f>SUM(N56:N62)</f>
        <v>20</v>
      </c>
      <c r="O63" s="1397">
        <f>SUM(O56:O62)</f>
        <v>0</v>
      </c>
      <c r="P63" s="1397">
        <f t="shared" si="351"/>
        <v>64</v>
      </c>
      <c r="Q63" s="3878"/>
      <c r="S63" s="3865"/>
      <c r="T63" s="3866"/>
      <c r="U63" s="3866"/>
      <c r="V63" s="3866"/>
      <c r="W63" s="3867"/>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3"/>
      <c r="B64" s="3973"/>
      <c r="D64" s="1"/>
      <c r="E64" s="1"/>
      <c r="F64" s="1"/>
      <c r="G64" s="83"/>
      <c r="H64" s="111" t="s">
        <v>290</v>
      </c>
      <c r="I64" s="36"/>
      <c r="J64" s="83"/>
      <c r="K64" s="947">
        <f>BG49</f>
        <v>0</v>
      </c>
      <c r="L64" s="947">
        <f>BH49</f>
        <v>2</v>
      </c>
      <c r="M64" s="947">
        <f>BI49</f>
        <v>4</v>
      </c>
      <c r="N64" s="947">
        <f>BJ49</f>
        <v>2</v>
      </c>
      <c r="O64" s="947">
        <f>BK49</f>
        <v>0</v>
      </c>
      <c r="P64" s="947">
        <f t="shared" si="351"/>
        <v>8</v>
      </c>
      <c r="S64" s="3865"/>
      <c r="T64" s="3866"/>
      <c r="U64" s="3866"/>
      <c r="V64" s="3866"/>
      <c r="W64" s="3867"/>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3"/>
      <c r="B65" s="3973"/>
      <c r="C65" s="1402" t="s">
        <v>1071</v>
      </c>
      <c r="D65" s="1402"/>
      <c r="E65" s="1402"/>
      <c r="F65" s="1402"/>
      <c r="G65" s="1403"/>
      <c r="H65" s="1834"/>
      <c r="I65" s="49"/>
      <c r="J65" s="1403"/>
      <c r="K65" s="1404">
        <f>SUM(K63:K64)</f>
        <v>0</v>
      </c>
      <c r="L65" s="1404">
        <f>SUM(L63:L64)</f>
        <v>13</v>
      </c>
      <c r="M65" s="1404">
        <f>SUM(M63:M64)</f>
        <v>37</v>
      </c>
      <c r="N65" s="1404">
        <f>SUM(N63:N64)</f>
        <v>22</v>
      </c>
      <c r="O65" s="1404">
        <f>SUM(O63:O64)</f>
        <v>0</v>
      </c>
      <c r="P65" s="1404">
        <f t="shared" si="351"/>
        <v>72</v>
      </c>
      <c r="S65" s="3865"/>
      <c r="T65" s="3866"/>
      <c r="U65" s="3866"/>
      <c r="V65" s="3866"/>
      <c r="W65" s="3867"/>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3"/>
      <c r="B66" s="3973"/>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5"/>
      <c r="T66" s="3866"/>
      <c r="U66" s="3866"/>
      <c r="V66" s="3866"/>
      <c r="W66" s="3867"/>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3"/>
      <c r="B67" s="3973"/>
      <c r="C67" s="4" t="s">
        <v>1668</v>
      </c>
      <c r="D67" s="1"/>
      <c r="E67" s="1"/>
      <c r="F67" s="1"/>
      <c r="G67" s="83"/>
      <c r="H67" s="111"/>
      <c r="I67" s="36"/>
      <c r="J67" s="83"/>
      <c r="K67" s="1396">
        <f>SUM(K65:K66)</f>
        <v>0</v>
      </c>
      <c r="L67" s="1396">
        <f>SUM(L65:L66)</f>
        <v>13</v>
      </c>
      <c r="M67" s="1396">
        <f>SUM(M65:M66)</f>
        <v>37</v>
      </c>
      <c r="N67" s="1396">
        <f>SUM(N65:N66)</f>
        <v>22</v>
      </c>
      <c r="O67" s="1396">
        <f>SUM(O65:O66)</f>
        <v>0</v>
      </c>
      <c r="P67" s="1396">
        <f t="shared" si="351"/>
        <v>72</v>
      </c>
      <c r="S67" s="3874"/>
      <c r="T67" s="3875"/>
      <c r="U67" s="3875"/>
      <c r="V67" s="3875"/>
      <c r="W67" s="3876"/>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3"/>
      <c r="B68" s="3973"/>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3"/>
      <c r="B69" s="3973"/>
      <c r="C69" s="3913" t="s">
        <v>3774</v>
      </c>
      <c r="D69" s="3913"/>
      <c r="E69" s="3913"/>
      <c r="F69" s="3913"/>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3"/>
      <c r="B70" s="3973"/>
      <c r="C70" s="3913"/>
      <c r="D70" s="3913"/>
      <c r="E70" s="3913"/>
      <c r="F70" s="3913"/>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71"/>
      <c r="T70" s="3872"/>
      <c r="U70" s="3872"/>
      <c r="V70" s="3872"/>
      <c r="W70" s="3873"/>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3"/>
      <c r="B71" s="3973"/>
      <c r="C71" s="1789"/>
      <c r="D71" s="8"/>
      <c r="E71" s="8"/>
      <c r="F71" s="8"/>
      <c r="G71" s="8"/>
      <c r="H71" s="1836" t="s">
        <v>6493</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5"/>
      <c r="T71" s="3866"/>
      <c r="U71" s="3866"/>
      <c r="V71" s="3866"/>
      <c r="W71" s="3867"/>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3"/>
      <c r="B72" s="3973"/>
      <c r="C72" s="1789"/>
      <c r="D72" s="8"/>
      <c r="E72" s="8"/>
      <c r="F72" s="8"/>
      <c r="G72" s="1914"/>
      <c r="H72" s="1837" t="s">
        <v>6494</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5"/>
      <c r="T72" s="3866"/>
      <c r="U72" s="3866"/>
      <c r="V72" s="3866"/>
      <c r="W72" s="3867"/>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3"/>
      <c r="B73" s="3973"/>
      <c r="C73" s="1789"/>
      <c r="D73" s="3863" t="s">
        <v>4073</v>
      </c>
      <c r="E73" s="3863"/>
      <c r="F73" s="3863"/>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5"/>
      <c r="T73" s="3866"/>
      <c r="U73" s="3866"/>
      <c r="V73" s="3866"/>
      <c r="W73" s="3867"/>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3"/>
      <c r="E74" s="3863"/>
      <c r="F74" s="3863"/>
      <c r="G74" s="8"/>
      <c r="H74" s="1836" t="s">
        <v>6493</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5"/>
      <c r="T74" s="3866"/>
      <c r="U74" s="3866"/>
      <c r="V74" s="3866"/>
      <c r="W74" s="3867"/>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3"/>
      <c r="E75" s="3863"/>
      <c r="F75" s="3863"/>
      <c r="G75" s="1914"/>
      <c r="H75" s="1837" t="s">
        <v>6494</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5"/>
      <c r="T75" s="3866"/>
      <c r="U75" s="3866"/>
      <c r="V75" s="3866"/>
      <c r="W75" s="3867"/>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3"/>
      <c r="E76" s="3863"/>
      <c r="F76" s="3863"/>
      <c r="G76" s="8"/>
      <c r="H76" s="1836" t="s">
        <v>1082</v>
      </c>
      <c r="I76" s="1790"/>
      <c r="J76" s="1"/>
      <c r="K76" s="1830" t="str">
        <f t="shared" ref="K76:P76" si="356">IF(OR(K58=0,K67=0),"",K58/K67)</f>
        <v/>
      </c>
      <c r="L76" s="1831">
        <f t="shared" si="356"/>
        <v>0.76923076923076927</v>
      </c>
      <c r="M76" s="1831">
        <f t="shared" si="356"/>
        <v>0.64864864864864868</v>
      </c>
      <c r="N76" s="1831">
        <f t="shared" si="356"/>
        <v>0.68181818181818177</v>
      </c>
      <c r="O76" s="1831" t="str">
        <f t="shared" si="356"/>
        <v/>
      </c>
      <c r="P76" s="1832">
        <f t="shared" si="356"/>
        <v>0.68055555555555558</v>
      </c>
      <c r="S76" s="3865"/>
      <c r="T76" s="3866"/>
      <c r="U76" s="3866"/>
      <c r="V76" s="3866"/>
      <c r="W76" s="3867"/>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3"/>
      <c r="E77" s="3863"/>
      <c r="F77" s="3863"/>
      <c r="G77" s="8"/>
      <c r="H77" s="1836" t="s">
        <v>6493</v>
      </c>
      <c r="I77" s="1790"/>
      <c r="J77" s="1"/>
      <c r="K77" s="1921" t="str">
        <f>IF(OR(K58=0,P76="",K67=0),"",P76*K67)</f>
        <v/>
      </c>
      <c r="L77" s="1921">
        <f>IF(OR(L58=0,P76="",L67=0),"",P76*L67)</f>
        <v>8.8472222222222232</v>
      </c>
      <c r="M77" s="1921">
        <f>IF(OR(M58=0,P76="",M67=0),"",P76*M67)</f>
        <v>25.180555555555557</v>
      </c>
      <c r="N77" s="1921">
        <f>IF(OR(N58=0,P76="",N67=0),"",P76*N67)</f>
        <v>14.972222222222223</v>
      </c>
      <c r="O77" s="1921" t="str">
        <f>IF(OR(O58=0,P76="",O67=0),"",P76*O67)</f>
        <v/>
      </c>
      <c r="P77" s="1922">
        <f>IF(OR(P76="",P67=0),"",P76*P67)</f>
        <v>49</v>
      </c>
      <c r="S77" s="3874"/>
      <c r="T77" s="3875"/>
      <c r="U77" s="3875"/>
      <c r="V77" s="3875"/>
      <c r="W77" s="3876"/>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3"/>
      <c r="E78" s="3863"/>
      <c r="F78" s="3863"/>
      <c r="G78" s="1914"/>
      <c r="H78" s="1837" t="s">
        <v>6494</v>
      </c>
      <c r="I78" s="1792"/>
      <c r="J78" s="1"/>
      <c r="K78" s="1923" t="str">
        <f t="shared" ref="K78:P78" si="357">IF(OR(K77="",K58=0),"", K58-K77)</f>
        <v/>
      </c>
      <c r="L78" s="1923">
        <f t="shared" si="357"/>
        <v>1.1527777777777768</v>
      </c>
      <c r="M78" s="1923">
        <f t="shared" si="357"/>
        <v>-1.1805555555555571</v>
      </c>
      <c r="N78" s="1923">
        <f t="shared" si="357"/>
        <v>2.7777777777776791E-2</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7.6923076923076927E-2</v>
      </c>
      <c r="M79" s="1831">
        <f t="shared" si="358"/>
        <v>0.24324324324324326</v>
      </c>
      <c r="N79" s="1831">
        <f t="shared" si="358"/>
        <v>0.22727272727272727</v>
      </c>
      <c r="O79" s="1831" t="str">
        <f t="shared" si="358"/>
        <v/>
      </c>
      <c r="P79" s="1832">
        <f t="shared" si="358"/>
        <v>0.20833333333333334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6493</v>
      </c>
      <c r="I80" s="1790"/>
      <c r="J80" s="1"/>
      <c r="K80" s="1921" t="str">
        <f>IF(OR(K59=0,P79="",K67=0),"",P79*K67)</f>
        <v/>
      </c>
      <c r="L80" s="1921">
        <f>IF(OR(L59=0,P79="",L67=0),"",P79*L67)</f>
        <v>2.7083333333333335</v>
      </c>
      <c r="M80" s="1921">
        <f>IF(OR(M59=0,P79="",M67=0),"",P79*M67)</f>
        <v>7.7083333333333339</v>
      </c>
      <c r="N80" s="1921">
        <f>IF(OR(N59=0,P79="",N67=0),"",P79*N67)</f>
        <v>4.5833333333333339</v>
      </c>
      <c r="O80" s="1921" t="str">
        <f>IF(OR(O59=0,P79="",O67=0),"",P79*O67)</f>
        <v/>
      </c>
      <c r="P80" s="1922">
        <f>IF(OR(P79="",P67=0),"",P79*P67)</f>
        <v>15</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6494</v>
      </c>
      <c r="I81" s="1792"/>
      <c r="J81" s="1"/>
      <c r="K81" s="1923" t="str">
        <f t="shared" ref="K81:P81" si="359">IF(OR(K80="",K59=0),"", K59-K80)</f>
        <v/>
      </c>
      <c r="L81" s="1923">
        <f t="shared" si="359"/>
        <v>-1.7083333333333335</v>
      </c>
      <c r="M81" s="1923">
        <f t="shared" si="359"/>
        <v>1.2916666666666661</v>
      </c>
      <c r="N81" s="1923">
        <f t="shared" si="359"/>
        <v>0.41666666666666607</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6493</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6494</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6493</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6494</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6493</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6494</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1"/>
      <c r="T93" s="3872"/>
      <c r="U93" s="3872"/>
      <c r="V93" s="3872"/>
      <c r="W93" s="3873"/>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5"/>
      <c r="T94" s="3866"/>
      <c r="U94" s="3866"/>
      <c r="V94" s="3866"/>
      <c r="W94" s="3867"/>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5"/>
      <c r="T95" s="3866"/>
      <c r="U95" s="3866"/>
      <c r="V95" s="3866"/>
      <c r="W95" s="3867"/>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5"/>
      <c r="T96" s="3866"/>
      <c r="U96" s="3866"/>
      <c r="V96" s="3866"/>
      <c r="W96" s="3867"/>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5"/>
      <c r="T97" s="3866"/>
      <c r="U97" s="3866"/>
      <c r="V97" s="3866"/>
      <c r="W97" s="3867"/>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5"/>
      <c r="T98" s="3866"/>
      <c r="U98" s="3866"/>
      <c r="V98" s="3866"/>
      <c r="W98" s="3867"/>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5"/>
      <c r="T99" s="3866"/>
      <c r="U99" s="3866"/>
      <c r="V99" s="3866"/>
      <c r="W99" s="3867"/>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4"/>
      <c r="T100" s="3875"/>
      <c r="U100" s="3875"/>
      <c r="V100" s="3875"/>
      <c r="W100" s="3876"/>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98" t="str">
        <f>$O$53</f>
        <v>40% of Units at 60% of AMI</v>
      </c>
      <c r="M102" s="3899"/>
      <c r="N102" s="3899"/>
      <c r="O102" s="390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1"/>
      <c r="T104" s="3872"/>
      <c r="U104" s="3872"/>
      <c r="V104" s="3872"/>
      <c r="W104" s="3873"/>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5"/>
      <c r="T105" s="3866"/>
      <c r="U105" s="3866"/>
      <c r="V105" s="3866"/>
      <c r="W105" s="3867"/>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5"/>
      <c r="T106" s="3866"/>
      <c r="U106" s="3866"/>
      <c r="V106" s="3866"/>
      <c r="W106" s="3867"/>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5"/>
      <c r="T107" s="3866"/>
      <c r="U107" s="3866"/>
      <c r="V107" s="3866"/>
      <c r="W107" s="3867"/>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5"/>
      <c r="T108" s="3866"/>
      <c r="U108" s="3866"/>
      <c r="V108" s="3866"/>
      <c r="W108" s="3867"/>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5"/>
      <c r="T109" s="3866"/>
      <c r="U109" s="3866"/>
      <c r="V109" s="3866"/>
      <c r="W109" s="3867"/>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5"/>
      <c r="T110" s="3866"/>
      <c r="U110" s="3866"/>
      <c r="V110" s="3866"/>
      <c r="W110" s="3867"/>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4"/>
      <c r="T111" s="3875"/>
      <c r="U111" s="3875"/>
      <c r="V111" s="3875"/>
      <c r="W111" s="3876"/>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81" t="s">
        <v>35</v>
      </c>
      <c r="D113" s="3981"/>
      <c r="E113" s="104" t="s">
        <v>2121</v>
      </c>
      <c r="F113" s="1"/>
      <c r="G113" s="83"/>
      <c r="H113" s="111" t="s">
        <v>1344</v>
      </c>
      <c r="I113" s="36"/>
      <c r="J113" s="83"/>
      <c r="K113" s="1429">
        <f>GG49</f>
        <v>0</v>
      </c>
      <c r="L113" s="1430">
        <f>GH49</f>
        <v>11</v>
      </c>
      <c r="M113" s="1430">
        <f>GI49</f>
        <v>33</v>
      </c>
      <c r="N113" s="1430">
        <f>GJ49</f>
        <v>20</v>
      </c>
      <c r="O113" s="1431">
        <f>GK49</f>
        <v>0</v>
      </c>
      <c r="P113" s="950">
        <f t="shared" ref="P113:P123" si="368">SUM(K113:O113)</f>
        <v>64</v>
      </c>
      <c r="S113" s="3871"/>
      <c r="T113" s="3872"/>
      <c r="U113" s="3872"/>
      <c r="V113" s="3872"/>
      <c r="W113" s="3873"/>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1"/>
      <c r="D114" s="3981"/>
      <c r="E114" s="111"/>
      <c r="F114" s="1"/>
      <c r="G114" s="83"/>
      <c r="H114" s="111" t="s">
        <v>290</v>
      </c>
      <c r="I114" s="36"/>
      <c r="J114" s="83"/>
      <c r="K114" s="1435">
        <f>GL49</f>
        <v>0</v>
      </c>
      <c r="L114" s="1436">
        <f>GM49</f>
        <v>2</v>
      </c>
      <c r="M114" s="1436">
        <f>GN49</f>
        <v>4</v>
      </c>
      <c r="N114" s="1436">
        <f>GO49</f>
        <v>2</v>
      </c>
      <c r="O114" s="1437">
        <f>GP49</f>
        <v>0</v>
      </c>
      <c r="P114" s="947">
        <f t="shared" si="368"/>
        <v>8</v>
      </c>
      <c r="S114" s="3865"/>
      <c r="T114" s="3866"/>
      <c r="U114" s="3866"/>
      <c r="V114" s="3866"/>
      <c r="W114" s="3867"/>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1"/>
      <c r="D115" s="3981"/>
      <c r="E115" s="111"/>
      <c r="F115" s="1"/>
      <c r="G115" s="83"/>
      <c r="H115" s="177" t="s">
        <v>29</v>
      </c>
      <c r="I115" s="87"/>
      <c r="J115" s="83"/>
      <c r="K115" s="1398">
        <f>SUM(K113:K114)+GQ49</f>
        <v>0</v>
      </c>
      <c r="L115" s="1398">
        <f>SUM(L113:L114)+GR49</f>
        <v>13</v>
      </c>
      <c r="M115" s="1398">
        <f>SUM(M113:M114)+GS49</f>
        <v>37</v>
      </c>
      <c r="N115" s="1398">
        <f>SUM(N113:N114)+GT49</f>
        <v>22</v>
      </c>
      <c r="O115" s="1398">
        <f>SUM(O113:O114)+GU49</f>
        <v>0</v>
      </c>
      <c r="P115" s="1398">
        <f t="shared" si="368"/>
        <v>72</v>
      </c>
      <c r="S115" s="3865"/>
      <c r="T115" s="3866"/>
      <c r="U115" s="3866"/>
      <c r="V115" s="3866"/>
      <c r="W115" s="3867"/>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81"/>
      <c r="D116" s="3981"/>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5"/>
      <c r="T116" s="3866"/>
      <c r="U116" s="3866"/>
      <c r="V116" s="3866"/>
      <c r="W116" s="3867"/>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1"/>
      <c r="D117" s="3981"/>
      <c r="E117" s="111"/>
      <c r="F117" s="1"/>
      <c r="G117" s="83"/>
      <c r="H117" s="111" t="s">
        <v>290</v>
      </c>
      <c r="I117" s="36"/>
      <c r="J117" s="83"/>
      <c r="K117" s="1435">
        <f>HA49</f>
        <v>0</v>
      </c>
      <c r="L117" s="1436">
        <f>HB49</f>
        <v>0</v>
      </c>
      <c r="M117" s="1436">
        <f>HC49</f>
        <v>0</v>
      </c>
      <c r="N117" s="1436">
        <f>HD49</f>
        <v>0</v>
      </c>
      <c r="O117" s="1437">
        <f>HE49</f>
        <v>0</v>
      </c>
      <c r="P117" s="947">
        <f t="shared" si="368"/>
        <v>0</v>
      </c>
      <c r="S117" s="3865"/>
      <c r="T117" s="3866"/>
      <c r="U117" s="3866"/>
      <c r="V117" s="3866"/>
      <c r="W117" s="3867"/>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1"/>
      <c r="D118" s="3981"/>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5"/>
      <c r="T118" s="3866"/>
      <c r="U118" s="3866"/>
      <c r="V118" s="3866"/>
      <c r="W118" s="3867"/>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9" t="s">
        <v>1338</v>
      </c>
      <c r="F119" s="3909"/>
      <c r="G119" s="83"/>
      <c r="H119" s="111" t="s">
        <v>1344</v>
      </c>
      <c r="I119" s="36"/>
      <c r="J119" s="83"/>
      <c r="K119" s="1429">
        <f>HK49</f>
        <v>0</v>
      </c>
      <c r="L119" s="1430">
        <f>HL49</f>
        <v>0</v>
      </c>
      <c r="M119" s="1430">
        <f>HM49</f>
        <v>0</v>
      </c>
      <c r="N119" s="1430">
        <f>HN49</f>
        <v>0</v>
      </c>
      <c r="O119" s="1431">
        <f>HO49</f>
        <v>0</v>
      </c>
      <c r="P119" s="950">
        <f t="shared" si="368"/>
        <v>0</v>
      </c>
      <c r="S119" s="3865"/>
      <c r="T119" s="3866"/>
      <c r="U119" s="3866"/>
      <c r="V119" s="3866"/>
      <c r="W119" s="3867"/>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9"/>
      <c r="F120" s="3909"/>
      <c r="G120" s="83"/>
      <c r="H120" s="111" t="s">
        <v>290</v>
      </c>
      <c r="I120" s="36"/>
      <c r="J120" s="83"/>
      <c r="K120" s="1435">
        <f>HP49</f>
        <v>0</v>
      </c>
      <c r="L120" s="1436">
        <f>HQ49</f>
        <v>0</v>
      </c>
      <c r="M120" s="1436">
        <f>HR49</f>
        <v>0</v>
      </c>
      <c r="N120" s="1436">
        <f>HS49</f>
        <v>0</v>
      </c>
      <c r="O120" s="1437">
        <f>HT49</f>
        <v>0</v>
      </c>
      <c r="P120" s="947">
        <f t="shared" si="368"/>
        <v>0</v>
      </c>
      <c r="S120" s="3865"/>
      <c r="T120" s="3866"/>
      <c r="U120" s="3866"/>
      <c r="V120" s="3866"/>
      <c r="W120" s="3867"/>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5"/>
      <c r="T121" s="3866"/>
      <c r="U121" s="3866"/>
      <c r="V121" s="3866"/>
      <c r="W121" s="3867"/>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5"/>
      <c r="T122" s="3866"/>
      <c r="U122" s="3866"/>
      <c r="V122" s="3866"/>
      <c r="W122" s="3867"/>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80" t="str">
        <f>IF(AND('Part III-A-Uses of Funds'!$T$179="Yes",'Part VIII Scoring Criteria'!$O$377&gt;0,P123&lt;1),"SHOW HISTORIC UNITS HERE &gt;&gt;&gt;&gt;","")</f>
        <v/>
      </c>
      <c r="B123" s="3980"/>
      <c r="C123" s="3980"/>
      <c r="D123" s="3980"/>
      <c r="E123" s="503" t="s">
        <v>3022</v>
      </c>
      <c r="F123" s="1"/>
      <c r="G123" s="185"/>
      <c r="H123" s="112"/>
      <c r="I123" s="83"/>
      <c r="J123" s="83"/>
      <c r="K123" s="608"/>
      <c r="L123" s="608"/>
      <c r="M123" s="608"/>
      <c r="N123" s="608"/>
      <c r="O123" s="608"/>
      <c r="P123" s="604">
        <f t="shared" si="368"/>
        <v>0</v>
      </c>
      <c r="S123" s="3865"/>
      <c r="T123" s="3866"/>
      <c r="U123" s="3866"/>
      <c r="V123" s="3866"/>
      <c r="W123" s="3867"/>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5"/>
      <c r="T124" s="3866"/>
      <c r="U124" s="3866"/>
      <c r="V124" s="3866"/>
      <c r="W124" s="3867"/>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4"/>
      <c r="T125" s="3875"/>
      <c r="U125" s="3875"/>
      <c r="V125" s="3875"/>
      <c r="W125" s="3876"/>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1" t="s">
        <v>6498</v>
      </c>
      <c r="D127" s="3881"/>
      <c r="E127" s="1165" t="s">
        <v>36</v>
      </c>
      <c r="F127" s="973"/>
      <c r="G127" s="1166"/>
      <c r="H127" s="1839"/>
      <c r="I127" s="1167"/>
      <c r="J127" s="1168"/>
      <c r="K127" s="1450">
        <f t="shared" ref="K127:P127" si="369">SUM(K128:K135)</f>
        <v>0</v>
      </c>
      <c r="L127" s="1451">
        <f t="shared" si="369"/>
        <v>13</v>
      </c>
      <c r="M127" s="1451">
        <f t="shared" si="369"/>
        <v>37</v>
      </c>
      <c r="N127" s="1451">
        <f t="shared" si="369"/>
        <v>22</v>
      </c>
      <c r="O127" s="1452">
        <f t="shared" si="369"/>
        <v>0</v>
      </c>
      <c r="P127" s="1401">
        <f t="shared" si="369"/>
        <v>72</v>
      </c>
      <c r="S127" s="3871"/>
      <c r="T127" s="3872"/>
      <c r="U127" s="3872"/>
      <c r="V127" s="3872"/>
      <c r="W127" s="387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2"/>
      <c r="D128" s="3882"/>
      <c r="E128" s="104"/>
      <c r="F128" s="5"/>
      <c r="G128" s="153"/>
      <c r="H128" s="1833" t="s">
        <v>6299</v>
      </c>
      <c r="I128" s="878"/>
      <c r="J128" s="1169"/>
      <c r="K128" s="1432">
        <f>JS49</f>
        <v>0</v>
      </c>
      <c r="L128" s="1433">
        <f>JT49</f>
        <v>13</v>
      </c>
      <c r="M128" s="1433">
        <f>JU49</f>
        <v>37</v>
      </c>
      <c r="N128" s="1433">
        <f>JV49</f>
        <v>22</v>
      </c>
      <c r="O128" s="1434">
        <f>JW49</f>
        <v>0</v>
      </c>
      <c r="P128" s="946">
        <f t="shared" ref="P128:P143" si="370">SUM(K128:O128)</f>
        <v>72</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2"/>
      <c r="D129" s="3882"/>
      <c r="E129" s="104"/>
      <c r="F129" s="5"/>
      <c r="G129" s="153"/>
      <c r="H129" s="1840" t="s">
        <v>2999</v>
      </c>
      <c r="I129" s="95"/>
      <c r="J129" s="1169"/>
      <c r="K129" s="2230">
        <f>KC49</f>
        <v>0</v>
      </c>
      <c r="L129" s="2231">
        <f>KD49</f>
        <v>0</v>
      </c>
      <c r="M129" s="2231">
        <f>KE49</f>
        <v>0</v>
      </c>
      <c r="N129" s="2231">
        <f>KF49</f>
        <v>0</v>
      </c>
      <c r="O129" s="2232">
        <f>KG49</f>
        <v>0</v>
      </c>
      <c r="P129" s="2242">
        <f t="shared" si="370"/>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2"/>
      <c r="D130" s="3882"/>
      <c r="E130" s="104"/>
      <c r="F130" s="5"/>
      <c r="G130" s="153"/>
      <c r="H130" s="1833" t="s">
        <v>6485</v>
      </c>
      <c r="I130" s="878"/>
      <c r="J130" s="1169"/>
      <c r="K130" s="1432">
        <f>JX49</f>
        <v>0</v>
      </c>
      <c r="L130" s="1433">
        <f>JY49</f>
        <v>0</v>
      </c>
      <c r="M130" s="1433">
        <f>JZ49</f>
        <v>0</v>
      </c>
      <c r="N130" s="1433">
        <f>KA49</f>
        <v>0</v>
      </c>
      <c r="O130" s="1434">
        <f>KB49</f>
        <v>0</v>
      </c>
      <c r="P130" s="946">
        <f t="shared" ref="P130:P135" si="371">SUM(K130:O130)</f>
        <v>0</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2"/>
      <c r="D131" s="3882"/>
      <c r="E131" s="104"/>
      <c r="F131" s="5"/>
      <c r="G131" s="153"/>
      <c r="H131" s="1840" t="s">
        <v>2999</v>
      </c>
      <c r="I131" s="95"/>
      <c r="J131" s="1169"/>
      <c r="K131" s="2230">
        <f>KH49</f>
        <v>0</v>
      </c>
      <c r="L131" s="2231">
        <f>KI49</f>
        <v>0</v>
      </c>
      <c r="M131" s="2231">
        <f>KJ49</f>
        <v>0</v>
      </c>
      <c r="N131" s="2231">
        <f>KK49</f>
        <v>0</v>
      </c>
      <c r="O131" s="2232">
        <f>KL49</f>
        <v>0</v>
      </c>
      <c r="P131" s="2242">
        <f t="shared" si="371"/>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2"/>
      <c r="D132" s="3882"/>
      <c r="E132" s="104"/>
      <c r="F132" s="1"/>
      <c r="G132" s="83"/>
      <c r="H132" s="1785" t="s">
        <v>6301</v>
      </c>
      <c r="I132" s="40"/>
      <c r="J132" s="83"/>
      <c r="K132" s="1456">
        <f>KM49</f>
        <v>0</v>
      </c>
      <c r="L132" s="1457">
        <f>KN49</f>
        <v>0</v>
      </c>
      <c r="M132" s="1457">
        <f>KO49</f>
        <v>0</v>
      </c>
      <c r="N132" s="1457">
        <f>KP49</f>
        <v>0</v>
      </c>
      <c r="O132" s="1458">
        <f>KQ49</f>
        <v>0</v>
      </c>
      <c r="P132" s="609">
        <f t="shared" si="371"/>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2"/>
      <c r="D133" s="3882"/>
      <c r="E133" s="104"/>
      <c r="F133" s="1"/>
      <c r="G133" s="83"/>
      <c r="H133" s="1841" t="s">
        <v>2999</v>
      </c>
      <c r="I133" s="875"/>
      <c r="J133" s="83"/>
      <c r="K133" s="2238">
        <f>KW49</f>
        <v>0</v>
      </c>
      <c r="L133" s="2239">
        <f>KX49</f>
        <v>0</v>
      </c>
      <c r="M133" s="2239">
        <f>KY49</f>
        <v>0</v>
      </c>
      <c r="N133" s="2239">
        <f>KZ49</f>
        <v>0</v>
      </c>
      <c r="O133" s="2240">
        <f>LA49</f>
        <v>0</v>
      </c>
      <c r="P133" s="2241">
        <f t="shared" si="371"/>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2"/>
      <c r="D134" s="3882"/>
      <c r="E134" s="104"/>
      <c r="F134" s="1"/>
      <c r="G134" s="83"/>
      <c r="H134" s="1785" t="s">
        <v>6492</v>
      </c>
      <c r="I134" s="40"/>
      <c r="J134" s="83"/>
      <c r="K134" s="1456">
        <f>KR49</f>
        <v>0</v>
      </c>
      <c r="L134" s="1457">
        <f>KS49</f>
        <v>0</v>
      </c>
      <c r="M134" s="1457">
        <f>KT49</f>
        <v>0</v>
      </c>
      <c r="N134" s="1457">
        <f>KU49</f>
        <v>0</v>
      </c>
      <c r="O134" s="1458">
        <f>KV49</f>
        <v>0</v>
      </c>
      <c r="P134" s="609">
        <f t="shared" si="371"/>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2"/>
      <c r="D135" s="3882"/>
      <c r="E135" s="104"/>
      <c r="F135" s="1"/>
      <c r="G135" s="83"/>
      <c r="H135" s="1841" t="s">
        <v>2999</v>
      </c>
      <c r="I135" s="875"/>
      <c r="J135" s="83"/>
      <c r="K135" s="2238">
        <f>LB49</f>
        <v>0</v>
      </c>
      <c r="L135" s="2239">
        <f>LC49</f>
        <v>0</v>
      </c>
      <c r="M135" s="2239">
        <f>LD49</f>
        <v>0</v>
      </c>
      <c r="N135" s="2239">
        <f>LE49</f>
        <v>0</v>
      </c>
      <c r="O135" s="2240">
        <f>LF49</f>
        <v>0</v>
      </c>
      <c r="P135" s="2241">
        <f t="shared" si="371"/>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2"/>
      <c r="D136" s="3882"/>
      <c r="E136" s="104" t="s">
        <v>6487</v>
      </c>
      <c r="F136" s="1"/>
      <c r="G136" s="83"/>
      <c r="H136" s="1785"/>
      <c r="I136" s="40"/>
      <c r="J136" s="83"/>
      <c r="K136" s="1429">
        <f>IE49</f>
        <v>0</v>
      </c>
      <c r="L136" s="1430">
        <f>IF49</f>
        <v>0</v>
      </c>
      <c r="M136" s="1430">
        <f>IG49</f>
        <v>0</v>
      </c>
      <c r="N136" s="1430">
        <f>IH49</f>
        <v>0</v>
      </c>
      <c r="O136" s="1431">
        <f>II49</f>
        <v>0</v>
      </c>
      <c r="P136" s="2226">
        <f t="shared" si="370"/>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2"/>
      <c r="D137" s="3882"/>
      <c r="E137" s="104"/>
      <c r="F137" s="1"/>
      <c r="G137" s="83"/>
      <c r="H137" s="1841" t="s">
        <v>2999</v>
      </c>
      <c r="I137" s="875"/>
      <c r="J137" s="83"/>
      <c r="K137" s="2230">
        <f>IJ49</f>
        <v>0</v>
      </c>
      <c r="L137" s="2231">
        <f>IK49</f>
        <v>0</v>
      </c>
      <c r="M137" s="2231">
        <f>IL49</f>
        <v>0</v>
      </c>
      <c r="N137" s="2231">
        <f>IM49</f>
        <v>0</v>
      </c>
      <c r="O137" s="2232">
        <f>IN49</f>
        <v>0</v>
      </c>
      <c r="P137" s="2233">
        <f t="shared" si="370"/>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2"/>
      <c r="D138" s="3882"/>
      <c r="E138" s="104" t="s">
        <v>6488</v>
      </c>
      <c r="F138" s="1"/>
      <c r="G138" s="83"/>
      <c r="H138" s="1785"/>
      <c r="I138" s="40"/>
      <c r="J138" s="83"/>
      <c r="K138" s="1456">
        <f>JI49</f>
        <v>0</v>
      </c>
      <c r="L138" s="1457">
        <f>JJ49</f>
        <v>0</v>
      </c>
      <c r="M138" s="1457">
        <f>JK49</f>
        <v>0</v>
      </c>
      <c r="N138" s="1457">
        <f>JL49</f>
        <v>0</v>
      </c>
      <c r="O138" s="1458">
        <f>JM49</f>
        <v>0</v>
      </c>
      <c r="P138" s="2227">
        <f t="shared" si="370"/>
        <v>0</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2"/>
      <c r="D139" s="3882"/>
      <c r="E139" s="104"/>
      <c r="F139" s="1"/>
      <c r="G139" s="83"/>
      <c r="H139" s="1841" t="s">
        <v>2999</v>
      </c>
      <c r="I139" s="875"/>
      <c r="J139" s="83"/>
      <c r="K139" s="2230">
        <f>JN49</f>
        <v>0</v>
      </c>
      <c r="L139" s="2231">
        <f>JO49</f>
        <v>0</v>
      </c>
      <c r="M139" s="2231">
        <f>JP49</f>
        <v>0</v>
      </c>
      <c r="N139" s="2231">
        <f>JQ49</f>
        <v>0</v>
      </c>
      <c r="O139" s="2232">
        <f>JR49</f>
        <v>0</v>
      </c>
      <c r="P139" s="2233">
        <f t="shared" si="370"/>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2"/>
      <c r="D140" s="3882"/>
      <c r="E140" s="111" t="s">
        <v>6295</v>
      </c>
      <c r="F140" s="1"/>
      <c r="G140" s="83"/>
      <c r="H140" s="1785"/>
      <c r="I140" s="40"/>
      <c r="J140" s="83"/>
      <c r="K140" s="1456">
        <f>IY49</f>
        <v>0</v>
      </c>
      <c r="L140" s="1457">
        <f>IZ49</f>
        <v>0</v>
      </c>
      <c r="M140" s="1457">
        <f>JA49</f>
        <v>0</v>
      </c>
      <c r="N140" s="1457">
        <f>JB49</f>
        <v>0</v>
      </c>
      <c r="O140" s="1458">
        <f>JC49</f>
        <v>0</v>
      </c>
      <c r="P140" s="2227">
        <f t="shared" si="370"/>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2"/>
      <c r="D141" s="3882"/>
      <c r="E141" s="111"/>
      <c r="F141" s="1"/>
      <c r="G141" s="83"/>
      <c r="H141" s="1841" t="s">
        <v>2999</v>
      </c>
      <c r="I141" s="875"/>
      <c r="J141" s="83"/>
      <c r="K141" s="2238">
        <f>JD49</f>
        <v>0</v>
      </c>
      <c r="L141" s="2239">
        <f>JE49</f>
        <v>0</v>
      </c>
      <c r="M141" s="2239">
        <f>JF49</f>
        <v>0</v>
      </c>
      <c r="N141" s="2239">
        <f>JG49</f>
        <v>0</v>
      </c>
      <c r="O141" s="2240">
        <f>JH49</f>
        <v>0</v>
      </c>
      <c r="P141" s="2233">
        <f t="shared" si="370"/>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2"/>
      <c r="D142" s="3882"/>
      <c r="E142" s="90" t="s">
        <v>525</v>
      </c>
      <c r="F142" s="1"/>
      <c r="G142" s="83"/>
      <c r="H142" s="1785"/>
      <c r="I142" s="40"/>
      <c r="J142" s="83"/>
      <c r="K142" s="1456">
        <f>IO49</f>
        <v>0</v>
      </c>
      <c r="L142" s="1457">
        <f>IP49</f>
        <v>0</v>
      </c>
      <c r="M142" s="1457">
        <f>IQ49</f>
        <v>0</v>
      </c>
      <c r="N142" s="1457">
        <f>IR49</f>
        <v>0</v>
      </c>
      <c r="O142" s="1458">
        <f>IS49</f>
        <v>0</v>
      </c>
      <c r="P142" s="2227">
        <f t="shared" si="370"/>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8" t="str">
        <f>$O$53</f>
        <v>40% of Units at 60% of AMI</v>
      </c>
      <c r="M145" s="3899"/>
      <c r="N145" s="3899"/>
      <c r="O145" s="3900"/>
      <c r="P145" s="83"/>
      <c r="S145" s="3901" t="str">
        <f>B145</f>
        <v>UNIT SUMMARY (Continued)</v>
      </c>
      <c r="T145" s="3901"/>
      <c r="U145" s="3901"/>
      <c r="V145" s="3901"/>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1" t="s">
        <v>6499</v>
      </c>
      <c r="D147" s="3881"/>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1"/>
      <c r="T147" s="3872"/>
      <c r="U147" s="3872"/>
      <c r="V147" s="3872"/>
      <c r="W147" s="387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2"/>
      <c r="D148" s="3882"/>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2"/>
      <c r="D149" s="3882"/>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2"/>
      <c r="D150" s="3882"/>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2"/>
      <c r="D151" s="3882"/>
      <c r="E151" s="104" t="s">
        <v>2996</v>
      </c>
      <c r="F151" s="509"/>
      <c r="G151" s="153"/>
      <c r="H151" s="1833"/>
      <c r="I151" s="878"/>
      <c r="J151" s="1169"/>
      <c r="K151" s="1465">
        <f>K128+K132</f>
        <v>0</v>
      </c>
      <c r="L151" s="1466">
        <f t="shared" ref="L151:O151" si="375">L128+L132</f>
        <v>13</v>
      </c>
      <c r="M151" s="1466">
        <f t="shared" si="375"/>
        <v>37</v>
      </c>
      <c r="N151" s="1466">
        <f t="shared" si="375"/>
        <v>22</v>
      </c>
      <c r="O151" s="1467">
        <f t="shared" si="375"/>
        <v>0</v>
      </c>
      <c r="P151" s="2227">
        <f t="shared" si="373"/>
        <v>72</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2"/>
      <c r="D152" s="3882"/>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2"/>
      <c r="D153" s="3882"/>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70" t="s">
        <v>3895</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0"/>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6501</v>
      </c>
      <c r="C156" s="1"/>
      <c r="D156" s="1"/>
      <c r="E156" s="1"/>
      <c r="F156" s="1"/>
      <c r="G156" s="83"/>
      <c r="H156" s="40"/>
      <c r="I156" s="40"/>
      <c r="J156" s="83"/>
      <c r="K156" s="612"/>
      <c r="L156" s="612"/>
      <c r="M156" s="612"/>
      <c r="N156" s="612"/>
      <c r="O156" s="612"/>
      <c r="P156" s="612"/>
      <c r="Q156" s="3870"/>
      <c r="S156" s="3488" t="str">
        <f>B156</f>
        <v>UNIT SQUARE FOOTAGE</v>
      </c>
      <c r="T156" s="3488"/>
      <c r="U156" s="3488"/>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1"/>
      <c r="T157" s="3872"/>
      <c r="U157" s="3872"/>
      <c r="V157" s="3872"/>
      <c r="W157" s="3873"/>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5"/>
      <c r="T158" s="3866"/>
      <c r="U158" s="3866"/>
      <c r="V158" s="3866"/>
      <c r="W158" s="3867"/>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8000</v>
      </c>
      <c r="M159" s="1469">
        <f>EU49</f>
        <v>26400</v>
      </c>
      <c r="N159" s="1469">
        <f>EV49</f>
        <v>18750</v>
      </c>
      <c r="O159" s="1470">
        <f>EW49</f>
        <v>0</v>
      </c>
      <c r="P159" s="1393">
        <f t="shared" si="379"/>
        <v>53150</v>
      </c>
      <c r="Q159" s="1626">
        <f t="shared" si="380"/>
        <v>1084.6938775510205</v>
      </c>
      <c r="S159" s="3865"/>
      <c r="T159" s="3866"/>
      <c r="U159" s="3866"/>
      <c r="V159" s="3866"/>
      <c r="W159" s="3867"/>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800</v>
      </c>
      <c r="M160" s="1550">
        <f>EZ49</f>
        <v>9900</v>
      </c>
      <c r="N160" s="1550">
        <f>FA49</f>
        <v>6250</v>
      </c>
      <c r="O160" s="1551">
        <f>FB49</f>
        <v>0</v>
      </c>
      <c r="P160" s="1552">
        <f t="shared" si="379"/>
        <v>16950</v>
      </c>
      <c r="Q160" s="1626">
        <f t="shared" si="380"/>
        <v>1130</v>
      </c>
      <c r="S160" s="3865"/>
      <c r="T160" s="3866"/>
      <c r="U160" s="3866"/>
      <c r="V160" s="3866"/>
      <c r="W160" s="3867"/>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5"/>
      <c r="T161" s="3866"/>
      <c r="U161" s="3866"/>
      <c r="V161" s="3866"/>
      <c r="W161" s="3867"/>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5"/>
      <c r="T162" s="3866"/>
      <c r="U162" s="3866"/>
      <c r="V162" s="3866"/>
      <c r="W162" s="3867"/>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5"/>
      <c r="T163" s="3866"/>
      <c r="U163" s="3866"/>
      <c r="V163" s="3866"/>
      <c r="W163" s="3867"/>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8800</v>
      </c>
      <c r="M164" s="2229">
        <f>SUM(M157:M163)</f>
        <v>36300</v>
      </c>
      <c r="N164" s="2229">
        <f>SUM(N157:N163)</f>
        <v>25000</v>
      </c>
      <c r="O164" s="2229">
        <f>SUM(O157:O163)</f>
        <v>0</v>
      </c>
      <c r="P164" s="2229">
        <f>SUM(K164:O164)</f>
        <v>70100</v>
      </c>
      <c r="S164" s="3865"/>
      <c r="T164" s="3866"/>
      <c r="U164" s="3866"/>
      <c r="V164" s="3866"/>
      <c r="W164" s="3867"/>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1600</v>
      </c>
      <c r="M165" s="1472">
        <f>FT49</f>
        <v>4400</v>
      </c>
      <c r="N165" s="1472">
        <f>FU49</f>
        <v>2500</v>
      </c>
      <c r="O165" s="1473">
        <f>FV49</f>
        <v>0</v>
      </c>
      <c r="P165" s="1400">
        <f>SUM(K165:O165)</f>
        <v>8500</v>
      </c>
      <c r="Q165" s="1562">
        <f>IF(OR(P64=0,P64=""),"",P165/P64)</f>
        <v>1062.5</v>
      </c>
      <c r="S165" s="3865"/>
      <c r="T165" s="3866"/>
      <c r="U165" s="3866"/>
      <c r="V165" s="3866"/>
      <c r="W165" s="3867"/>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10400</v>
      </c>
      <c r="M166" s="2228">
        <f>SUM(M164:M165)</f>
        <v>40700</v>
      </c>
      <c r="N166" s="2228">
        <f>SUM(N164:N165)</f>
        <v>27500</v>
      </c>
      <c r="O166" s="2228">
        <f>SUM(O164:O165)</f>
        <v>0</v>
      </c>
      <c r="P166" s="2228">
        <f>SUM(K166:O166)</f>
        <v>78600</v>
      </c>
      <c r="S166" s="3865"/>
      <c r="T166" s="3866"/>
      <c r="U166" s="3866"/>
      <c r="V166" s="3866"/>
      <c r="W166" s="3867"/>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5"/>
      <c r="T167" s="3866"/>
      <c r="U167" s="3866"/>
      <c r="V167" s="3866"/>
      <c r="W167" s="3867"/>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10400</v>
      </c>
      <c r="M168" s="1399">
        <f>SUM(M166:M167)</f>
        <v>40700</v>
      </c>
      <c r="N168" s="1399">
        <f>SUM(N166:N167)</f>
        <v>27500</v>
      </c>
      <c r="O168" s="1399">
        <f>SUM(O166:O167)</f>
        <v>0</v>
      </c>
      <c r="P168" s="1399">
        <f>SUM(K168:O168)</f>
        <v>78600</v>
      </c>
      <c r="S168" s="3874"/>
      <c r="T168" s="3875"/>
      <c r="U168" s="3875"/>
      <c r="V168" s="3875"/>
      <c r="W168" s="3876"/>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800</v>
      </c>
      <c r="M171" s="1625">
        <f>IF(OR(M67="",M67=0),"",M168/M67)</f>
        <v>1100</v>
      </c>
      <c r="N171" s="1625">
        <f>IF(OR(N67="",N67=0),"",N168/N67)</f>
        <v>1250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6656</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6652</v>
      </c>
      <c r="K174" s="3968">
        <v>2500</v>
      </c>
      <c r="L174" s="3969"/>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6">
        <f>P168+K174</f>
        <v>81100</v>
      </c>
      <c r="L175" s="3967"/>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4">
        <f>'Part VI-Pro Forma'!B10*M50</f>
        <v>17001.36</v>
      </c>
      <c r="I179" s="3905"/>
      <c r="J179" s="3906"/>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1"/>
      <c r="T183" s="3872"/>
      <c r="U183" s="3872"/>
      <c r="V183" s="3872"/>
      <c r="W183" s="3873"/>
    </row>
    <row r="184" spans="1:493" ht="15.6" customHeight="1">
      <c r="B184" s="111" t="s">
        <v>690</v>
      </c>
      <c r="C184" s="3910"/>
      <c r="D184" s="3911"/>
      <c r="E184" s="3911"/>
      <c r="F184" s="3912"/>
      <c r="H184" s="903"/>
      <c r="I184" s="903"/>
      <c r="J184" s="903"/>
      <c r="K184" s="903"/>
      <c r="L184" s="904"/>
      <c r="M184" s="903"/>
      <c r="N184" s="903"/>
      <c r="O184" s="903"/>
      <c r="P184" s="903"/>
      <c r="Q184" s="903"/>
      <c r="R184" s="859"/>
      <c r="S184" s="3865"/>
      <c r="T184" s="3866"/>
      <c r="U184" s="3866"/>
      <c r="V184" s="3866"/>
      <c r="W184" s="3867"/>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4"/>
      <c r="T185" s="3875"/>
      <c r="U185" s="3875"/>
      <c r="V185" s="3875"/>
      <c r="W185" s="3876"/>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1"/>
      <c r="T187" s="3872"/>
      <c r="U187" s="3872"/>
      <c r="V187" s="3872"/>
      <c r="W187" s="3873"/>
    </row>
    <row r="188" spans="1:493" ht="15.6" customHeight="1">
      <c r="B188" s="111" t="s">
        <v>690</v>
      </c>
      <c r="C188" s="3910"/>
      <c r="D188" s="3911"/>
      <c r="E188" s="3911"/>
      <c r="F188" s="3912"/>
      <c r="H188" s="903"/>
      <c r="I188" s="903"/>
      <c r="J188" s="903"/>
      <c r="K188" s="903"/>
      <c r="L188" s="904"/>
      <c r="M188" s="903"/>
      <c r="N188" s="903"/>
      <c r="O188" s="903"/>
      <c r="P188" s="903"/>
      <c r="Q188" s="903"/>
      <c r="R188" s="859"/>
      <c r="S188" s="3865"/>
      <c r="T188" s="3866"/>
      <c r="U188" s="3866"/>
      <c r="V188" s="3866"/>
      <c r="W188" s="3867"/>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4"/>
      <c r="T189" s="3875"/>
      <c r="U189" s="3875"/>
      <c r="V189" s="3875"/>
      <c r="W189" s="3876"/>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1"/>
      <c r="T192" s="3872"/>
      <c r="U192" s="3872"/>
      <c r="V192" s="3872"/>
      <c r="W192" s="387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0"/>
      <c r="D193" s="3911"/>
      <c r="E193" s="3911"/>
      <c r="F193" s="3912"/>
      <c r="H193" s="903"/>
      <c r="I193" s="903"/>
      <c r="J193" s="903"/>
      <c r="K193" s="903"/>
      <c r="L193" s="904"/>
      <c r="M193" s="903"/>
      <c r="N193" s="903"/>
      <c r="O193" s="903"/>
      <c r="P193" s="903"/>
      <c r="Q193" s="903"/>
      <c r="R193" s="859"/>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1"/>
      <c r="T196" s="3872"/>
      <c r="U196" s="3872"/>
      <c r="V196" s="3872"/>
      <c r="W196" s="387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0"/>
      <c r="D197" s="3911"/>
      <c r="E197" s="3911"/>
      <c r="F197" s="3912"/>
      <c r="H197" s="903"/>
      <c r="I197" s="903"/>
      <c r="J197" s="903"/>
      <c r="K197" s="903"/>
      <c r="L197" s="904"/>
      <c r="M197" s="903"/>
      <c r="N197" s="903"/>
      <c r="O197" s="903"/>
      <c r="P197" s="903"/>
      <c r="Q197" s="903"/>
      <c r="R197" s="859"/>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1"/>
      <c r="T201" s="3872"/>
      <c r="U201" s="3872"/>
      <c r="V201" s="3872"/>
      <c r="W201" s="387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0"/>
      <c r="D202" s="3911"/>
      <c r="E202" s="3911"/>
      <c r="F202" s="3912"/>
      <c r="H202" s="903"/>
      <c r="I202" s="903"/>
      <c r="J202" s="903"/>
      <c r="K202" s="903"/>
      <c r="L202" s="904"/>
      <c r="M202" s="903"/>
      <c r="N202" s="903"/>
      <c r="O202" s="903"/>
      <c r="P202" s="903"/>
      <c r="Q202" s="903"/>
      <c r="R202" s="859"/>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1"/>
      <c r="T205" s="3872"/>
      <c r="U205" s="3872"/>
      <c r="V205" s="3872"/>
      <c r="W205" s="387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0"/>
      <c r="D206" s="3911"/>
      <c r="E206" s="3911"/>
      <c r="F206" s="3912"/>
      <c r="H206" s="903"/>
      <c r="I206" s="903"/>
      <c r="J206" s="903"/>
      <c r="K206" s="903"/>
      <c r="L206" s="904"/>
      <c r="M206" s="903"/>
      <c r="N206" s="903"/>
      <c r="O206" s="903"/>
      <c r="P206" s="903"/>
      <c r="Q206" s="903"/>
      <c r="R206" s="859"/>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1"/>
      <c r="T210" s="3872"/>
      <c r="U210" s="3872"/>
      <c r="V210" s="3872"/>
      <c r="W210" s="3873"/>
    </row>
    <row r="211" spans="1:493" ht="15.6" customHeight="1">
      <c r="B211" s="111" t="s">
        <v>690</v>
      </c>
      <c r="C211" s="3910"/>
      <c r="D211" s="3911"/>
      <c r="E211" s="3911"/>
      <c r="F211" s="3912"/>
      <c r="H211" s="903"/>
      <c r="I211" s="903"/>
      <c r="J211" s="903"/>
      <c r="K211" s="903"/>
      <c r="L211" s="904"/>
      <c r="M211" s="90"/>
      <c r="N211" s="90"/>
      <c r="O211" s="90"/>
      <c r="P211" s="90"/>
      <c r="Q211" s="90"/>
      <c r="R211" s="8"/>
      <c r="S211" s="3865"/>
      <c r="T211" s="3866"/>
      <c r="U211" s="3866"/>
      <c r="V211" s="3866"/>
      <c r="W211" s="3867"/>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4"/>
      <c r="T212" s="3875"/>
      <c r="U212" s="3875"/>
      <c r="V212" s="3875"/>
      <c r="W212" s="3876"/>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1"/>
      <c r="T214" s="3872"/>
      <c r="U214" s="3872"/>
      <c r="V214" s="3872"/>
      <c r="W214" s="3873"/>
    </row>
    <row r="215" spans="1:493" ht="15.6" customHeight="1">
      <c r="B215" s="111" t="s">
        <v>690</v>
      </c>
      <c r="C215" s="3910"/>
      <c r="D215" s="3911"/>
      <c r="E215" s="3911"/>
      <c r="F215" s="3912"/>
      <c r="H215" s="903"/>
      <c r="I215" s="903"/>
      <c r="J215" s="903"/>
      <c r="K215" s="903"/>
      <c r="L215" s="904"/>
      <c r="M215" s="90"/>
      <c r="N215" s="90"/>
      <c r="O215" s="90"/>
      <c r="P215" s="90"/>
      <c r="Q215" s="90"/>
      <c r="R215" s="8"/>
      <c r="S215" s="3865"/>
      <c r="T215" s="3866"/>
      <c r="U215" s="3866"/>
      <c r="V215" s="3866"/>
      <c r="W215" s="3867"/>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64510</v>
      </c>
      <c r="R220" s="1"/>
      <c r="S220" s="3871"/>
      <c r="T220" s="3872"/>
      <c r="U220" s="3872"/>
      <c r="V220" s="3872"/>
      <c r="W220" s="387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2">
        <v>45000</v>
      </c>
      <c r="G221" s="3933"/>
      <c r="H221" s="1"/>
      <c r="I221" s="1" t="s">
        <v>1301</v>
      </c>
      <c r="K221" s="1"/>
      <c r="L221" s="3932"/>
      <c r="M221" s="3933"/>
      <c r="N221" s="1"/>
      <c r="O221" s="418">
        <f>+Q220/(P67*0.93)</f>
        <v>963.41099163679803</v>
      </c>
      <c r="P221" s="66" t="s">
        <v>2486</v>
      </c>
      <c r="Q221" s="1"/>
      <c r="R221" s="859"/>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7">
        <v>37200</v>
      </c>
      <c r="G222" s="3908"/>
      <c r="H222" s="1"/>
      <c r="I222" s="1" t="s">
        <v>1302</v>
      </c>
      <c r="K222" s="1"/>
      <c r="L222" s="3935"/>
      <c r="M222" s="3936"/>
      <c r="N222" s="1"/>
      <c r="O222" s="418">
        <f>+Q220/(P67*0.93)/12</f>
        <v>80.284249303066503</v>
      </c>
      <c r="P222" s="66" t="s">
        <v>2487</v>
      </c>
      <c r="Q222" s="1"/>
      <c r="R222" s="859"/>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7"/>
      <c r="G223" s="3908"/>
      <c r="H223" s="1"/>
      <c r="I223" s="1"/>
      <c r="K223" s="123" t="s">
        <v>184</v>
      </c>
      <c r="L223" s="3939">
        <f>SUM(L221:M222)</f>
        <v>0</v>
      </c>
      <c r="M223" s="3940"/>
      <c r="N223" s="1"/>
      <c r="O223" s="36" t="s">
        <v>3225</v>
      </c>
      <c r="P223" s="961"/>
      <c r="Q223" s="961"/>
      <c r="R223" s="859"/>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6641</v>
      </c>
      <c r="F224" s="3907"/>
      <c r="G224" s="3908"/>
      <c r="H224" s="1"/>
      <c r="I224" s="1"/>
      <c r="K224" s="1"/>
      <c r="L224" s="1"/>
      <c r="M224" s="1"/>
      <c r="N224" s="1"/>
      <c r="R224" s="856"/>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7"/>
      <c r="G225" s="3908"/>
      <c r="H225" s="1"/>
      <c r="I225" s="1"/>
      <c r="K225" s="1"/>
      <c r="L225" s="1"/>
      <c r="M225" s="1"/>
      <c r="N225" s="1"/>
      <c r="R225" s="856"/>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6" t="s">
        <v>46</v>
      </c>
      <c r="C226" s="3917"/>
      <c r="D226" s="3917"/>
      <c r="E226" s="3918"/>
      <c r="F226" s="3935"/>
      <c r="G226" s="3936"/>
      <c r="H226" s="1"/>
      <c r="I226" s="10" t="s">
        <v>1216</v>
      </c>
      <c r="K226" s="1"/>
      <c r="L226" s="1"/>
      <c r="M226" s="1"/>
      <c r="N226" s="1"/>
      <c r="R226" s="856"/>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9">
        <f>SUM(F221:G226)</f>
        <v>82200</v>
      </c>
      <c r="G227" s="3940"/>
      <c r="H227" s="1"/>
      <c r="I227" s="1" t="s">
        <v>1498</v>
      </c>
      <c r="K227" s="1"/>
      <c r="L227" s="3919">
        <v>4000</v>
      </c>
      <c r="M227" s="3920"/>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1">
        <v>7000</v>
      </c>
      <c r="M228" s="3922"/>
      <c r="N228" s="3934" t="str">
        <f>IF(Q230="","",IF(Q228&lt;Q230, "WARNING! OE below required minimum.",""))</f>
        <v/>
      </c>
      <c r="O228" s="10" t="s">
        <v>2030</v>
      </c>
      <c r="P228" s="5"/>
      <c r="Q228" s="427">
        <f>F227+F236+F247+L223+L231+L241+L247+Q220</f>
        <v>324060</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1"/>
      <c r="M229" s="3922"/>
      <c r="N229" s="3934"/>
      <c r="O229" s="66" t="s">
        <v>2488</v>
      </c>
      <c r="P229" s="418">
        <f>+Q228/P67</f>
        <v>4500.833333333333</v>
      </c>
      <c r="R229" s="857"/>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2">
        <v>1000</v>
      </c>
      <c r="G230" s="3933"/>
      <c r="H230" s="1"/>
      <c r="I230" s="3925" t="s">
        <v>46</v>
      </c>
      <c r="J230" s="3926"/>
      <c r="K230" s="3927"/>
      <c r="L230" s="3937"/>
      <c r="M230" s="3938"/>
      <c r="N230" s="3934"/>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324000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7">
        <v>1000</v>
      </c>
      <c r="G231" s="3908"/>
      <c r="H231" s="1"/>
      <c r="I231" s="10"/>
      <c r="K231" s="11" t="s">
        <v>184</v>
      </c>
      <c r="L231" s="3941">
        <f>SUM(L227:L230)</f>
        <v>11000</v>
      </c>
      <c r="M231" s="3942"/>
      <c r="N231" s="3934"/>
      <c r="O231" s="3948" t="s">
        <v>6731</v>
      </c>
      <c r="P231" s="3948"/>
      <c r="Q231" s="3948"/>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7">
        <v>1000</v>
      </c>
      <c r="G232" s="3908"/>
      <c r="H232" s="1"/>
      <c r="N232" s="1"/>
      <c r="O232" s="3948"/>
      <c r="P232" s="3948"/>
      <c r="Q232" s="3948"/>
      <c r="R232" s="1163"/>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7"/>
      <c r="G233" s="3908"/>
      <c r="H233" s="1"/>
      <c r="L233" s="1"/>
      <c r="M233" s="1"/>
      <c r="N233" s="1"/>
      <c r="R233" s="1163"/>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7"/>
      <c r="G234" s="3908"/>
      <c r="H234" s="1"/>
      <c r="I234" s="10" t="s">
        <v>1298</v>
      </c>
      <c r="K234" s="1036" t="s">
        <v>3888</v>
      </c>
      <c r="O234" s="1658" t="s">
        <v>3088</v>
      </c>
      <c r="P234" s="10"/>
      <c r="Q234" s="1176">
        <f>Q243</f>
        <v>18000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6" t="s">
        <v>46</v>
      </c>
      <c r="C235" s="3917"/>
      <c r="D235" s="3917"/>
      <c r="E235" s="3918"/>
      <c r="F235" s="3935"/>
      <c r="G235" s="3936"/>
      <c r="H235" s="1"/>
      <c r="I235" s="1" t="s">
        <v>1291</v>
      </c>
      <c r="K235" s="477">
        <f>L235/12/P67</f>
        <v>10.416666666666666</v>
      </c>
      <c r="L235" s="3919">
        <v>9000</v>
      </c>
      <c r="M235" s="3920"/>
      <c r="N235" s="3952" t="str">
        <f>IF(Q234&lt;Q243, "WARNING! RR proposed is below the DCA required minimum.","")</f>
        <v/>
      </c>
      <c r="O235" s="978" t="s">
        <v>3887</v>
      </c>
      <c r="P235" s="973"/>
      <c r="Q235" s="979">
        <f>Q234/P243</f>
        <v>250</v>
      </c>
      <c r="R235" s="856"/>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9">
        <f>SUM(F230:G235)</f>
        <v>3000</v>
      </c>
      <c r="G236" s="3940"/>
      <c r="H236" s="1"/>
      <c r="I236" s="1" t="s">
        <v>1292</v>
      </c>
      <c r="K236" s="477" t="e">
        <f>L236/12/P67</f>
        <v>#VALUE!</v>
      </c>
      <c r="L236" s="3945" t="s">
        <v>233</v>
      </c>
      <c r="M236" s="3922"/>
      <c r="N236" s="3953"/>
      <c r="O236" s="3954" t="s">
        <v>3232</v>
      </c>
      <c r="P236" s="3955"/>
      <c r="Q236" s="3956"/>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10.416666666666666</v>
      </c>
      <c r="L237" s="3921">
        <v>9000</v>
      </c>
      <c r="M237" s="3922"/>
      <c r="N237" s="3953"/>
      <c r="O237" s="972" t="s">
        <v>2465</v>
      </c>
      <c r="P237" s="853" t="s">
        <v>3285</v>
      </c>
      <c r="Q237" s="974" t="s">
        <v>3056</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11.574074074074074</v>
      </c>
      <c r="L238" s="3921">
        <v>10000</v>
      </c>
      <c r="M238" s="3922"/>
      <c r="N238" s="3953"/>
      <c r="O238" s="644" t="s">
        <v>36</v>
      </c>
      <c r="P238" s="645"/>
      <c r="Q238" s="646"/>
      <c r="R238" s="857"/>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7">
        <v>10350</v>
      </c>
      <c r="G239" s="3958"/>
      <c r="H239" s="1"/>
      <c r="I239" s="94" t="s">
        <v>6691</v>
      </c>
      <c r="K239" s="477">
        <f>L239/12/P67</f>
        <v>1.7361111111111112</v>
      </c>
      <c r="L239" s="3921">
        <v>1500</v>
      </c>
      <c r="M239" s="3922"/>
      <c r="N239" s="3953"/>
      <c r="O239" s="508" t="s">
        <v>3054</v>
      </c>
      <c r="P239" s="858" t="str">
        <f>CONCATENATE(SUM(MF49:MJ49)," units x $",'DCA Underwriting Assumptions'!$Q$28," =")</f>
        <v>0 units x $350 =</v>
      </c>
      <c r="Q239" s="647">
        <f>SUM(MF49:MJ49)*'DCA Underwriting Assumptions'!$Q$28</f>
        <v>0</v>
      </c>
      <c r="R239" s="860"/>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3">
        <v>4000</v>
      </c>
      <c r="G240" s="3944"/>
      <c r="H240" s="1"/>
      <c r="I240" s="3928" t="s">
        <v>46</v>
      </c>
      <c r="J240" s="3929"/>
      <c r="K240" s="477">
        <f>L240/12/P67</f>
        <v>0</v>
      </c>
      <c r="L240" s="3937"/>
      <c r="M240" s="3938"/>
      <c r="N240" s="3953"/>
      <c r="O240" s="508" t="s">
        <v>3053</v>
      </c>
      <c r="P240" s="858" t="str">
        <f>CONCATENATE(SUM(MK49:MO49)," units x $",'DCA Underwriting Assumptions'!$Q$29," =")</f>
        <v>72 units x $250 =</v>
      </c>
      <c r="Q240" s="647">
        <f>SUM(MK49:MO49)*'DCA Underwriting Assumptions'!$Q$29</f>
        <v>18000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3">
        <v>9000</v>
      </c>
      <c r="G241" s="3944"/>
      <c r="H241" s="1"/>
      <c r="K241" s="11" t="s">
        <v>184</v>
      </c>
      <c r="L241" s="3941">
        <f>SUM(L235:L240)</f>
        <v>29500</v>
      </c>
      <c r="M241" s="3942"/>
      <c r="N241" s="3953"/>
      <c r="O241" s="648" t="s">
        <v>6505</v>
      </c>
      <c r="P241" s="858" t="str">
        <f>CONCATENATE(SUM(MP49:MT49)," units x $",'DCA Underwriting Assumptions'!$Q$30," =")</f>
        <v>0 units x $420 =</v>
      </c>
      <c r="Q241" s="647">
        <f>SUM(MP49:MT49)*'DCA Underwriting Assumptions'!$Q$30</f>
        <v>0</v>
      </c>
      <c r="R241" s="853"/>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7">
        <v>4000</v>
      </c>
      <c r="G242" s="3908"/>
      <c r="H242" s="1"/>
      <c r="O242" s="648" t="s">
        <v>3052</v>
      </c>
      <c r="P242" s="858"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7">
        <v>7000</v>
      </c>
      <c r="G243" s="3908"/>
      <c r="H243" s="1"/>
      <c r="I243" s="10" t="s">
        <v>1299</v>
      </c>
      <c r="O243" s="975" t="s">
        <v>2468</v>
      </c>
      <c r="P243" s="976">
        <f>SUM(MF49:MJ49)+SUM(MK49:MO49)+SUM(MP49:MT49)+P125</f>
        <v>72</v>
      </c>
      <c r="Q243" s="977">
        <f>SUM(Q239:Q242)</f>
        <v>18000</v>
      </c>
      <c r="R243" s="858"/>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7"/>
      <c r="G244" s="3908"/>
      <c r="H244" s="1"/>
      <c r="I244" s="94" t="s">
        <v>3934</v>
      </c>
      <c r="K244" s="1"/>
      <c r="L244" s="3919">
        <v>70000</v>
      </c>
      <c r="M244" s="3920"/>
      <c r="R244" s="858"/>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7">
        <v>2500</v>
      </c>
      <c r="G245" s="3908"/>
      <c r="H245" s="1"/>
      <c r="I245" s="1" t="s">
        <v>140</v>
      </c>
      <c r="K245" s="1"/>
      <c r="L245" s="3921">
        <v>27000</v>
      </c>
      <c r="M245" s="3922"/>
      <c r="R245" s="858"/>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6" t="s">
        <v>46</v>
      </c>
      <c r="C246" s="3917"/>
      <c r="D246" s="3917"/>
      <c r="E246" s="3918"/>
      <c r="F246" s="3935"/>
      <c r="G246" s="3936"/>
      <c r="H246" s="1"/>
      <c r="I246" s="3925" t="s">
        <v>46</v>
      </c>
      <c r="J246" s="3926"/>
      <c r="K246" s="3927"/>
      <c r="L246" s="3923"/>
      <c r="M246" s="3924"/>
      <c r="N246" s="1"/>
      <c r="R246" s="858"/>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0">
        <f>SUM(F239:G246)</f>
        <v>36850</v>
      </c>
      <c r="G247" s="3951"/>
      <c r="H247" s="1"/>
      <c r="K247" s="11" t="s">
        <v>184</v>
      </c>
      <c r="L247" s="3941">
        <f>SUM(L243:L246)</f>
        <v>97000</v>
      </c>
      <c r="M247" s="3949"/>
      <c r="N247" s="1"/>
      <c r="O247" s="10" t="s">
        <v>2031</v>
      </c>
      <c r="P247" s="1"/>
      <c r="Q247" s="427">
        <f>Q228+Q234</f>
        <v>342060</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8"/>
      <c r="L251" s="3869"/>
      <c r="M251" s="1619" t="s">
        <v>3905</v>
      </c>
      <c r="N251" s="1548"/>
      <c r="O251" s="10" t="s">
        <v>3880</v>
      </c>
      <c r="P251" s="1"/>
      <c r="Q251" s="1570">
        <f>K251*N251</f>
        <v>0</v>
      </c>
      <c r="R251" s="856"/>
      <c r="S251" s="3959"/>
      <c r="T251" s="3960"/>
      <c r="U251" s="3960"/>
      <c r="V251" s="3960"/>
      <c r="W251" s="3961"/>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959"/>
      <c r="T253" s="3960"/>
      <c r="U253" s="3960"/>
      <c r="V253" s="3960"/>
      <c r="W253" s="3961"/>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6657</v>
      </c>
      <c r="O255" s="13"/>
      <c r="NP255" s="2260"/>
    </row>
    <row r="256" spans="1:493" ht="409.5" customHeight="1">
      <c r="A256" s="3947" t="s">
        <v>7033</v>
      </c>
      <c r="B256" s="3947"/>
      <c r="C256" s="3947"/>
      <c r="D256" s="3947"/>
      <c r="E256" s="3947"/>
      <c r="F256" s="3947"/>
      <c r="G256" s="3947"/>
      <c r="H256" s="3947"/>
      <c r="I256" s="3947"/>
      <c r="J256" s="3947"/>
      <c r="K256" s="3947"/>
      <c r="L256" s="3947"/>
      <c r="M256" s="3947"/>
      <c r="N256" s="3946"/>
      <c r="O256" s="3946"/>
      <c r="P256" s="3946"/>
      <c r="Q256" s="3946"/>
      <c r="R256" s="3353" t="s">
        <v>3376</v>
      </c>
      <c r="S256" s="3298"/>
      <c r="T256" s="3298"/>
      <c r="U256" s="3298"/>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1" zoomScale="120" zoomScaleNormal="12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6" t="str">
        <f>CONCATENATE("PART SIX - OPERATING PRO FORMA","  -  ",'Part I-Project Identification'!$O$7," ",'Part I-Project Identification'!$F$29,", ",'Part I-Project Identification'!F30,", ",'Part I-Project Identification'!J30," County")</f>
        <v>PART SIX - OPERATING PRO FORMA  -  2022-0 Gibson Park , College Park, Fulton County</v>
      </c>
      <c r="B2" s="3987"/>
      <c r="C2" s="3987"/>
      <c r="D2" s="3987"/>
      <c r="E2" s="3987"/>
      <c r="F2" s="3987"/>
      <c r="G2" s="3987"/>
      <c r="H2" s="3987"/>
      <c r="I2" s="3987"/>
      <c r="J2" s="3987"/>
      <c r="K2" s="3988"/>
      <c r="L2" s="10"/>
      <c r="M2" s="10"/>
      <c r="N2" s="3989" t="str">
        <f>A2</f>
        <v>PART SIX - OPERATING PRO FORMA  -  2022-0 Gibson Park , College Park, Fulton County</v>
      </c>
      <c r="O2" s="3989"/>
      <c r="P2" s="10"/>
      <c r="Z2" s="2259"/>
      <c r="AA2" s="2262">
        <v>2</v>
      </c>
    </row>
    <row r="3" spans="1:27" ht="13.5" customHeight="1">
      <c r="A3" s="502"/>
      <c r="B3" s="502"/>
      <c r="C3" s="502"/>
      <c r="D3" s="502"/>
      <c r="E3" s="502"/>
      <c r="F3" s="502"/>
      <c r="G3" s="502"/>
      <c r="H3" s="502"/>
      <c r="I3" s="502"/>
      <c r="J3" s="502"/>
      <c r="K3" s="502"/>
      <c r="N3" s="3990" t="s">
        <v>1711</v>
      </c>
      <c r="O3" s="3990"/>
      <c r="AA3" s="2263">
        <v>3</v>
      </c>
    </row>
    <row r="4" spans="1:27" ht="13.5" customHeight="1">
      <c r="A4" s="13" t="s">
        <v>85</v>
      </c>
      <c r="C4" s="3991"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1"/>
      <c r="H5" s="16"/>
      <c r="I5" s="16"/>
      <c r="AA5" s="2263">
        <v>5</v>
      </c>
    </row>
    <row r="6" spans="1:27" ht="13.5" customHeight="1">
      <c r="A6" s="16" t="s">
        <v>2032</v>
      </c>
      <c r="B6" s="77">
        <v>0.02</v>
      </c>
      <c r="C6" s="3991"/>
      <c r="D6" s="3882" t="s">
        <v>3406</v>
      </c>
      <c r="E6" s="3882"/>
      <c r="F6" s="3882"/>
      <c r="G6" s="80">
        <v>4800</v>
      </c>
      <c r="H6" s="97" t="s">
        <v>1768</v>
      </c>
      <c r="K6" s="102">
        <f>IF(($B$15+$B$16+$B$17+$B$18)=0,"",B31/($B$15+$B$16+$B$17+$B$18))</f>
        <v>-5.9525691492323578E-3</v>
      </c>
      <c r="N6" s="3871"/>
      <c r="O6" s="3873"/>
      <c r="AA6" s="2263">
        <v>6</v>
      </c>
    </row>
    <row r="7" spans="1:27">
      <c r="A7" s="16" t="s">
        <v>2033</v>
      </c>
      <c r="B7" s="77">
        <v>0.03</v>
      </c>
      <c r="C7" s="3991"/>
      <c r="D7" s="3882"/>
      <c r="E7" s="3882"/>
      <c r="F7" s="3882"/>
      <c r="G7" s="1213">
        <f>IF(OR('Part II-Sources of Funds'!E6="Yes",'Part II-Sources of Funds'!I6&gt;0),'DCA Underwriting Assumptions'!$Q$61,0)</f>
        <v>0</v>
      </c>
      <c r="H7" s="16"/>
      <c r="I7" s="16"/>
      <c r="J7" s="16"/>
      <c r="K7" s="16"/>
      <c r="N7" s="3865"/>
      <c r="O7" s="3867"/>
      <c r="AA7" s="2263">
        <v>7</v>
      </c>
    </row>
    <row r="8" spans="1:27">
      <c r="A8" s="16" t="s">
        <v>2035</v>
      </c>
      <c r="B8" s="77">
        <v>0.03</v>
      </c>
      <c r="C8" s="3991"/>
      <c r="D8" s="79" t="s">
        <v>258</v>
      </c>
      <c r="G8" s="82"/>
      <c r="H8" s="97" t="s">
        <v>2192</v>
      </c>
      <c r="K8" s="102">
        <f>IF(($B$15+$B$16+$B$17+$B$18)=0,"",-B22/($B$15+$B$16+$B$17+$B$18))</f>
        <v>8.0000049128537379E-2</v>
      </c>
      <c r="N8" s="3865"/>
      <c r="O8" s="3867"/>
      <c r="AA8" s="2263">
        <v>8</v>
      </c>
    </row>
    <row r="9" spans="1:27" ht="13.35" customHeight="1">
      <c r="A9" s="16" t="s">
        <v>2034</v>
      </c>
      <c r="B9" s="241">
        <v>7.0000000000000007E-2</v>
      </c>
      <c r="C9" s="1534" t="str">
        <f>IF(B9&lt;0.07, "Must be &gt;= 7%!","")</f>
        <v/>
      </c>
      <c r="D9" s="78" t="s">
        <v>2308</v>
      </c>
      <c r="G9" s="1554" t="s">
        <v>2654</v>
      </c>
      <c r="H9" s="175" t="s">
        <v>1356</v>
      </c>
      <c r="K9" s="1556"/>
      <c r="N9" s="3865"/>
      <c r="O9" s="3867"/>
      <c r="AA9" s="2263">
        <v>9</v>
      </c>
    </row>
    <row r="10" spans="1:27">
      <c r="A10" s="16" t="s">
        <v>1337</v>
      </c>
      <c r="B10" s="77">
        <v>0.02</v>
      </c>
      <c r="D10" s="78" t="s">
        <v>1598</v>
      </c>
      <c r="G10" s="1555" t="s">
        <v>2651</v>
      </c>
      <c r="H10" s="175" t="s">
        <v>2175</v>
      </c>
      <c r="K10" s="1557">
        <v>0.08</v>
      </c>
      <c r="N10" s="3874"/>
      <c r="O10" s="3876"/>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00" t="s">
        <v>2412</v>
      </c>
      <c r="O14" s="3500"/>
      <c r="AA14" s="2263">
        <v>14</v>
      </c>
    </row>
    <row r="15" spans="1:27" ht="13.35" customHeight="1">
      <c r="A15" s="18" t="s">
        <v>2216</v>
      </c>
      <c r="B15" s="19">
        <f>'Part V-Revenues &amp; Expenses'!$M$50</f>
        <v>850068</v>
      </c>
      <c r="C15" s="19">
        <f t="shared" ref="C15:K15" si="1">$B$15*(1+$B$6)^(C14-1)</f>
        <v>867069.36</v>
      </c>
      <c r="D15" s="19">
        <f t="shared" si="1"/>
        <v>884410.74719999998</v>
      </c>
      <c r="E15" s="19">
        <f t="shared" si="1"/>
        <v>902098.96214399999</v>
      </c>
      <c r="F15" s="19">
        <f t="shared" si="1"/>
        <v>920140.94138688</v>
      </c>
      <c r="G15" s="19">
        <f t="shared" si="1"/>
        <v>938543.76021461759</v>
      </c>
      <c r="H15" s="19">
        <f t="shared" si="1"/>
        <v>957314.63541891007</v>
      </c>
      <c r="I15" s="19">
        <f t="shared" si="1"/>
        <v>976460.928127288</v>
      </c>
      <c r="J15" s="19">
        <f t="shared" si="1"/>
        <v>995990.14668983384</v>
      </c>
      <c r="K15" s="20">
        <f t="shared" si="1"/>
        <v>1015909.9496236305</v>
      </c>
      <c r="N15" s="3871"/>
      <c r="O15" s="3873"/>
      <c r="S15" s="3982" t="s">
        <v>3411</v>
      </c>
      <c r="Z15" s="2259" t="s">
        <v>6468</v>
      </c>
      <c r="AA15" s="2263">
        <v>15</v>
      </c>
    </row>
    <row r="16" spans="1:27" ht="13.35" customHeight="1">
      <c r="A16" s="21" t="s">
        <v>953</v>
      </c>
      <c r="B16" s="22">
        <f>MIN(B15*B10,'Part V-Revenues &amp; Expenses'!$H$179)</f>
        <v>17001.36</v>
      </c>
      <c r="C16" s="22">
        <f t="shared" ref="C16:K16" si="2">$B$16*(1+$B$6)^(C14-1)</f>
        <v>17341.387200000001</v>
      </c>
      <c r="D16" s="22">
        <f t="shared" si="2"/>
        <v>17688.214943999999</v>
      </c>
      <c r="E16" s="22">
        <f t="shared" si="2"/>
        <v>18041.979242879999</v>
      </c>
      <c r="F16" s="22">
        <f t="shared" si="2"/>
        <v>18402.818827737599</v>
      </c>
      <c r="G16" s="22">
        <f t="shared" si="2"/>
        <v>18770.875204292352</v>
      </c>
      <c r="H16" s="22">
        <f t="shared" si="2"/>
        <v>19146.292708378201</v>
      </c>
      <c r="I16" s="22">
        <f t="shared" si="2"/>
        <v>19529.218562545761</v>
      </c>
      <c r="J16" s="22">
        <f t="shared" si="2"/>
        <v>19919.802933796676</v>
      </c>
      <c r="K16" s="23">
        <f t="shared" si="2"/>
        <v>20318.198992472611</v>
      </c>
      <c r="N16" s="3865"/>
      <c r="O16" s="3867"/>
      <c r="S16" s="3983"/>
      <c r="Z16" s="2259" t="s">
        <v>6468</v>
      </c>
      <c r="AA16" s="2263">
        <v>16</v>
      </c>
    </row>
    <row r="17" spans="1:27" ht="13.35" customHeight="1">
      <c r="A17" s="21" t="s">
        <v>2217</v>
      </c>
      <c r="B17" s="22">
        <f t="shared" ref="B17:K17" si="3">-(B15+B16)*$B$9</f>
        <v>-60694.855200000005</v>
      </c>
      <c r="C17" s="22">
        <f t="shared" si="3"/>
        <v>-61908.752304000001</v>
      </c>
      <c r="D17" s="22">
        <f t="shared" si="3"/>
        <v>-63146.927350080005</v>
      </c>
      <c r="E17" s="22">
        <f t="shared" si="3"/>
        <v>-64409.865897081603</v>
      </c>
      <c r="F17" s="22">
        <f t="shared" si="3"/>
        <v>-65698.063215023241</v>
      </c>
      <c r="G17" s="22">
        <f t="shared" si="3"/>
        <v>-67012.024479323707</v>
      </c>
      <c r="H17" s="22">
        <f t="shared" si="3"/>
        <v>-68352.264968910182</v>
      </c>
      <c r="I17" s="22">
        <f t="shared" si="3"/>
        <v>-69719.310268288362</v>
      </c>
      <c r="J17" s="22">
        <f t="shared" si="3"/>
        <v>-71113.696473654141</v>
      </c>
      <c r="K17" s="23">
        <f t="shared" si="3"/>
        <v>-72535.970403127227</v>
      </c>
      <c r="N17" s="3865"/>
      <c r="O17" s="3867"/>
      <c r="Q17" s="3985" t="s">
        <v>3301</v>
      </c>
      <c r="R17" s="3985" t="s">
        <v>3410</v>
      </c>
      <c r="S17" s="3983"/>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5"/>
      <c r="R18" s="3985"/>
      <c r="S18" s="3984"/>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9" t="s">
        <v>6468</v>
      </c>
      <c r="AA19" s="2261">
        <v>19</v>
      </c>
    </row>
    <row r="20" spans="1:27" ht="13.35" customHeight="1">
      <c r="A20" s="447" t="s">
        <v>3842</v>
      </c>
      <c r="B20" s="22">
        <f>SUM(B15:B19)</f>
        <v>806374.5048</v>
      </c>
      <c r="C20" s="22">
        <f t="shared" ref="C20:K20" si="4">SUM(C15:C19)</f>
        <v>822501.99489600002</v>
      </c>
      <c r="D20" s="22">
        <f t="shared" si="4"/>
        <v>838952.03479392</v>
      </c>
      <c r="E20" s="22">
        <f t="shared" si="4"/>
        <v>855731.07548979844</v>
      </c>
      <c r="F20" s="22">
        <f t="shared" si="4"/>
        <v>872845.69699959434</v>
      </c>
      <c r="G20" s="22">
        <f t="shared" si="4"/>
        <v>890302.6109395863</v>
      </c>
      <c r="H20" s="22">
        <f t="shared" si="4"/>
        <v>908108.6631583781</v>
      </c>
      <c r="I20" s="22">
        <f t="shared" si="4"/>
        <v>926270.83642154536</v>
      </c>
      <c r="J20" s="22">
        <f t="shared" si="4"/>
        <v>944796.25314997637</v>
      </c>
      <c r="K20" s="23">
        <f t="shared" si="4"/>
        <v>963692.17821297585</v>
      </c>
      <c r="N20" s="3865"/>
      <c r="O20" s="3867"/>
      <c r="Z20" s="2259" t="s">
        <v>6468</v>
      </c>
      <c r="AA20" s="2262">
        <v>20</v>
      </c>
    </row>
    <row r="21" spans="1:27" ht="13.35" customHeight="1">
      <c r="A21" s="21" t="s">
        <v>572</v>
      </c>
      <c r="B21" s="22">
        <f>-('Part V-Revenues &amp; Expenses'!$Q$228-'Part V-Revenues &amp; Expenses'!$Q$220)</f>
        <v>-259550</v>
      </c>
      <c r="C21" s="22">
        <f t="shared" ref="C21:K21" si="5">$B$21*(1+$B$7)^(C14-1)</f>
        <v>-267336.5</v>
      </c>
      <c r="D21" s="22">
        <f t="shared" si="5"/>
        <v>-275356.59499999997</v>
      </c>
      <c r="E21" s="22">
        <f t="shared" si="5"/>
        <v>-283617.29285000003</v>
      </c>
      <c r="F21" s="22">
        <f t="shared" si="5"/>
        <v>-292125.81163549999</v>
      </c>
      <c r="G21" s="22">
        <f t="shared" si="5"/>
        <v>-300889.58598456497</v>
      </c>
      <c r="H21" s="22">
        <f t="shared" si="5"/>
        <v>-309916.27356410195</v>
      </c>
      <c r="I21" s="22">
        <f t="shared" si="5"/>
        <v>-319213.76177102502</v>
      </c>
      <c r="J21" s="22">
        <f t="shared" si="5"/>
        <v>-328790.17462415574</v>
      </c>
      <c r="K21" s="23">
        <f t="shared" si="5"/>
        <v>-338653.87986288039</v>
      </c>
      <c r="N21" s="3865"/>
      <c r="O21" s="3867"/>
      <c r="Q21" s="62">
        <v>1</v>
      </c>
      <c r="R21" s="1105">
        <f>-B32</f>
        <v>59701</v>
      </c>
      <c r="S21" s="1105">
        <f>B33+R21</f>
        <v>74471.401505987742</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-64510</v>
      </c>
      <c r="C22" s="22">
        <f>IF(AND('Part VI-Pro Forma'!$G$9="Yes",'Part VI-Pro Forma'!$G$10="Yes"),"Choose One!",IF('Part VI-Pro Forma'!$G$9="Yes",ROUND((-$K$9*(1+'Part VI-Pro Forma'!$B$7)^('Part VI-Pro Forma'!C14-1)),),IF('Part VI-Pro Forma'!$G$10="Yes",ROUND((-(SUM(C15:C18)*'Part VI-Pro Forma'!$K$10)),),"Choose mgt fee")))</f>
        <v>-65800</v>
      </c>
      <c r="D22" s="22">
        <f>IF(AND('Part VI-Pro Forma'!$G$9="Yes",'Part VI-Pro Forma'!$G$10="Yes"),"Choose One!",IF('Part VI-Pro Forma'!$G$9="Yes",ROUND((-$K$9*(1+'Part VI-Pro Forma'!$B$7)^('Part VI-Pro Forma'!D14-1)),),IF('Part VI-Pro Forma'!$G$10="Yes",ROUND((-(SUM(D15:D18)*'Part VI-Pro Forma'!$K$10)),),"Choose mgt fee")))</f>
        <v>-67116</v>
      </c>
      <c r="E22" s="22">
        <f>IF(AND('Part VI-Pro Forma'!$G$9="Yes",'Part VI-Pro Forma'!$G$10="Yes"),"Choose One!",IF('Part VI-Pro Forma'!$G$9="Yes",ROUND((-$K$9*(1+'Part VI-Pro Forma'!$B$7)^('Part VI-Pro Forma'!E14-1)),),IF('Part VI-Pro Forma'!$G$10="Yes",ROUND((-(SUM(E15:E18)*'Part VI-Pro Forma'!$K$10)),),"Choose mgt fee")))</f>
        <v>-68458</v>
      </c>
      <c r="F22" s="22">
        <f>IF(AND('Part VI-Pro Forma'!$G$9="Yes",'Part VI-Pro Forma'!$G$10="Yes"),"Choose One!",IF('Part VI-Pro Forma'!$G$9="Yes",ROUND((-$K$9*(1+'Part VI-Pro Forma'!$B$7)^('Part VI-Pro Forma'!F14-1)),),IF('Part VI-Pro Forma'!$G$10="Yes",ROUND((-(SUM(F15:F18)*'Part VI-Pro Forma'!$K$10)),),"Choose mgt fee")))</f>
        <v>-69828</v>
      </c>
      <c r="G22" s="22">
        <f>IF(AND('Part VI-Pro Forma'!$G$9="Yes",'Part VI-Pro Forma'!$G$10="Yes"),"Choose One!",IF('Part VI-Pro Forma'!$G$9="Yes",ROUND((-$K$9*(1+'Part VI-Pro Forma'!$B$7)^('Part VI-Pro Forma'!G14-1)),),IF('Part VI-Pro Forma'!$G$10="Yes",ROUND((-(SUM(G15:G18)*'Part VI-Pro Forma'!$K$10)),),"Choose mgt fee")))</f>
        <v>-71224</v>
      </c>
      <c r="H22" s="22">
        <f>IF(AND('Part VI-Pro Forma'!$G$9="Yes",'Part VI-Pro Forma'!$G$10="Yes"),"Choose One!",IF('Part VI-Pro Forma'!$G$9="Yes",ROUND((-$K$9*(1+'Part VI-Pro Forma'!$B$7)^('Part VI-Pro Forma'!H14-1)),),IF('Part VI-Pro Forma'!$G$10="Yes",ROUND((-(SUM(H15:H18)*'Part VI-Pro Forma'!$K$10)),),"Choose mgt fee")))</f>
        <v>-72649</v>
      </c>
      <c r="I22" s="22">
        <f>IF(AND('Part VI-Pro Forma'!$G$9="Yes",'Part VI-Pro Forma'!$G$10="Yes"),"Choose One!",IF('Part VI-Pro Forma'!$G$9="Yes",ROUND((-$K$9*(1+'Part VI-Pro Forma'!$B$7)^('Part VI-Pro Forma'!I14-1)),),IF('Part VI-Pro Forma'!$G$10="Yes",ROUND((-(SUM(I15:I18)*'Part VI-Pro Forma'!$K$10)),),"Choose mgt fee")))</f>
        <v>-74102</v>
      </c>
      <c r="J22" s="22">
        <f>IF(AND('Part VI-Pro Forma'!$G$9="Yes",'Part VI-Pro Forma'!$G$10="Yes"),"Choose One!",IF('Part VI-Pro Forma'!$G$9="Yes",ROUND((-$K$9*(1+'Part VI-Pro Forma'!$B$7)^('Part VI-Pro Forma'!J14-1)),),IF('Part VI-Pro Forma'!$G$10="Yes",ROUND((-(SUM(J15:J18)*'Part VI-Pro Forma'!$K$10)),),"Choose mgt fee")))</f>
        <v>-75584</v>
      </c>
      <c r="K22" s="23">
        <f>IF(AND('Part VI-Pro Forma'!$G$9="Yes",'Part VI-Pro Forma'!$G$10="Yes"),"Choose One!",IF('Part VI-Pro Forma'!$G$9="Yes",ROUND((-$K$9*(1+'Part VI-Pro Forma'!$B$7)^('Part VI-Pro Forma'!K14-1)),),IF('Part VI-Pro Forma'!$G$10="Yes",ROUND((-(SUM(K15:K18)*'Part VI-Pro Forma'!$K$10)),),"Choose mgt fee")))</f>
        <v>-77095</v>
      </c>
      <c r="N22" s="3865"/>
      <c r="O22" s="3867"/>
      <c r="Q22" s="62">
        <v>2</v>
      </c>
      <c r="R22" s="1105">
        <f>-SUM(B32:C32)</f>
        <v>119402</v>
      </c>
      <c r="S22" s="1105">
        <f>SUM(B33:C33)+R22</f>
        <v>155453.79310797551</v>
      </c>
      <c r="Z22" s="2259" t="s">
        <v>6468</v>
      </c>
      <c r="AA22" s="2263">
        <v>22</v>
      </c>
    </row>
    <row r="23" spans="1:27" ht="13.35" customHeight="1">
      <c r="A23" s="21" t="s">
        <v>1129</v>
      </c>
      <c r="B23" s="22">
        <f>-('Part V-Revenues &amp; Expenses'!$Q$234)</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65"/>
      <c r="O23" s="3867"/>
      <c r="Q23" s="62">
        <v>3</v>
      </c>
      <c r="R23" s="1105">
        <f>-SUM(B32:D32)</f>
        <v>179103</v>
      </c>
      <c r="S23" s="1105">
        <f>SUM(B33:D33)+R23</f>
        <v>242993.92960788327</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5"/>
      <c r="O24" s="3867"/>
      <c r="Q24" s="958">
        <v>4</v>
      </c>
      <c r="R24" s="1105">
        <f>-SUM(B32:E32)</f>
        <v>238804</v>
      </c>
      <c r="S24" s="1105">
        <f>SUM(B33:E33)+R24</f>
        <v>337137.52295366948</v>
      </c>
      <c r="Z24" s="2259" t="s">
        <v>6468</v>
      </c>
      <c r="AA24" s="2261">
        <v>24</v>
      </c>
    </row>
    <row r="25" spans="1:27" ht="13.35" customHeight="1">
      <c r="A25" s="21" t="s">
        <v>1130</v>
      </c>
      <c r="B25" s="22">
        <f>SUM(B20:B24)</f>
        <v>464314.5048</v>
      </c>
      <c r="C25" s="22">
        <f t="shared" ref="C25:J25" si="7">SUM(C20:C24)</f>
        <v>470825.49489600002</v>
      </c>
      <c r="D25" s="22">
        <f t="shared" si="7"/>
        <v>477383.23979392002</v>
      </c>
      <c r="E25" s="22">
        <f t="shared" si="7"/>
        <v>483986.69663979847</v>
      </c>
      <c r="F25" s="22">
        <f t="shared" si="7"/>
        <v>490632.72678409429</v>
      </c>
      <c r="G25" s="22">
        <f t="shared" si="7"/>
        <v>497322.09161762137</v>
      </c>
      <c r="H25" s="22">
        <f t="shared" si="7"/>
        <v>504050.4482567542</v>
      </c>
      <c r="I25" s="22">
        <f t="shared" si="7"/>
        <v>510817.3450728727</v>
      </c>
      <c r="J25" s="22">
        <f t="shared" si="7"/>
        <v>517620.21706084354</v>
      </c>
      <c r="K25" s="1538">
        <f>SUM(K20:K24)</f>
        <v>524457.38104116917</v>
      </c>
      <c r="N25" s="3865"/>
      <c r="O25" s="3867"/>
      <c r="Q25" s="958">
        <v>5</v>
      </c>
      <c r="R25" s="1105">
        <f>-SUM(B32:F32)</f>
        <v>298505</v>
      </c>
      <c r="S25" s="1105">
        <f>SUM(B33:F33)+R25</f>
        <v>437927.14644375152</v>
      </c>
      <c r="Z25" s="2259" t="s">
        <v>6468</v>
      </c>
      <c r="AA25" s="2262">
        <v>25</v>
      </c>
    </row>
    <row r="26" spans="1:27" ht="13.35" customHeight="1">
      <c r="A26" s="447" t="s">
        <v>1487</v>
      </c>
      <c r="B26" s="448">
        <f>IF('Part II-Sources of Funds'!$P$40="", 0,-'Part II-Sources of Funds'!$P$40)</f>
        <v>-385043.10329401225</v>
      </c>
      <c r="C26" s="448">
        <f>IF('Part II-Sources of Funds'!$P$40="", 0,-'Part II-Sources of Funds'!$P$40)</f>
        <v>-385043.10329401225</v>
      </c>
      <c r="D26" s="448">
        <f>IF('Part II-Sources of Funds'!$P$40="", 0,-'Part II-Sources of Funds'!$P$40)</f>
        <v>-385043.10329401225</v>
      </c>
      <c r="E26" s="448">
        <f>IF('Part II-Sources of Funds'!$P$40="", 0,-'Part II-Sources of Funds'!$P$40)</f>
        <v>-385043.10329401225</v>
      </c>
      <c r="F26" s="448">
        <f>IF('Part II-Sources of Funds'!$P$40="", 0,-'Part II-Sources of Funds'!$P$40)</f>
        <v>-385043.10329401225</v>
      </c>
      <c r="G26" s="448">
        <f>IF('Part II-Sources of Funds'!$P$40="", 0,-'Part II-Sources of Funds'!$P$40)</f>
        <v>-385043.10329401225</v>
      </c>
      <c r="H26" s="448">
        <f>IF('Part II-Sources of Funds'!$P$40="", 0,-'Part II-Sources of Funds'!$P$40)</f>
        <v>-385043.10329401225</v>
      </c>
      <c r="I26" s="448">
        <f>IF('Part II-Sources of Funds'!$P$40="", 0,-'Part II-Sources of Funds'!$P$40)</f>
        <v>-385043.10329401225</v>
      </c>
      <c r="J26" s="448">
        <f>IF('Part II-Sources of Funds'!$P$40="", 0,-'Part II-Sources of Funds'!$P$40)</f>
        <v>-385043.10329401225</v>
      </c>
      <c r="K26" s="448">
        <f>IF('Part II-Sources of Funds'!$P$40="", 0,-'Part II-Sources of Funds'!$P$40)</f>
        <v>-385043.10329401225</v>
      </c>
      <c r="N26" s="3865"/>
      <c r="O26" s="3867"/>
      <c r="Q26" s="958">
        <v>6</v>
      </c>
      <c r="R26" s="1105">
        <f>-SUM(B32:G32)</f>
        <v>358206</v>
      </c>
      <c r="S26" s="1105">
        <f>SUM(B33:G33)+R26</f>
        <v>545406.13476736064</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8">
        <v>7</v>
      </c>
      <c r="R27" s="1105">
        <f>-SUM(B32:H32)</f>
        <v>417907</v>
      </c>
      <c r="S27" s="1105">
        <f>SUM(B33:H33)+R27</f>
        <v>659613.47973010258</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8">
        <v>8</v>
      </c>
      <c r="R28" s="1105">
        <f>-SUM(B32:I32)</f>
        <v>477608</v>
      </c>
      <c r="S28" s="1105">
        <f>SUM(B33:I33)+R28</f>
        <v>780587.72150896303</v>
      </c>
      <c r="Z28" s="2259" t="s">
        <v>6468</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8">
        <v>9</v>
      </c>
      <c r="R29" s="1105">
        <f>-SUM(B32:J32)</f>
        <v>537309</v>
      </c>
      <c r="S29" s="1105">
        <f>SUM(B33:J33)+R29</f>
        <v>908364.83527579438</v>
      </c>
      <c r="Z29" s="2259" t="s">
        <v>6468</v>
      </c>
      <c r="AA29" s="2263">
        <v>29</v>
      </c>
    </row>
    <row r="30" spans="1:27" ht="13.35" customHeight="1">
      <c r="A30" s="21" t="s">
        <v>711</v>
      </c>
      <c r="B30" s="173"/>
      <c r="C30" s="173"/>
      <c r="D30" s="173"/>
      <c r="E30" s="173"/>
      <c r="F30" s="173"/>
      <c r="G30" s="173"/>
      <c r="H30" s="173"/>
      <c r="I30" s="173"/>
      <c r="J30" s="173"/>
      <c r="K30" s="173"/>
      <c r="N30" s="3865"/>
      <c r="O30" s="3867"/>
      <c r="Q30" s="958">
        <v>10</v>
      </c>
      <c r="R30" s="1105">
        <f>-SUM(B32:K32)</f>
        <v>597010</v>
      </c>
      <c r="S30" s="1105">
        <f>SUM(B33:K33)+R30</f>
        <v>1042979.1130229512</v>
      </c>
      <c r="Z30" s="2259" t="s">
        <v>6468</v>
      </c>
      <c r="AA30" s="2263">
        <v>30</v>
      </c>
    </row>
    <row r="31" spans="1:27" ht="13.35" customHeight="1">
      <c r="A31" s="447" t="s">
        <v>1096</v>
      </c>
      <c r="B31" s="1164">
        <f>-$G$6</f>
        <v>-4800</v>
      </c>
      <c r="C31" s="1164">
        <f t="shared" ref="C31:K31" si="8">+B31</f>
        <v>-4800</v>
      </c>
      <c r="D31" s="1164">
        <f t="shared" si="8"/>
        <v>-4800</v>
      </c>
      <c r="E31" s="1164">
        <f>+D31</f>
        <v>-4800</v>
      </c>
      <c r="F31" s="1164">
        <f t="shared" si="8"/>
        <v>-4800</v>
      </c>
      <c r="G31" s="1164">
        <f t="shared" si="8"/>
        <v>-4800</v>
      </c>
      <c r="H31" s="1164">
        <f t="shared" si="8"/>
        <v>-4800</v>
      </c>
      <c r="I31" s="1164">
        <f t="shared" si="8"/>
        <v>-4800</v>
      </c>
      <c r="J31" s="1164">
        <f t="shared" si="8"/>
        <v>-4800</v>
      </c>
      <c r="K31" s="1164">
        <f t="shared" si="8"/>
        <v>-4800</v>
      </c>
      <c r="N31" s="3865"/>
      <c r="O31" s="3867"/>
      <c r="Q31" s="958">
        <v>11</v>
      </c>
      <c r="R31" s="1105">
        <f>-SUM(B32:K32)-B64</f>
        <v>656711</v>
      </c>
      <c r="S31" s="1105">
        <f>SUM(B33:K33)+B65+R31</f>
        <v>1184461.0404192137</v>
      </c>
      <c r="Z31" s="2259" t="s">
        <v>6468</v>
      </c>
      <c r="AA31" s="2263">
        <v>31</v>
      </c>
    </row>
    <row r="32" spans="1:27" ht="13.35" customHeight="1">
      <c r="A32" s="447" t="s">
        <v>3364</v>
      </c>
      <c r="B32" s="234">
        <v>-59701</v>
      </c>
      <c r="C32" s="234">
        <v>-59701</v>
      </c>
      <c r="D32" s="234">
        <v>-59701</v>
      </c>
      <c r="E32" s="234">
        <v>-59701</v>
      </c>
      <c r="F32" s="234">
        <v>-59701</v>
      </c>
      <c r="G32" s="234">
        <v>-59701</v>
      </c>
      <c r="H32" s="234">
        <v>-59701</v>
      </c>
      <c r="I32" s="234">
        <v>-59701</v>
      </c>
      <c r="J32" s="234">
        <v>-59701</v>
      </c>
      <c r="K32" s="234">
        <v>-59701</v>
      </c>
      <c r="N32" s="3865"/>
      <c r="O32" s="3867"/>
      <c r="Q32" s="958">
        <v>12</v>
      </c>
      <c r="R32" s="1105">
        <f>-SUM(B32:K32) - SUM(B64:C64)</f>
        <v>716412</v>
      </c>
      <c r="S32" s="1105">
        <f>SUM(B33:K33) + SUM(B65:C65)+R32</f>
        <v>1332839.1685184117</v>
      </c>
      <c r="Z32" s="2259" t="s">
        <v>6468</v>
      </c>
      <c r="AA32" s="2263">
        <v>32</v>
      </c>
    </row>
    <row r="33" spans="1:27" ht="13.35" customHeight="1">
      <c r="A33" s="21" t="s">
        <v>1097</v>
      </c>
      <c r="B33" s="22">
        <f t="shared" ref="B33:K33" si="9">SUM(B25:B32)</f>
        <v>14770.401505987742</v>
      </c>
      <c r="C33" s="22">
        <f t="shared" si="9"/>
        <v>21281.391601987765</v>
      </c>
      <c r="D33" s="22">
        <f t="shared" si="9"/>
        <v>27839.136499907763</v>
      </c>
      <c r="E33" s="22">
        <f t="shared" si="9"/>
        <v>34442.593345786212</v>
      </c>
      <c r="F33" s="22">
        <f t="shared" si="9"/>
        <v>41088.623490082042</v>
      </c>
      <c r="G33" s="22">
        <f t="shared" si="9"/>
        <v>47777.988323609112</v>
      </c>
      <c r="H33" s="22">
        <f t="shared" si="9"/>
        <v>54506.344962741947</v>
      </c>
      <c r="I33" s="22">
        <f t="shared" si="9"/>
        <v>61273.241778860451</v>
      </c>
      <c r="J33" s="22">
        <f t="shared" si="9"/>
        <v>68076.113766831288</v>
      </c>
      <c r="K33" s="23">
        <f t="shared" si="9"/>
        <v>74913.277747156913</v>
      </c>
      <c r="N33" s="3865"/>
      <c r="O33" s="3867"/>
      <c r="Q33" s="958">
        <v>13</v>
      </c>
      <c r="R33" s="1105">
        <f>-SUM(B32:K32) - SUM(B64:D64)</f>
        <v>776113</v>
      </c>
      <c r="S33" s="1105">
        <f>SUM(B33:K33) + SUM(B65:D65)+R33</f>
        <v>1488139.9801372783</v>
      </c>
      <c r="Z33" s="2259" t="s">
        <v>6468</v>
      </c>
      <c r="AA33" s="2261">
        <v>33</v>
      </c>
    </row>
    <row r="34" spans="1:27" ht="13.35" customHeight="1">
      <c r="A34" s="21" t="str">
        <f>IF('Part II-Sources of Funds'!$E$40 = "Neither", "", "DCR Mortgage A")</f>
        <v>DCR Mortgage A</v>
      </c>
      <c r="B34" s="24">
        <f t="shared" ref="B34:K34" si="10">IF(B26=0,"",-B25/B26)</f>
        <v>1.2058766949150039</v>
      </c>
      <c r="C34" s="24">
        <f t="shared" si="10"/>
        <v>1.2227864643415929</v>
      </c>
      <c r="D34" s="24">
        <f t="shared" si="10"/>
        <v>1.2398176612175247</v>
      </c>
      <c r="E34" s="24">
        <f t="shared" si="10"/>
        <v>1.2569675771344346</v>
      </c>
      <c r="F34" s="24">
        <f t="shared" si="10"/>
        <v>1.2742280606684588</v>
      </c>
      <c r="G34" s="24">
        <f t="shared" si="10"/>
        <v>1.2916010892366894</v>
      </c>
      <c r="H34" s="24">
        <f t="shared" si="10"/>
        <v>1.3090753838846712</v>
      </c>
      <c r="I34" s="24">
        <f t="shared" si="10"/>
        <v>1.3266497716823704</v>
      </c>
      <c r="J34" s="24">
        <f t="shared" si="10"/>
        <v>1.3443175910246019</v>
      </c>
      <c r="K34" s="25">
        <f t="shared" si="10"/>
        <v>1.3620744705059751</v>
      </c>
      <c r="N34" s="3865"/>
      <c r="O34" s="3867"/>
      <c r="Q34" s="958">
        <v>14</v>
      </c>
      <c r="R34" s="1105">
        <f>-SUM(B32:K32) - SUM(B64:E64)</f>
        <v>835814</v>
      </c>
      <c r="S34" s="1105">
        <f>SUM(B33:K33) + SUM(B65:E65)+R34</f>
        <v>1650385.750712961</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5"/>
      <c r="O35" s="3867"/>
      <c r="Q35" s="958">
        <v>15</v>
      </c>
      <c r="R35" s="1105">
        <f>-SUM(B32:K32) - SUM(B64:F64)</f>
        <v>835814</v>
      </c>
      <c r="S35" s="1105">
        <f>SUM(B33:K33) + SUM(B65:F65)+R35</f>
        <v>1819597.4034443526</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5"/>
      <c r="O36" s="3867"/>
      <c r="Q36" s="62">
        <v>16</v>
      </c>
      <c r="R36" s="1105">
        <f>-SUM(B32:K32) - SUM(B64:G64)</f>
        <v>835814</v>
      </c>
      <c r="S36" s="1105">
        <f>SUM(B33:K33) + SUM(B65:G65)+R36</f>
        <v>1995792.3585149169</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5"/>
      <c r="O37" s="3867"/>
      <c r="Q37" s="62">
        <v>17</v>
      </c>
      <c r="R37" s="1105">
        <f>-SUM(B32:K32) - SUM(B64:H64)</f>
        <v>835814</v>
      </c>
      <c r="S37" s="1105">
        <f>SUM(B33:K33) + SUM(B65:H65)+R37</f>
        <v>2178984.3761879974</v>
      </c>
      <c r="Z37" s="2259" t="s">
        <v>6468</v>
      </c>
      <c r="AA37" s="2263">
        <v>37</v>
      </c>
    </row>
    <row r="38" spans="1:27" ht="13.35" customHeight="1">
      <c r="A38" s="447" t="s">
        <v>3216</v>
      </c>
      <c r="B38" s="24">
        <f t="shared" ref="B38:K38" si="14">IF(AND(B26=0,B27=0,B28=0,B29=0),"",-B25/(B26+B27+B28+B29))</f>
        <v>1.2058766949150039</v>
      </c>
      <c r="C38" s="24">
        <f t="shared" si="14"/>
        <v>1.2227864643415929</v>
      </c>
      <c r="D38" s="24">
        <f t="shared" si="14"/>
        <v>1.2398176612175247</v>
      </c>
      <c r="E38" s="24">
        <f t="shared" si="14"/>
        <v>1.2569675771344346</v>
      </c>
      <c r="F38" s="24">
        <f t="shared" si="14"/>
        <v>1.2742280606684588</v>
      </c>
      <c r="G38" s="24">
        <f t="shared" si="14"/>
        <v>1.2916010892366894</v>
      </c>
      <c r="H38" s="24">
        <f t="shared" si="14"/>
        <v>1.3090753838846712</v>
      </c>
      <c r="I38" s="24">
        <f t="shared" si="14"/>
        <v>1.3266497716823704</v>
      </c>
      <c r="J38" s="24">
        <f t="shared" si="14"/>
        <v>1.3443175910246019</v>
      </c>
      <c r="K38" s="25">
        <f t="shared" si="14"/>
        <v>1.3620744705059751</v>
      </c>
      <c r="N38" s="3865"/>
      <c r="O38" s="3867"/>
      <c r="Q38" s="62">
        <v>18</v>
      </c>
      <c r="R38" s="1105">
        <f>-SUM(B32:K32) - SUM(B64:I64)</f>
        <v>835814</v>
      </c>
      <c r="S38" s="1105">
        <f>SUM(B33:K33) + SUM(B65:I65)+R38</f>
        <v>2369182.3935587015</v>
      </c>
      <c r="Z38" s="2259" t="s">
        <v>6468</v>
      </c>
      <c r="AA38" s="2263">
        <v>38</v>
      </c>
    </row>
    <row r="39" spans="1:27" ht="13.35" customHeight="1">
      <c r="A39" s="21" t="s">
        <v>718</v>
      </c>
      <c r="B39" s="288">
        <f t="shared" ref="B39:K39" si="15">IF(OR(B22="Choose mgt fee",B22="Choose One!"),"",(B15+B16+B17+B18+B19) / -(B21+B22+B23))</f>
        <v>2.3574066093667776</v>
      </c>
      <c r="C39" s="288">
        <f t="shared" si="15"/>
        <v>2.338802834127387</v>
      </c>
      <c r="D39" s="288">
        <f t="shared" si="15"/>
        <v>2.3203109515961411</v>
      </c>
      <c r="E39" s="288">
        <f t="shared" si="15"/>
        <v>2.3019341358624512</v>
      </c>
      <c r="F39" s="288">
        <f t="shared" si="15"/>
        <v>2.2836632061634772</v>
      </c>
      <c r="G39" s="288">
        <f t="shared" si="15"/>
        <v>2.2655133452306586</v>
      </c>
      <c r="H39" s="288">
        <f t="shared" si="15"/>
        <v>2.2474698686165193</v>
      </c>
      <c r="I39" s="288">
        <f t="shared" si="15"/>
        <v>2.2295415869887711</v>
      </c>
      <c r="J39" s="288">
        <f t="shared" si="15"/>
        <v>2.2117257835896931</v>
      </c>
      <c r="K39" s="289">
        <f t="shared" si="15"/>
        <v>2.194025119180226</v>
      </c>
      <c r="N39" s="3865"/>
      <c r="O39" s="3867"/>
      <c r="Q39" s="958">
        <v>19</v>
      </c>
      <c r="R39" s="1105">
        <f>-SUM(B32:K32) - SUM(B64:J64)</f>
        <v>835814</v>
      </c>
      <c r="S39" s="1105">
        <f>SUM(B33:K33) + SUM(B65:J65)+R39</f>
        <v>2566394.3547393288</v>
      </c>
      <c r="Z39" s="2259" t="s">
        <v>6468</v>
      </c>
      <c r="AA39" s="2263">
        <v>39</v>
      </c>
    </row>
    <row r="40" spans="1:27" ht="13.35" customHeight="1">
      <c r="A40" s="447" t="s">
        <v>2406</v>
      </c>
      <c r="B40" s="232">
        <f>IF('Part II-Sources of Funds'!$I$40="","",-FV('Part II-Sources of Funds'!$K$40/12,12,B26/12,'Part II-Sources of Funds'!$I$40))</f>
        <v>6058544.2918105787</v>
      </c>
      <c r="C40" s="232">
        <f>IF('Part II-Sources of Funds'!$I$40="","",-FV('Part II-Sources of Funds'!$K$40/12,12,C26/12,B40))</f>
        <v>6014684.7195583433</v>
      </c>
      <c r="D40" s="232">
        <f>IF('Part II-Sources of Funds'!$I$40="","",-FV('Part II-Sources of Funds'!$K$40/12,12,D26/12,C40))</f>
        <v>5968281.8920066021</v>
      </c>
      <c r="E40" s="232">
        <f>IF('Part II-Sources of Funds'!$I$40="","",-FV('Part II-Sources of Funds'!$K$40/12,12,E26/12,D40))</f>
        <v>5919188.3351334641</v>
      </c>
      <c r="F40" s="232">
        <f>IF('Part II-Sources of Funds'!$I$40="","",-FV('Part II-Sources of Funds'!$K$40/12,12,F26/12,E40))</f>
        <v>5867248.02344085</v>
      </c>
      <c r="G40" s="232">
        <f>IF('Part II-Sources of Funds'!$I$40="","",-FV('Part II-Sources of Funds'!$K$40/12,12,G26/12,F40))</f>
        <v>5812295.8840858378</v>
      </c>
      <c r="H40" s="232">
        <f>IF('Part II-Sources of Funds'!$I$40="","",-FV('Part II-Sources of Funds'!$K$40/12,12,H26/12,G40))</f>
        <v>5754157.2722584065</v>
      </c>
      <c r="I40" s="232">
        <f>IF('Part II-Sources of Funds'!$I$40="","",-FV('Part II-Sources of Funds'!$K$40/12,12,I26/12,H40))</f>
        <v>5692647.4161382662</v>
      </c>
      <c r="J40" s="232">
        <f>IF('Part II-Sources of Funds'!$I$40="","",-FV('Part II-Sources of Funds'!$K$40/12,12,J26/12,I40))</f>
        <v>5627570.8296667729</v>
      </c>
      <c r="K40" s="232">
        <f>IF('Part II-Sources of Funds'!$I$40="","",-FV('Part II-Sources of Funds'!$K$40/12,12,K26/12,J40))</f>
        <v>5558720.6912676515</v>
      </c>
      <c r="N40" s="3865"/>
      <c r="O40" s="3867"/>
      <c r="Q40" s="958">
        <v>20</v>
      </c>
      <c r="R40" s="1105">
        <f>-SUM(B32:K32) - SUM(B64:K64)</f>
        <v>835814</v>
      </c>
      <c r="S40" s="1105">
        <f>SUM(B33:K33) + SUM(B65:K65)+R40</f>
        <v>2770622.0342479786</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9" t="s">
        <v>6468</v>
      </c>
      <c r="AA43" s="2262">
        <v>43</v>
      </c>
    </row>
    <row r="44" spans="1:27" ht="13.35" customHeight="1">
      <c r="A44" s="447" t="s">
        <v>3365</v>
      </c>
      <c r="B44" s="234">
        <f>IF('Part II-Sources of Funds'!$I$45="","",-FV('Part II-Sources of Funds'!$K$45/12,12,B32/12,'Part II-Sources of Funds'!$I$45))</f>
        <v>719937</v>
      </c>
      <c r="C44" s="234">
        <f>IF('Part II-Sources of Funds'!$I$45="","",IF(-FV('Part II-Sources of Funds'!$K$45/12,12,C32/12,B44)&gt;0,-FV('Part II-Sources of Funds'!$K$45/12,12,C32/12,B44),0))</f>
        <v>660236</v>
      </c>
      <c r="D44" s="234">
        <f>IF('Part II-Sources of Funds'!$I$45="","",IF(-FV('Part II-Sources of Funds'!$K$45/12,12,D32/12,C44)&gt;0,-FV('Part II-Sources of Funds'!$K$45/12,12,D32/12,C44),0))</f>
        <v>600535</v>
      </c>
      <c r="E44" s="234">
        <f>IF('Part II-Sources of Funds'!$I$45="","",IF(-FV('Part II-Sources of Funds'!$K$45/12,12,E32/12,D44)&gt;0,-FV('Part II-Sources of Funds'!$K$45/12,12,E32/12,D44),0))</f>
        <v>540834</v>
      </c>
      <c r="F44" s="234">
        <f>IF('Part II-Sources of Funds'!$I$45="","",IF(-FV('Part II-Sources of Funds'!$K$45/12,12,F32/12,E44)&gt;0,-FV('Part II-Sources of Funds'!$K$45/12,12,F32/12,E44),0))</f>
        <v>481133</v>
      </c>
      <c r="G44" s="234">
        <f>IF('Part II-Sources of Funds'!$I$45="","",IF(-FV('Part II-Sources of Funds'!$K$45/12,12,G32/12,F44)&gt;0,-FV('Part II-Sources of Funds'!$K$45/12,12,G32/12,F44),0))</f>
        <v>421432</v>
      </c>
      <c r="H44" s="234">
        <f>IF('Part II-Sources of Funds'!$I$45="","",IF(-FV('Part II-Sources of Funds'!$K$45/12,12,H32/12,G44)&gt;0,-FV('Part II-Sources of Funds'!$K$45/12,12,H32/12,G44),0))</f>
        <v>361731</v>
      </c>
      <c r="I44" s="234">
        <f>IF('Part II-Sources of Funds'!$I$45="","",IF(-FV('Part II-Sources of Funds'!$K$45/12,12,I32/12,H44)&gt;0,-FV('Part II-Sources of Funds'!$K$45/12,12,I32/12,H44),0))</f>
        <v>302030</v>
      </c>
      <c r="J44" s="234">
        <f>IF('Part II-Sources of Funds'!$I$45="","",IF(-FV('Part II-Sources of Funds'!$K$45/12,12,J32/12,I44)&gt;0,-FV('Part II-Sources of Funds'!$K$45/12,12,J32/12,I44),0))</f>
        <v>242329</v>
      </c>
      <c r="K44" s="234">
        <f>IF('Part II-Sources of Funds'!$I$45="","",IF(-FV('Part II-Sources of Funds'!$K$45/12,12,K32/12,J44)&gt;0,-FV('Part II-Sources of Funds'!$K$45/12,12,K32/12,J44),0))</f>
        <v>182628</v>
      </c>
      <c r="N44" s="3874"/>
      <c r="O44" s="3876"/>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00" t="s">
        <v>2410</v>
      </c>
      <c r="O46" s="3500"/>
      <c r="AA46" s="2263">
        <v>46</v>
      </c>
    </row>
    <row r="47" spans="1:27" ht="13.35" customHeight="1">
      <c r="A47" s="18" t="s">
        <v>2216</v>
      </c>
      <c r="B47" s="19">
        <f t="shared" ref="B47:K47" si="17">$B$15*(1+$B$6)^(B46-1)</f>
        <v>1036228.1486161032</v>
      </c>
      <c r="C47" s="19">
        <f t="shared" si="17"/>
        <v>1056952.7115884251</v>
      </c>
      <c r="D47" s="19">
        <f t="shared" si="17"/>
        <v>1078091.7658201938</v>
      </c>
      <c r="E47" s="19">
        <f t="shared" si="17"/>
        <v>1099653.6011365976</v>
      </c>
      <c r="F47" s="19">
        <f t="shared" si="17"/>
        <v>1121646.6731593297</v>
      </c>
      <c r="G47" s="19">
        <f t="shared" si="17"/>
        <v>1144079.6066225159</v>
      </c>
      <c r="H47" s="19">
        <f t="shared" si="17"/>
        <v>1166961.1987549665</v>
      </c>
      <c r="I47" s="19">
        <f t="shared" si="17"/>
        <v>1190300.4227300659</v>
      </c>
      <c r="J47" s="19">
        <f t="shared" si="17"/>
        <v>1214106.4311846669</v>
      </c>
      <c r="K47" s="20">
        <f t="shared" si="17"/>
        <v>1238388.5598083604</v>
      </c>
      <c r="N47" s="3871"/>
      <c r="O47" s="3873"/>
      <c r="Z47" s="2259" t="s">
        <v>6469</v>
      </c>
      <c r="AA47" s="2261">
        <v>47</v>
      </c>
    </row>
    <row r="48" spans="1:27" ht="13.35" customHeight="1">
      <c r="A48" s="21" t="s">
        <v>953</v>
      </c>
      <c r="B48" s="22">
        <f t="shared" ref="B48:K48" si="18">$B$16*(1+$B$6)^(B46-1)</f>
        <v>20724.562972322063</v>
      </c>
      <c r="C48" s="22">
        <f t="shared" si="18"/>
        <v>21139.054231768503</v>
      </c>
      <c r="D48" s="22">
        <f t="shared" si="18"/>
        <v>21561.835316403874</v>
      </c>
      <c r="E48" s="22">
        <f t="shared" si="18"/>
        <v>21993.072022731951</v>
      </c>
      <c r="F48" s="22">
        <f t="shared" si="18"/>
        <v>22432.933463186593</v>
      </c>
      <c r="G48" s="22">
        <f t="shared" si="18"/>
        <v>22881.592132450318</v>
      </c>
      <c r="H48" s="22">
        <f t="shared" si="18"/>
        <v>23339.223975099329</v>
      </c>
      <c r="I48" s="22">
        <f t="shared" si="18"/>
        <v>23806.008454601317</v>
      </c>
      <c r="J48" s="22">
        <f t="shared" si="18"/>
        <v>24282.128623693341</v>
      </c>
      <c r="K48" s="23">
        <f t="shared" si="18"/>
        <v>24767.771196167207</v>
      </c>
      <c r="N48" s="3865"/>
      <c r="O48" s="3867"/>
      <c r="Z48" s="2259" t="s">
        <v>6469</v>
      </c>
      <c r="AA48" s="2262">
        <v>48</v>
      </c>
    </row>
    <row r="49" spans="1:27" ht="13.35" customHeight="1">
      <c r="A49" s="21" t="s">
        <v>2217</v>
      </c>
      <c r="B49" s="22">
        <f t="shared" ref="B49:K49" si="19">-(B47+B48)*$B$9</f>
        <v>-73986.689811189775</v>
      </c>
      <c r="C49" s="22">
        <f t="shared" si="19"/>
        <v>-75466.423607413555</v>
      </c>
      <c r="D49" s="22">
        <f t="shared" si="19"/>
        <v>-76975.752079561833</v>
      </c>
      <c r="E49" s="22">
        <f t="shared" si="19"/>
        <v>-78515.267121153069</v>
      </c>
      <c r="F49" s="22">
        <f t="shared" si="19"/>
        <v>-80085.572463576143</v>
      </c>
      <c r="G49" s="22">
        <f t="shared" si="19"/>
        <v>-81687.283912847648</v>
      </c>
      <c r="H49" s="22">
        <f t="shared" si="19"/>
        <v>-83321.029591104627</v>
      </c>
      <c r="I49" s="22">
        <f t="shared" si="19"/>
        <v>-84987.45018292671</v>
      </c>
      <c r="J49" s="22">
        <f t="shared" si="19"/>
        <v>-86687.199186585218</v>
      </c>
      <c r="K49" s="23">
        <f t="shared" si="19"/>
        <v>-88420.943170316939</v>
      </c>
      <c r="N49" s="3865"/>
      <c r="O49" s="3867"/>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9" t="s">
        <v>6469</v>
      </c>
      <c r="AA51" s="2262">
        <v>51</v>
      </c>
    </row>
    <row r="52" spans="1:27" ht="13.35" customHeight="1">
      <c r="A52" s="447" t="s">
        <v>3842</v>
      </c>
      <c r="B52" s="22">
        <f t="shared" ref="B52:K52" si="20">SUM(B47:B51)</f>
        <v>982966.02177723555</v>
      </c>
      <c r="C52" s="22">
        <f t="shared" si="20"/>
        <v>1002625.34221278</v>
      </c>
      <c r="D52" s="22">
        <f t="shared" si="20"/>
        <v>1022677.8490570358</v>
      </c>
      <c r="E52" s="22">
        <f t="shared" si="20"/>
        <v>1043131.4060381764</v>
      </c>
      <c r="F52" s="22">
        <f t="shared" si="20"/>
        <v>1063994.03415894</v>
      </c>
      <c r="G52" s="22">
        <f t="shared" si="20"/>
        <v>1085273.9148421185</v>
      </c>
      <c r="H52" s="22">
        <f t="shared" si="20"/>
        <v>1106979.3931389612</v>
      </c>
      <c r="I52" s="22">
        <f t="shared" si="20"/>
        <v>1129118.9810017406</v>
      </c>
      <c r="J52" s="22">
        <f t="shared" si="20"/>
        <v>1151701.360621775</v>
      </c>
      <c r="K52" s="23">
        <f t="shared" si="20"/>
        <v>1174735.3878342106</v>
      </c>
      <c r="N52" s="3865"/>
      <c r="O52" s="3867"/>
      <c r="Z52" s="2259" t="s">
        <v>6469</v>
      </c>
      <c r="AA52" s="2263">
        <v>52</v>
      </c>
    </row>
    <row r="53" spans="1:27" ht="13.35" customHeight="1">
      <c r="A53" s="21" t="s">
        <v>572</v>
      </c>
      <c r="B53" s="22">
        <f t="shared" ref="B53:K53" si="21">$B$21*(1+$B$7)^(B46-1)</f>
        <v>-348813.4962587668</v>
      </c>
      <c r="C53" s="22">
        <f t="shared" si="21"/>
        <v>-359277.90114652982</v>
      </c>
      <c r="D53" s="22">
        <f t="shared" si="21"/>
        <v>-370056.23818092566</v>
      </c>
      <c r="E53" s="22">
        <f t="shared" si="21"/>
        <v>-381157.9253263534</v>
      </c>
      <c r="F53" s="22">
        <f t="shared" si="21"/>
        <v>-392592.66308614408</v>
      </c>
      <c r="G53" s="22">
        <f t="shared" si="21"/>
        <v>-404370.44297872839</v>
      </c>
      <c r="H53" s="22">
        <f t="shared" si="21"/>
        <v>-416501.55626809021</v>
      </c>
      <c r="I53" s="22">
        <f t="shared" si="21"/>
        <v>-428996.60295613291</v>
      </c>
      <c r="J53" s="22">
        <f t="shared" si="21"/>
        <v>-441866.50104481686</v>
      </c>
      <c r="K53" s="23">
        <f t="shared" si="21"/>
        <v>-455122.49607616139</v>
      </c>
      <c r="N53" s="3865"/>
      <c r="O53" s="3867"/>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-78637</v>
      </c>
      <c r="C54" s="22">
        <f>IF(AND('Part VI-Pro Forma'!$G$9="Yes",'Part VI-Pro Forma'!$G$10="Yes"),"Choose One!",IF('Part VI-Pro Forma'!$G$9="Yes",ROUND((-$K$9*(1+'Part VI-Pro Forma'!$B$7)^('Part VI-Pro Forma'!C46-1)),),IF('Part VI-Pro Forma'!$G$10="Yes",ROUND((-(SUM(C47:C50)*'Part VI-Pro Forma'!$K$10)),),"Choose mgt fee")))</f>
        <v>-80210</v>
      </c>
      <c r="D54" s="22">
        <f>IF(AND('Part VI-Pro Forma'!$G$9="Yes",'Part VI-Pro Forma'!$G$10="Yes"),"Choose One!",IF('Part VI-Pro Forma'!$G$9="Yes",ROUND((-$K$9*(1+'Part VI-Pro Forma'!$B$7)^('Part VI-Pro Forma'!D46-1)),),IF('Part VI-Pro Forma'!$G$10="Yes",ROUND((-(SUM(D47:D50)*'Part VI-Pro Forma'!$K$10)),),"Choose mgt fee")))</f>
        <v>-81814</v>
      </c>
      <c r="E54" s="22">
        <f>IF(AND('Part VI-Pro Forma'!$G$9="Yes",'Part VI-Pro Forma'!$G$10="Yes"),"Choose One!",IF('Part VI-Pro Forma'!$G$9="Yes",ROUND((-$K$9*(1+'Part VI-Pro Forma'!$B$7)^('Part VI-Pro Forma'!E46-1)),),IF('Part VI-Pro Forma'!$G$10="Yes",ROUND((-(SUM(E47:E50)*'Part VI-Pro Forma'!$K$10)),),"Choose mgt fee")))</f>
        <v>-83451</v>
      </c>
      <c r="F54" s="22">
        <f>IF(AND('Part VI-Pro Forma'!$G$9="Yes",'Part VI-Pro Forma'!$G$10="Yes"),"Choose One!",IF('Part VI-Pro Forma'!$G$9="Yes",ROUND((-$K$9*(1+'Part VI-Pro Forma'!$B$7)^('Part VI-Pro Forma'!F46-1)),),IF('Part VI-Pro Forma'!$G$10="Yes",ROUND((-(SUM(F47:F50)*'Part VI-Pro Forma'!$K$10)),),"Choose mgt fee")))</f>
        <v>-85120</v>
      </c>
      <c r="G54" s="22">
        <f>IF(AND('Part VI-Pro Forma'!$G$9="Yes",'Part VI-Pro Forma'!$G$10="Yes"),"Choose One!",IF('Part VI-Pro Forma'!$G$9="Yes",ROUND((-$K$9*(1+'Part VI-Pro Forma'!$B$7)^('Part VI-Pro Forma'!G46-1)),),IF('Part VI-Pro Forma'!$G$10="Yes",ROUND((-(SUM(G47:G50)*'Part VI-Pro Forma'!$K$10)),),"Choose mgt fee")))</f>
        <v>-86822</v>
      </c>
      <c r="H54" s="22">
        <f>IF(AND('Part VI-Pro Forma'!$G$9="Yes",'Part VI-Pro Forma'!$G$10="Yes"),"Choose One!",IF('Part VI-Pro Forma'!$G$9="Yes",ROUND((-$K$9*(1+'Part VI-Pro Forma'!$B$7)^('Part VI-Pro Forma'!H46-1)),),IF('Part VI-Pro Forma'!$G$10="Yes",ROUND((-(SUM(H47:H50)*'Part VI-Pro Forma'!$K$10)),),"Choose mgt fee")))</f>
        <v>-88558</v>
      </c>
      <c r="I54" s="22">
        <f>IF(AND('Part VI-Pro Forma'!$G$9="Yes",'Part VI-Pro Forma'!$G$10="Yes"),"Choose One!",IF('Part VI-Pro Forma'!$G$9="Yes",ROUND((-$K$9*(1+'Part VI-Pro Forma'!$B$7)^('Part VI-Pro Forma'!I46-1)),),IF('Part VI-Pro Forma'!$G$10="Yes",ROUND((-(SUM(I47:I50)*'Part VI-Pro Forma'!$K$10)),),"Choose mgt fee")))</f>
        <v>-90330</v>
      </c>
      <c r="J54" s="22">
        <f>IF(AND('Part VI-Pro Forma'!$G$9="Yes",'Part VI-Pro Forma'!$G$10="Yes"),"Choose One!",IF('Part VI-Pro Forma'!$G$9="Yes",ROUND((-$K$9*(1+'Part VI-Pro Forma'!$B$7)^('Part VI-Pro Forma'!J46-1)),),IF('Part VI-Pro Forma'!$G$10="Yes",ROUND((-(SUM(J47:J50)*'Part VI-Pro Forma'!$K$10)),),"Choose mgt fee")))</f>
        <v>-92136</v>
      </c>
      <c r="K54" s="23">
        <f>IF(AND('Part VI-Pro Forma'!$G$9="Yes",'Part VI-Pro Forma'!$G$10="Yes"),"Choose One!",IF('Part VI-Pro Forma'!$G$9="Yes",ROUND((-$K$9*(1+'Part VI-Pro Forma'!$B$7)^('Part VI-Pro Forma'!K46-1)),),IF('Part VI-Pro Forma'!$G$10="Yes",ROUND((-(SUM(K47:K50)*'Part VI-Pro Forma'!$K$10)),),"Choose mgt fee")))</f>
        <v>-93979</v>
      </c>
      <c r="N54" s="3865"/>
      <c r="O54" s="3867"/>
      <c r="Z54" s="2259" t="s">
        <v>6469</v>
      </c>
      <c r="AA54" s="2263">
        <v>54</v>
      </c>
    </row>
    <row r="55" spans="1:27" ht="13.35" customHeight="1">
      <c r="A55" s="21" t="s">
        <v>1129</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65"/>
      <c r="O55" s="3867"/>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5"/>
      <c r="O56" s="3867"/>
      <c r="Z56" s="2259" t="s">
        <v>6469</v>
      </c>
      <c r="AA56" s="2263">
        <v>56</v>
      </c>
    </row>
    <row r="57" spans="1:27" ht="13.35" customHeight="1">
      <c r="A57" s="21" t="s">
        <v>1130</v>
      </c>
      <c r="B57" s="22">
        <f t="shared" ref="B57:K57" si="23">SUM(B52:B56)</f>
        <v>531325.03069027467</v>
      </c>
      <c r="C57" s="22">
        <f t="shared" si="23"/>
        <v>538221.23139321024</v>
      </c>
      <c r="D57" s="22">
        <f t="shared" si="23"/>
        <v>545143.91491287888</v>
      </c>
      <c r="E57" s="22">
        <f t="shared" si="23"/>
        <v>552088.87386969489</v>
      </c>
      <c r="F57" s="22">
        <f t="shared" si="23"/>
        <v>559054.75602540397</v>
      </c>
      <c r="G57" s="22">
        <f t="shared" si="23"/>
        <v>566038.05836457643</v>
      </c>
      <c r="H57" s="22">
        <f t="shared" si="23"/>
        <v>573035.12096709281</v>
      </c>
      <c r="I57" s="22">
        <f t="shared" si="23"/>
        <v>580041.12066471612</v>
      </c>
      <c r="J57" s="22">
        <f t="shared" si="23"/>
        <v>587055.06447463995</v>
      </c>
      <c r="K57" s="1538">
        <f t="shared" si="23"/>
        <v>594070.78280266142</v>
      </c>
      <c r="N57" s="3865"/>
      <c r="O57" s="3867"/>
      <c r="Z57" s="2259" t="s">
        <v>6469</v>
      </c>
      <c r="AA57" s="2263">
        <v>57</v>
      </c>
    </row>
    <row r="58" spans="1:27" ht="13.35" customHeight="1">
      <c r="A58" s="21" t="str">
        <f>$A26</f>
        <v>Mortgage A</v>
      </c>
      <c r="B58" s="448">
        <f>IF('Part II-Sources of Funds'!$P$40="", 0,-'Part II-Sources of Funds'!$P$40)</f>
        <v>-385043.10329401225</v>
      </c>
      <c r="C58" s="448">
        <f>IF('Part II-Sources of Funds'!$P$40="", 0,-'Part II-Sources of Funds'!$P$40)</f>
        <v>-385043.10329401225</v>
      </c>
      <c r="D58" s="448">
        <f>IF('Part II-Sources of Funds'!$P$40="", 0,-'Part II-Sources of Funds'!$P$40)</f>
        <v>-385043.10329401225</v>
      </c>
      <c r="E58" s="448">
        <f>IF('Part II-Sources of Funds'!$P$40="", 0,-'Part II-Sources of Funds'!$P$40)</f>
        <v>-385043.10329401225</v>
      </c>
      <c r="F58" s="448">
        <f>IF('Part II-Sources of Funds'!$P$40="", 0,-'Part II-Sources of Funds'!$P$40)</f>
        <v>-385043.10329401225</v>
      </c>
      <c r="G58" s="448">
        <f>IF('Part II-Sources of Funds'!$P$40="", 0,-'Part II-Sources of Funds'!$P$40)</f>
        <v>-385043.10329401225</v>
      </c>
      <c r="H58" s="448">
        <f>IF('Part II-Sources of Funds'!$P$40="", 0,-'Part II-Sources of Funds'!$P$40)</f>
        <v>-385043.10329401225</v>
      </c>
      <c r="I58" s="448">
        <f>IF('Part II-Sources of Funds'!$P$40="", 0,-'Part II-Sources of Funds'!$P$40)</f>
        <v>-385043.10329401225</v>
      </c>
      <c r="J58" s="448">
        <f>IF('Part II-Sources of Funds'!$P$40="", 0,-'Part II-Sources of Funds'!$P$40)</f>
        <v>-385043.10329401225</v>
      </c>
      <c r="K58" s="448">
        <f>IF('Part II-Sources of Funds'!$P$40="", 0,-'Part II-Sources of Funds'!$P$40)</f>
        <v>-385043.10329401225</v>
      </c>
      <c r="N58" s="3865"/>
      <c r="O58" s="3867"/>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9" t="s">
        <v>6469</v>
      </c>
      <c r="AA61" s="2263">
        <v>61</v>
      </c>
    </row>
    <row r="62" spans="1:27" ht="13.35" customHeight="1">
      <c r="A62" s="21" t="s">
        <v>711</v>
      </c>
      <c r="B62" s="173"/>
      <c r="C62" s="173"/>
      <c r="D62" s="173"/>
      <c r="E62" s="173"/>
      <c r="F62" s="173"/>
      <c r="G62" s="173"/>
      <c r="H62" s="173"/>
      <c r="I62" s="173"/>
      <c r="J62" s="173"/>
      <c r="K62" s="173"/>
      <c r="N62" s="3865"/>
      <c r="O62" s="3867"/>
      <c r="Q62" s="958"/>
      <c r="R62" s="1105"/>
      <c r="Z62" s="2259" t="s">
        <v>6469</v>
      </c>
      <c r="AA62" s="2263">
        <v>62</v>
      </c>
    </row>
    <row r="63" spans="1:27" ht="13.35" customHeight="1">
      <c r="A63" s="447" t="s">
        <v>1096</v>
      </c>
      <c r="B63" s="233">
        <f>+K31</f>
        <v>-4800</v>
      </c>
      <c r="C63" s="233">
        <f t="shared" ref="C63:K63" si="24">+B63</f>
        <v>-4800</v>
      </c>
      <c r="D63" s="233">
        <f t="shared" si="24"/>
        <v>-4800</v>
      </c>
      <c r="E63" s="233">
        <f t="shared" si="24"/>
        <v>-4800</v>
      </c>
      <c r="F63" s="233">
        <f t="shared" si="24"/>
        <v>-4800</v>
      </c>
      <c r="G63" s="233">
        <f t="shared" si="24"/>
        <v>-4800</v>
      </c>
      <c r="H63" s="233">
        <f t="shared" si="24"/>
        <v>-4800</v>
      </c>
      <c r="I63" s="233">
        <f t="shared" si="24"/>
        <v>-4800</v>
      </c>
      <c r="J63" s="233">
        <f t="shared" si="24"/>
        <v>-4800</v>
      </c>
      <c r="K63" s="233">
        <f t="shared" si="24"/>
        <v>-4800</v>
      </c>
      <c r="N63" s="3865"/>
      <c r="O63" s="3867"/>
      <c r="Z63" s="2259" t="s">
        <v>6469</v>
      </c>
      <c r="AA63" s="2263">
        <v>63</v>
      </c>
    </row>
    <row r="64" spans="1:27" ht="13.35" customHeight="1">
      <c r="A64" s="447" t="s">
        <v>3364</v>
      </c>
      <c r="B64" s="234">
        <v>-59701</v>
      </c>
      <c r="C64" s="234">
        <v>-59701</v>
      </c>
      <c r="D64" s="234">
        <v>-59701</v>
      </c>
      <c r="E64" s="234">
        <v>-59701</v>
      </c>
      <c r="F64" s="234">
        <f>IF('Part II-Sources of Funds'!$P$45="", 0,-'Part II-Sources of Funds'!$P$45)</f>
        <v>0</v>
      </c>
      <c r="G64" s="234"/>
      <c r="H64" s="234"/>
      <c r="I64" s="234"/>
      <c r="J64" s="234"/>
      <c r="K64" s="234"/>
      <c r="N64" s="3865"/>
      <c r="O64" s="3867"/>
      <c r="Z64" s="2259" t="s">
        <v>6469</v>
      </c>
      <c r="AA64" s="2263">
        <v>64</v>
      </c>
    </row>
    <row r="65" spans="1:27" ht="13.35" customHeight="1">
      <c r="A65" s="21" t="s">
        <v>1097</v>
      </c>
      <c r="B65" s="22">
        <f t="shared" ref="B65:K65" si="25">SUM(B57:B64)</f>
        <v>81780.927396262414</v>
      </c>
      <c r="C65" s="22">
        <f t="shared" si="25"/>
        <v>88677.128099197987</v>
      </c>
      <c r="D65" s="22">
        <f t="shared" si="25"/>
        <v>95599.811618866632</v>
      </c>
      <c r="E65" s="22">
        <f t="shared" si="25"/>
        <v>102544.77057568263</v>
      </c>
      <c r="F65" s="22">
        <f t="shared" si="25"/>
        <v>169211.65273139172</v>
      </c>
      <c r="G65" s="22">
        <f t="shared" si="25"/>
        <v>176194.95507056417</v>
      </c>
      <c r="H65" s="22">
        <f t="shared" si="25"/>
        <v>183192.01767308055</v>
      </c>
      <c r="I65" s="22">
        <f t="shared" si="25"/>
        <v>190198.01737070386</v>
      </c>
      <c r="J65" s="22">
        <f t="shared" si="25"/>
        <v>197211.9611806277</v>
      </c>
      <c r="K65" s="642">
        <f t="shared" si="25"/>
        <v>204227.67950864916</v>
      </c>
      <c r="N65" s="3865"/>
      <c r="O65" s="3867"/>
      <c r="Z65" s="2259" t="s">
        <v>6469</v>
      </c>
      <c r="AA65" s="2263">
        <v>65</v>
      </c>
    </row>
    <row r="66" spans="1:27" ht="13.35" customHeight="1">
      <c r="A66" s="21" t="str">
        <f>$A34</f>
        <v>DCR Mortgage A</v>
      </c>
      <c r="B66" s="24">
        <f t="shared" ref="B66:K66" si="26">IF(B58=0,"",-B57/B58)</f>
        <v>1.3799105246784904</v>
      </c>
      <c r="C66" s="24">
        <f t="shared" si="26"/>
        <v>1.3978207291307692</v>
      </c>
      <c r="D66" s="24">
        <f t="shared" si="26"/>
        <v>1.4157997124197714</v>
      </c>
      <c r="E66" s="24">
        <f t="shared" si="26"/>
        <v>1.4338365475101871</v>
      </c>
      <c r="F66" s="24">
        <f t="shared" si="26"/>
        <v>1.4519277224880442</v>
      </c>
      <c r="G66" s="24">
        <f t="shared" si="26"/>
        <v>1.470064139630517</v>
      </c>
      <c r="H66" s="24">
        <f t="shared" si="26"/>
        <v>1.4882362937157534</v>
      </c>
      <c r="I66" s="24">
        <f t="shared" si="26"/>
        <v>1.5064316584364499</v>
      </c>
      <c r="J66" s="24">
        <f t="shared" si="26"/>
        <v>1.524647654905209</v>
      </c>
      <c r="K66" s="25">
        <f t="shared" si="26"/>
        <v>1.5428682599959185</v>
      </c>
      <c r="N66" s="3865"/>
      <c r="O66" s="3867"/>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5"/>
      <c r="O67" s="3867"/>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5"/>
      <c r="O68" s="3867"/>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5"/>
      <c r="O69" s="3867"/>
      <c r="Z69" s="2259" t="s">
        <v>6469</v>
      </c>
      <c r="AA69" s="2262">
        <v>69</v>
      </c>
    </row>
    <row r="70" spans="1:27" ht="13.35" customHeight="1">
      <c r="A70" s="447" t="s">
        <v>3216</v>
      </c>
      <c r="B70" s="24">
        <f t="shared" ref="B70:K70" si="30">IF(AND(B58=0,B59=0,B60=0,B61=0),"",-B57/(B58+B59+B60+B61))</f>
        <v>1.3799105246784904</v>
      </c>
      <c r="C70" s="24">
        <f t="shared" si="30"/>
        <v>1.3978207291307692</v>
      </c>
      <c r="D70" s="24">
        <f t="shared" si="30"/>
        <v>1.4157997124197714</v>
      </c>
      <c r="E70" s="24">
        <f t="shared" si="30"/>
        <v>1.4338365475101871</v>
      </c>
      <c r="F70" s="24">
        <f t="shared" si="30"/>
        <v>1.4519277224880442</v>
      </c>
      <c r="G70" s="24">
        <f t="shared" si="30"/>
        <v>1.470064139630517</v>
      </c>
      <c r="H70" s="24">
        <f t="shared" si="30"/>
        <v>1.4882362937157534</v>
      </c>
      <c r="I70" s="24">
        <f t="shared" si="30"/>
        <v>1.5064316584364499</v>
      </c>
      <c r="J70" s="24">
        <f t="shared" si="30"/>
        <v>1.524647654905209</v>
      </c>
      <c r="K70" s="25">
        <f t="shared" si="30"/>
        <v>1.5428682599959185</v>
      </c>
      <c r="N70" s="3865"/>
      <c r="O70" s="3867"/>
      <c r="Z70" s="2259" t="s">
        <v>6469</v>
      </c>
      <c r="AA70" s="2263">
        <v>70</v>
      </c>
    </row>
    <row r="71" spans="1:27" ht="13.35" customHeight="1">
      <c r="A71" s="21" t="s">
        <v>718</v>
      </c>
      <c r="B71" s="288">
        <f t="shared" ref="B71:K71" si="31">IF(OR(B54="Choose mgt fee",B54="Choose One!"),"",(B47+B48+B49+B50+B51) / -(B53+B54+B55))</f>
        <v>2.1764322574253914</v>
      </c>
      <c r="C71" s="288">
        <f t="shared" si="31"/>
        <v>2.1589501876789368</v>
      </c>
      <c r="D71" s="288">
        <f t="shared" si="31"/>
        <v>2.141581521091048</v>
      </c>
      <c r="E71" s="288">
        <f t="shared" si="31"/>
        <v>2.1243198657998685</v>
      </c>
      <c r="F71" s="288">
        <f t="shared" si="31"/>
        <v>2.1071722486947357</v>
      </c>
      <c r="G71" s="288">
        <f t="shared" si="31"/>
        <v>2.0901366908759669</v>
      </c>
      <c r="H71" s="288">
        <f t="shared" si="31"/>
        <v>2.073211476988448</v>
      </c>
      <c r="I71" s="288">
        <f t="shared" si="31"/>
        <v>2.0563913837441676</v>
      </c>
      <c r="J71" s="288">
        <f t="shared" si="31"/>
        <v>2.0396863815107107</v>
      </c>
      <c r="K71" s="289">
        <f t="shared" si="31"/>
        <v>2.0230876441493861</v>
      </c>
      <c r="N71" s="3865"/>
      <c r="O71" s="3867"/>
      <c r="Z71" s="2259" t="s">
        <v>6469</v>
      </c>
      <c r="AA71" s="2263">
        <v>71</v>
      </c>
    </row>
    <row r="72" spans="1:27" ht="13.35" customHeight="1">
      <c r="A72" s="447" t="s">
        <v>2406</v>
      </c>
      <c r="B72" s="232">
        <f>IF('Part II-Sources of Funds'!$I$40="","",-FV('Part II-Sources of Funds'!$K$40/12,12,B58/12,K40))</f>
        <v>5485878.1865420127</v>
      </c>
      <c r="C72" s="232">
        <f>IF('Part II-Sources of Funds'!$I$40="","",-FV('Part II-Sources of Funds'!$K$40/12,12,C58/12,B72))</f>
        <v>5408811.8128486751</v>
      </c>
      <c r="D72" s="232">
        <f>IF('Part II-Sources of Funds'!$I$40="","",-FV('Part II-Sources of Funds'!$K$40/12,12,D58/12,C72))</f>
        <v>5327276.6435596552</v>
      </c>
      <c r="E72" s="232">
        <f>IF('Part II-Sources of Funds'!$I$40="","",-FV('Part II-Sources of Funds'!$K$40/12,12,E58/12,D72))</f>
        <v>5241013.5496525411</v>
      </c>
      <c r="F72" s="232">
        <f>IF('Part II-Sources of Funds'!$I$40="","",-FV('Part II-Sources of Funds'!$K$40/12,12,F58/12,E72))</f>
        <v>5149748.3761658696</v>
      </c>
      <c r="G72" s="232">
        <f>IF('Part II-Sources of Funds'!$I$40="","",-FV('Part II-Sources of Funds'!$K$40/12,12,G58/12,F72))</f>
        <v>5053191.0709001776</v>
      </c>
      <c r="H72" s="232">
        <f>IF('Part II-Sources of Funds'!$I$40="","",-FV('Part II-Sources of Funds'!$K$40/12,12,H58/12,G72))</f>
        <v>4951034.762595634</v>
      </c>
      <c r="I72" s="232">
        <f>IF('Part II-Sources of Funds'!$I$40="","",-FV('Part II-Sources of Funds'!$K$40/12,12,I58/12,H72))</f>
        <v>4842954.7856565835</v>
      </c>
      <c r="J72" s="232">
        <f>IF('Part II-Sources of Funds'!$I$40="","",-FV('Part II-Sources of Funds'!$K$40/12,12,J58/12,I72))</f>
        <v>4728607.6483234474</v>
      </c>
      <c r="K72" s="232">
        <f>IF('Part II-Sources of Funds'!$I$40="","",-FV('Part II-Sources of Funds'!$K$40/12,12,K58/12,J72))</f>
        <v>4607629.9410127169</v>
      </c>
      <c r="N72" s="3865"/>
      <c r="O72" s="3867"/>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9" t="s">
        <v>6469</v>
      </c>
      <c r="AA75" s="2263">
        <v>75</v>
      </c>
    </row>
    <row r="76" spans="1:27" ht="13.35" customHeight="1">
      <c r="A76" s="447" t="s">
        <v>3365</v>
      </c>
      <c r="B76" s="234">
        <f>IF('Part II-Sources of Funds'!$I$45="","",IF(-FV('Part II-Sources of Funds'!$K$45/12,12,B64/12,K44)&gt;0,-FV('Part II-Sources of Funds'!$K$45/12,12,B64/12,K44),0))</f>
        <v>122927</v>
      </c>
      <c r="C76" s="234">
        <f>IF('Part II-Sources of Funds'!$I$45="","",IF(-FV('Part II-Sources of Funds'!$K$45/12,12,C64/12,B76)&gt;0,-FV('Part II-Sources of Funds'!$K$45/12,12,C64/12,B76),0))</f>
        <v>63226</v>
      </c>
      <c r="D76" s="234">
        <f>IF('Part II-Sources of Funds'!$I$45="","",IF(-FV('Part II-Sources of Funds'!$K$45/12,12,D64/12,C76)&gt;0,-FV('Part II-Sources of Funds'!$K$45/12,12,D64/12,C76),0))</f>
        <v>3525</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00" t="s">
        <v>2411</v>
      </c>
      <c r="O78" s="3500"/>
      <c r="AA78" s="2263">
        <v>78</v>
      </c>
    </row>
    <row r="79" spans="1:27" ht="13.35" customHeight="1">
      <c r="A79" s="18" t="s">
        <v>2216</v>
      </c>
      <c r="B79" s="19">
        <f t="shared" ref="B79:K79" si="33">$B$15*(1+$B$6)^(B78-1)</f>
        <v>1263156.3310045276</v>
      </c>
      <c r="C79" s="19">
        <f t="shared" si="33"/>
        <v>1288419.4576246182</v>
      </c>
      <c r="D79" s="19">
        <f t="shared" si="33"/>
        <v>1314187.8467771106</v>
      </c>
      <c r="E79" s="19">
        <f t="shared" si="33"/>
        <v>1340471.6037126526</v>
      </c>
      <c r="F79" s="19">
        <f t="shared" si="33"/>
        <v>1367281.0357869056</v>
      </c>
      <c r="G79" s="19">
        <f t="shared" si="33"/>
        <v>1394626.6565026436</v>
      </c>
      <c r="H79" s="19">
        <f t="shared" si="33"/>
        <v>1422519.1896326968</v>
      </c>
      <c r="I79" s="19">
        <f t="shared" si="33"/>
        <v>1450969.5734253505</v>
      </c>
      <c r="J79" s="19">
        <f t="shared" si="33"/>
        <v>1479988.9648938577</v>
      </c>
      <c r="K79" s="20">
        <f t="shared" si="33"/>
        <v>1509588.7441917346</v>
      </c>
      <c r="N79" s="3871"/>
      <c r="O79" s="3873"/>
      <c r="Z79" s="2259" t="s">
        <v>6470</v>
      </c>
      <c r="AA79" s="2263">
        <v>79</v>
      </c>
    </row>
    <row r="80" spans="1:27" ht="13.35" customHeight="1">
      <c r="A80" s="21" t="s">
        <v>953</v>
      </c>
      <c r="B80" s="22">
        <f t="shared" ref="B80:K80" si="34">$B$16*(1+$B$6)^(B78-1)</f>
        <v>25263.126620090552</v>
      </c>
      <c r="C80" s="22">
        <f t="shared" si="34"/>
        <v>25768.389152492364</v>
      </c>
      <c r="D80" s="22">
        <f t="shared" si="34"/>
        <v>26283.756935542213</v>
      </c>
      <c r="E80" s="22">
        <f t="shared" si="34"/>
        <v>26809.432074253051</v>
      </c>
      <c r="F80" s="22">
        <f t="shared" si="34"/>
        <v>27345.620715738114</v>
      </c>
      <c r="G80" s="22">
        <f t="shared" si="34"/>
        <v>27892.533130052874</v>
      </c>
      <c r="H80" s="22">
        <f t="shared" si="34"/>
        <v>28450.383792653935</v>
      </c>
      <c r="I80" s="22">
        <f t="shared" si="34"/>
        <v>29019.391468507009</v>
      </c>
      <c r="J80" s="22">
        <f t="shared" si="34"/>
        <v>29599.779297877154</v>
      </c>
      <c r="K80" s="23">
        <f t="shared" si="34"/>
        <v>30191.774883834692</v>
      </c>
      <c r="N80" s="3865"/>
      <c r="O80" s="3867"/>
      <c r="Z80" s="2259" t="s">
        <v>6470</v>
      </c>
      <c r="AA80" s="2263">
        <v>80</v>
      </c>
    </row>
    <row r="81" spans="1:27" ht="13.35" customHeight="1">
      <c r="A81" s="21" t="s">
        <v>2217</v>
      </c>
      <c r="B81" s="22">
        <f t="shared" ref="B81:K81" si="35">-(B79+B80)*$B$9</f>
        <v>-90189.362033723286</v>
      </c>
      <c r="C81" s="22">
        <f t="shared" si="35"/>
        <v>-91993.149274397743</v>
      </c>
      <c r="D81" s="22">
        <f t="shared" si="35"/>
        <v>-93833.012259885712</v>
      </c>
      <c r="E81" s="22">
        <f t="shared" si="35"/>
        <v>-95709.672505083392</v>
      </c>
      <c r="F81" s="22">
        <f t="shared" si="35"/>
        <v>-97623.865955185058</v>
      </c>
      <c r="G81" s="22">
        <f t="shared" si="35"/>
        <v>-99576.343274288767</v>
      </c>
      <c r="H81" s="22">
        <f t="shared" si="35"/>
        <v>-101567.87013977456</v>
      </c>
      <c r="I81" s="22">
        <f t="shared" si="35"/>
        <v>-103599.22754257004</v>
      </c>
      <c r="J81" s="22">
        <f t="shared" si="35"/>
        <v>-105671.21209342145</v>
      </c>
      <c r="K81" s="23">
        <f t="shared" si="35"/>
        <v>-107784.63633528986</v>
      </c>
      <c r="N81" s="3865"/>
      <c r="O81" s="3867"/>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9" t="s">
        <v>6470</v>
      </c>
      <c r="AA83" s="2262">
        <v>83</v>
      </c>
    </row>
    <row r="84" spans="1:27" ht="13.35" customHeight="1">
      <c r="A84" s="447" t="s">
        <v>3842</v>
      </c>
      <c r="B84" s="22">
        <f t="shared" ref="B84:K84" si="36">SUM(B79:B83)</f>
        <v>1198230.0955908948</v>
      </c>
      <c r="C84" s="22">
        <f t="shared" si="36"/>
        <v>1222194.697502713</v>
      </c>
      <c r="D84" s="22">
        <f t="shared" si="36"/>
        <v>1246638.5914527671</v>
      </c>
      <c r="E84" s="22">
        <f t="shared" si="36"/>
        <v>1271571.3632818221</v>
      </c>
      <c r="F84" s="22">
        <f t="shared" si="36"/>
        <v>1297002.7905474585</v>
      </c>
      <c r="G84" s="22">
        <f t="shared" si="36"/>
        <v>1322942.8463584078</v>
      </c>
      <c r="H84" s="22">
        <f t="shared" si="36"/>
        <v>1349401.7032855761</v>
      </c>
      <c r="I84" s="22">
        <f t="shared" si="36"/>
        <v>1376389.7373512874</v>
      </c>
      <c r="J84" s="22">
        <f t="shared" si="36"/>
        <v>1403917.5320983133</v>
      </c>
      <c r="K84" s="23">
        <f t="shared" si="36"/>
        <v>1431995.8827402794</v>
      </c>
      <c r="N84" s="3865"/>
      <c r="O84" s="3867"/>
      <c r="Z84" s="2259" t="s">
        <v>6470</v>
      </c>
      <c r="AA84" s="2263">
        <v>84</v>
      </c>
    </row>
    <row r="85" spans="1:27" ht="13.35" customHeight="1">
      <c r="A85" s="21" t="s">
        <v>572</v>
      </c>
      <c r="B85" s="22">
        <f t="shared" ref="B85:K85" si="37">$B$21*(1+$B$7)^(B78-1)</f>
        <v>-468776.17095844622</v>
      </c>
      <c r="C85" s="22">
        <f t="shared" si="37"/>
        <v>-482839.45608719956</v>
      </c>
      <c r="D85" s="22">
        <f t="shared" si="37"/>
        <v>-497324.63976981555</v>
      </c>
      <c r="E85" s="22">
        <f t="shared" si="37"/>
        <v>-512244.37896291009</v>
      </c>
      <c r="F85" s="22">
        <f t="shared" si="37"/>
        <v>-527611.71033179725</v>
      </c>
      <c r="G85" s="22">
        <f t="shared" si="37"/>
        <v>-543440.06164175121</v>
      </c>
      <c r="H85" s="22">
        <f t="shared" si="37"/>
        <v>-559743.26349100377</v>
      </c>
      <c r="I85" s="22">
        <f t="shared" si="37"/>
        <v>-576535.56139573385</v>
      </c>
      <c r="J85" s="22">
        <f t="shared" si="37"/>
        <v>-593831.62823760591</v>
      </c>
      <c r="K85" s="23">
        <f t="shared" si="37"/>
        <v>-611646.57708473399</v>
      </c>
      <c r="N85" s="3865"/>
      <c r="O85" s="3867"/>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-95858</v>
      </c>
      <c r="C86" s="22">
        <f>IF(AND('Part VI-Pro Forma'!$G$9="Yes",'Part VI-Pro Forma'!$G$10="Yes"),"Choose One!",IF('Part VI-Pro Forma'!$G$9="Yes",ROUND((-$K$9*(1+'Part VI-Pro Forma'!$B$7)^('Part VI-Pro Forma'!C78-1)),),IF('Part VI-Pro Forma'!$G$10="Yes",ROUND((-(SUM(C79:C82)*'Part VI-Pro Forma'!$K$10)),),"Choose mgt fee")))</f>
        <v>-97776</v>
      </c>
      <c r="D86" s="22">
        <f>IF(AND('Part VI-Pro Forma'!$G$9="Yes",'Part VI-Pro Forma'!$G$10="Yes"),"Choose One!",IF('Part VI-Pro Forma'!$G$9="Yes",ROUND((-$K$9*(1+'Part VI-Pro Forma'!$B$7)^('Part VI-Pro Forma'!D78-1)),),IF('Part VI-Pro Forma'!$G$10="Yes",ROUND((-(SUM(D79:D82)*'Part VI-Pro Forma'!$K$10)),),"Choose mgt fee")))</f>
        <v>-99731</v>
      </c>
      <c r="E86" s="22">
        <f>IF(AND('Part VI-Pro Forma'!$G$9="Yes",'Part VI-Pro Forma'!$G$10="Yes"),"Choose One!",IF('Part VI-Pro Forma'!$G$9="Yes",ROUND((-$K$9*(1+'Part VI-Pro Forma'!$B$7)^('Part VI-Pro Forma'!E78-1)),),IF('Part VI-Pro Forma'!$G$10="Yes",ROUND((-(SUM(E79:E82)*'Part VI-Pro Forma'!$K$10)),),"Choose mgt fee")))</f>
        <v>-101726</v>
      </c>
      <c r="F86" s="22">
        <f>IF(AND('Part VI-Pro Forma'!$G$9="Yes",'Part VI-Pro Forma'!$G$10="Yes"),"Choose One!",IF('Part VI-Pro Forma'!$G$9="Yes",ROUND((-$K$9*(1+'Part VI-Pro Forma'!$B$7)^('Part VI-Pro Forma'!F78-1)),),IF('Part VI-Pro Forma'!$G$10="Yes",ROUND((-(SUM(F79:F82)*'Part VI-Pro Forma'!$K$10)),),"Choose mgt fee")))</f>
        <v>-103760</v>
      </c>
      <c r="G86" s="22">
        <f>IF(AND('Part VI-Pro Forma'!$G$9="Yes",'Part VI-Pro Forma'!$G$10="Yes"),"Choose One!",IF('Part VI-Pro Forma'!$G$9="Yes",ROUND((-$K$9*(1+'Part VI-Pro Forma'!$B$7)^('Part VI-Pro Forma'!G78-1)),),IF('Part VI-Pro Forma'!$G$10="Yes",ROUND((-(SUM(G79:G82)*'Part VI-Pro Forma'!$K$10)),),"Choose mgt fee")))</f>
        <v>-105835</v>
      </c>
      <c r="H86" s="22">
        <f>IF(AND('Part VI-Pro Forma'!$G$9="Yes",'Part VI-Pro Forma'!$G$10="Yes"),"Choose One!",IF('Part VI-Pro Forma'!$G$9="Yes",ROUND((-$K$9*(1+'Part VI-Pro Forma'!$B$7)^('Part VI-Pro Forma'!H78-1)),),IF('Part VI-Pro Forma'!$G$10="Yes",ROUND((-(SUM(H79:H82)*'Part VI-Pro Forma'!$K$10)),),"Choose mgt fee")))</f>
        <v>-107952</v>
      </c>
      <c r="I86" s="22">
        <f>IF(AND('Part VI-Pro Forma'!$G$9="Yes",'Part VI-Pro Forma'!$G$10="Yes"),"Choose One!",IF('Part VI-Pro Forma'!$G$9="Yes",ROUND((-$K$9*(1+'Part VI-Pro Forma'!$B$7)^('Part VI-Pro Forma'!I78-1)),),IF('Part VI-Pro Forma'!$G$10="Yes",ROUND((-(SUM(I79:I82)*'Part VI-Pro Forma'!$K$10)),),"Choose mgt fee")))</f>
        <v>-110111</v>
      </c>
      <c r="J86" s="22">
        <f>IF(AND('Part VI-Pro Forma'!$G$9="Yes",'Part VI-Pro Forma'!$G$10="Yes"),"Choose One!",IF('Part VI-Pro Forma'!$G$9="Yes",ROUND((-$K$9*(1+'Part VI-Pro Forma'!$B$7)^('Part VI-Pro Forma'!J78-1)),),IF('Part VI-Pro Forma'!$G$10="Yes",ROUND((-(SUM(J79:J82)*'Part VI-Pro Forma'!$K$10)),),"Choose mgt fee")))</f>
        <v>-112313</v>
      </c>
      <c r="K86" s="23">
        <f>IF(AND('Part VI-Pro Forma'!$G$9="Yes",'Part VI-Pro Forma'!$G$10="Yes"),"Choose One!",IF('Part VI-Pro Forma'!$G$9="Yes",ROUND((-$K$9*(1+'Part VI-Pro Forma'!$B$7)^('Part VI-Pro Forma'!K78-1)),),IF('Part VI-Pro Forma'!$G$10="Yes",ROUND((-(SUM(K79:K82)*'Part VI-Pro Forma'!$K$10)),),"Choose mgt fee")))</f>
        <v>-114560</v>
      </c>
      <c r="N86" s="3865"/>
      <c r="O86" s="3867"/>
      <c r="Z86" s="2259" t="s">
        <v>6470</v>
      </c>
      <c r="AA86" s="2263">
        <v>86</v>
      </c>
    </row>
    <row r="87" spans="1:27" ht="13.35" customHeight="1">
      <c r="A87" s="21" t="s">
        <v>1129</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65"/>
      <c r="O87" s="3867"/>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5"/>
      <c r="O88" s="3867"/>
      <c r="Z88" s="2259" t="s">
        <v>6470</v>
      </c>
      <c r="AA88" s="2263">
        <v>88</v>
      </c>
    </row>
    <row r="89" spans="1:27" ht="13.35" customHeight="1">
      <c r="A89" s="21" t="s">
        <v>1130</v>
      </c>
      <c r="B89" s="22">
        <f t="shared" ref="B89:K89" si="39">SUM(B84:B88)</f>
        <v>601085.92240839917</v>
      </c>
      <c r="C89" s="22">
        <f t="shared" si="39"/>
        <v>608093.93912474252</v>
      </c>
      <c r="D89" s="22">
        <f t="shared" si="39"/>
        <v>615093.09032345749</v>
      </c>
      <c r="E89" s="22">
        <f t="shared" si="39"/>
        <v>622076.42711863318</v>
      </c>
      <c r="F89" s="22">
        <f t="shared" si="39"/>
        <v>629040.78629937395</v>
      </c>
      <c r="G89" s="22">
        <f t="shared" si="39"/>
        <v>635979.78198288067</v>
      </c>
      <c r="H89" s="22">
        <f t="shared" si="39"/>
        <v>642887.79697878321</v>
      </c>
      <c r="I89" s="22">
        <f t="shared" si="39"/>
        <v>649759.97385529079</v>
      </c>
      <c r="J89" s="22">
        <f t="shared" si="39"/>
        <v>656590.2056974367</v>
      </c>
      <c r="K89" s="1538">
        <f t="shared" si="39"/>
        <v>663371.12654737663</v>
      </c>
      <c r="N89" s="3865"/>
      <c r="O89" s="3867"/>
      <c r="Z89" s="2259" t="s">
        <v>6470</v>
      </c>
      <c r="AA89" s="2263">
        <v>89</v>
      </c>
    </row>
    <row r="90" spans="1:27" ht="13.35" customHeight="1">
      <c r="A90" s="21" t="str">
        <f>$A58</f>
        <v>Mortgage A</v>
      </c>
      <c r="B90" s="448">
        <f>IF('Part II-Sources of Funds'!$P$40="", 0,-'Part II-Sources of Funds'!$P$40)</f>
        <v>-385043.10329401225</v>
      </c>
      <c r="C90" s="448">
        <f>IF('Part II-Sources of Funds'!$P$40="", 0,-'Part II-Sources of Funds'!$P$40)</f>
        <v>-385043.10329401225</v>
      </c>
      <c r="D90" s="448">
        <f>IF('Part II-Sources of Funds'!$P$40="", 0,-'Part II-Sources of Funds'!$P$40)</f>
        <v>-385043.10329401225</v>
      </c>
      <c r="E90" s="448">
        <f>IF('Part II-Sources of Funds'!$P$40="", 0,-'Part II-Sources of Funds'!$P$40)</f>
        <v>-385043.10329401225</v>
      </c>
      <c r="F90" s="448">
        <f>IF('Part II-Sources of Funds'!$P$40="", 0,-'Part II-Sources of Funds'!$P$40)</f>
        <v>-385043.10329401225</v>
      </c>
      <c r="G90" s="448">
        <f>IF('Part II-Sources of Funds'!$P$40="", 0,-'Part II-Sources of Funds'!$P$40)</f>
        <v>-385043.10329401225</v>
      </c>
      <c r="H90" s="448">
        <f>IF('Part II-Sources of Funds'!$P$40="", 0,-'Part II-Sources of Funds'!$P$40)</f>
        <v>-385043.10329401225</v>
      </c>
      <c r="I90" s="448">
        <f>IF('Part II-Sources of Funds'!$P$40="", 0,-'Part II-Sources of Funds'!$P$40)</f>
        <v>-385043.10329401225</v>
      </c>
      <c r="J90" s="448">
        <f>IF('Part II-Sources of Funds'!$P$40="", 0,-'Part II-Sources of Funds'!$P$40)</f>
        <v>-385043.10329401225</v>
      </c>
      <c r="K90" s="448">
        <f>IF('Part II-Sources of Funds'!$P$40="", 0,-'Part II-Sources of Funds'!$P$40)</f>
        <v>-385043.10329401225</v>
      </c>
      <c r="N90" s="3865"/>
      <c r="O90" s="3867"/>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9" t="s">
        <v>6470</v>
      </c>
      <c r="AA93" s="2263">
        <v>93</v>
      </c>
    </row>
    <row r="94" spans="1:27" ht="13.35" customHeight="1">
      <c r="A94" s="21" t="s">
        <v>711</v>
      </c>
      <c r="B94" s="173"/>
      <c r="C94" s="173"/>
      <c r="D94" s="173"/>
      <c r="E94" s="173"/>
      <c r="F94" s="173"/>
      <c r="G94" s="173"/>
      <c r="H94" s="173"/>
      <c r="I94" s="173"/>
      <c r="J94" s="173"/>
      <c r="K94" s="173"/>
      <c r="N94" s="3865"/>
      <c r="O94" s="3867"/>
      <c r="Z94" s="2259" t="s">
        <v>6470</v>
      </c>
      <c r="AA94" s="2263">
        <v>94</v>
      </c>
    </row>
    <row r="95" spans="1:27" ht="13.35" customHeight="1">
      <c r="A95" s="447" t="s">
        <v>1096</v>
      </c>
      <c r="B95" s="234">
        <f>+K63</f>
        <v>-4800</v>
      </c>
      <c r="C95" s="234">
        <f t="shared" ref="C95:K95" si="40">+B95</f>
        <v>-4800</v>
      </c>
      <c r="D95" s="234">
        <f t="shared" si="40"/>
        <v>-4800</v>
      </c>
      <c r="E95" s="234">
        <f t="shared" si="40"/>
        <v>-4800</v>
      </c>
      <c r="F95" s="234">
        <f t="shared" si="40"/>
        <v>-4800</v>
      </c>
      <c r="G95" s="234">
        <f t="shared" si="40"/>
        <v>-4800</v>
      </c>
      <c r="H95" s="234">
        <f t="shared" si="40"/>
        <v>-4800</v>
      </c>
      <c r="I95" s="234">
        <f t="shared" si="40"/>
        <v>-4800</v>
      </c>
      <c r="J95" s="234">
        <f t="shared" si="40"/>
        <v>-4800</v>
      </c>
      <c r="K95" s="234">
        <f t="shared" si="40"/>
        <v>-4800</v>
      </c>
      <c r="N95" s="3865"/>
      <c r="O95" s="3867"/>
      <c r="Z95" s="2259" t="s">
        <v>6470</v>
      </c>
      <c r="AA95" s="2263">
        <v>95</v>
      </c>
    </row>
    <row r="96" spans="1:27" ht="13.35" customHeight="1">
      <c r="A96" s="21" t="s">
        <v>1097</v>
      </c>
      <c r="B96" s="22">
        <f t="shared" ref="B96:K96" si="41">SUM(B89:B95)</f>
        <v>211242.81911438692</v>
      </c>
      <c r="C96" s="22">
        <f t="shared" si="41"/>
        <v>218250.83583073027</v>
      </c>
      <c r="D96" s="22">
        <f t="shared" si="41"/>
        <v>225249.98702944524</v>
      </c>
      <c r="E96" s="22">
        <f t="shared" si="41"/>
        <v>232233.32382462092</v>
      </c>
      <c r="F96" s="22">
        <f t="shared" si="41"/>
        <v>239197.6830053617</v>
      </c>
      <c r="G96" s="22">
        <f t="shared" si="41"/>
        <v>246136.67868886841</v>
      </c>
      <c r="H96" s="22">
        <f t="shared" si="41"/>
        <v>253044.69368477096</v>
      </c>
      <c r="I96" s="22">
        <f t="shared" si="41"/>
        <v>259916.87056127854</v>
      </c>
      <c r="J96" s="22">
        <f t="shared" si="41"/>
        <v>266747.10240342445</v>
      </c>
      <c r="K96" s="23">
        <f t="shared" si="41"/>
        <v>273528.02325336437</v>
      </c>
      <c r="N96" s="3865"/>
      <c r="O96" s="3867"/>
      <c r="Z96" s="2259" t="s">
        <v>6470</v>
      </c>
      <c r="AA96" s="2261">
        <v>96</v>
      </c>
    </row>
    <row r="97" spans="1:27" ht="13.35" customHeight="1">
      <c r="A97" s="21" t="str">
        <f>$A66</f>
        <v>DCR Mortgage A</v>
      </c>
      <c r="B97" s="24">
        <f t="shared" ref="B97:K97" si="42">IF(B90=0,"",-B89/B90)</f>
        <v>1.5610873620801367</v>
      </c>
      <c r="C97" s="24">
        <f t="shared" si="42"/>
        <v>1.5792879652240193</v>
      </c>
      <c r="D97" s="24">
        <f t="shared" si="42"/>
        <v>1.5974655436271588</v>
      </c>
      <c r="E97" s="24">
        <f t="shared" si="42"/>
        <v>1.6156020502557251</v>
      </c>
      <c r="F97" s="24">
        <f t="shared" si="42"/>
        <v>1.6336892698972698</v>
      </c>
      <c r="G97" s="24">
        <f t="shared" si="42"/>
        <v>1.6517106177000072</v>
      </c>
      <c r="H97" s="24">
        <f t="shared" si="42"/>
        <v>1.6696515051923555</v>
      </c>
      <c r="I97" s="24">
        <f t="shared" si="42"/>
        <v>1.6874993170807304</v>
      </c>
      <c r="J97" s="24">
        <f t="shared" si="42"/>
        <v>1.7052381930240048</v>
      </c>
      <c r="K97" s="25">
        <f t="shared" si="42"/>
        <v>1.722849002805896</v>
      </c>
      <c r="N97" s="3865"/>
      <c r="O97" s="3867"/>
      <c r="Z97" s="2259" t="s">
        <v>6470</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5"/>
      <c r="O98" s="3867"/>
      <c r="Z98" s="2259" t="s">
        <v>6470</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5"/>
      <c r="O99" s="3867"/>
      <c r="Z99" s="2259" t="s">
        <v>6470</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5"/>
      <c r="O100" s="3867"/>
      <c r="Z100" s="2259" t="s">
        <v>6470</v>
      </c>
      <c r="AA100" s="2262">
        <v>100</v>
      </c>
    </row>
    <row r="101" spans="1:27" ht="13.35" customHeight="1">
      <c r="A101" s="447" t="s">
        <v>3216</v>
      </c>
      <c r="B101" s="24">
        <f t="shared" ref="B101:K101" si="46">IF(AND(B90=0,B91=0,B92=0,B93=0),"",-B89/(B90+B91+B92+B93))</f>
        <v>1.5610873620801367</v>
      </c>
      <c r="C101" s="24">
        <f t="shared" si="46"/>
        <v>1.5792879652240193</v>
      </c>
      <c r="D101" s="24">
        <f t="shared" si="46"/>
        <v>1.5974655436271588</v>
      </c>
      <c r="E101" s="24">
        <f t="shared" si="46"/>
        <v>1.6156020502557251</v>
      </c>
      <c r="F101" s="24">
        <f t="shared" si="46"/>
        <v>1.6336892698972698</v>
      </c>
      <c r="G101" s="24">
        <f t="shared" si="46"/>
        <v>1.6517106177000072</v>
      </c>
      <c r="H101" s="24">
        <f t="shared" si="46"/>
        <v>1.6696515051923555</v>
      </c>
      <c r="I101" s="24">
        <f t="shared" si="46"/>
        <v>1.6874993170807304</v>
      </c>
      <c r="J101" s="24">
        <f t="shared" si="46"/>
        <v>1.7052381930240048</v>
      </c>
      <c r="K101" s="25">
        <f t="shared" si="46"/>
        <v>1.722849002805896</v>
      </c>
      <c r="N101" s="3865"/>
      <c r="O101" s="3867"/>
      <c r="Z101" s="2259" t="s">
        <v>6470</v>
      </c>
      <c r="AA101" s="2263">
        <v>101</v>
      </c>
    </row>
    <row r="102" spans="1:27" ht="13.35" customHeight="1">
      <c r="A102" s="21" t="s">
        <v>718</v>
      </c>
      <c r="B102" s="288">
        <f>IF(OR(B86="Choose mgt fee",B86="Choose One!"),"",(B79+B80+B81+B82+B83) / -(B85+B86+B87))</f>
        <v>2.0066010009021706</v>
      </c>
      <c r="C102" s="288">
        <f t="shared" ref="C102:K102" si="47">IF(OR(C86="Choose mgt fee",C86="Choose One!"),"",(C79+C80+C81+C82+C83) / -(C85+C86+C87))</f>
        <v>1.9902185119114757</v>
      </c>
      <c r="D102" s="288">
        <f t="shared" si="47"/>
        <v>1.9739489699848507</v>
      </c>
      <c r="E102" s="288">
        <f t="shared" si="47"/>
        <v>1.9577848763432597</v>
      </c>
      <c r="F102" s="288">
        <f t="shared" si="47"/>
        <v>1.9417313893587052</v>
      </c>
      <c r="G102" s="288">
        <f t="shared" si="47"/>
        <v>1.9257845362632531</v>
      </c>
      <c r="H102" s="288">
        <f t="shared" si="47"/>
        <v>1.9099435853136895</v>
      </c>
      <c r="I102" s="288">
        <f t="shared" si="47"/>
        <v>1.894210513383231</v>
      </c>
      <c r="J102" s="288">
        <f t="shared" si="47"/>
        <v>1.8785845003949886</v>
      </c>
      <c r="K102" s="289">
        <f t="shared" si="47"/>
        <v>1.863062399698312</v>
      </c>
      <c r="N102" s="3865"/>
      <c r="O102" s="3867"/>
      <c r="Z102" s="2259" t="s">
        <v>6470</v>
      </c>
      <c r="AA102" s="2263">
        <v>102</v>
      </c>
    </row>
    <row r="103" spans="1:27" ht="13.35" customHeight="1">
      <c r="A103" s="447" t="s">
        <v>2406</v>
      </c>
      <c r="B103" s="232">
        <f>IF('Part II-Sources of Funds'!$I$40="","",-FV('Part II-Sources of Funds'!$K$40/12,12,B90/12,K72))</f>
        <v>4479637.1813555872</v>
      </c>
      <c r="C103" s="232">
        <f>IF('Part II-Sources of Funds'!$I$40="","",-FV('Part II-Sources of Funds'!$K$40/12,12,C90/12,B103))</f>
        <v>4344222.5922646383</v>
      </c>
      <c r="D103" s="232">
        <f>IF('Part II-Sources of Funds'!$I$40="","",-FV('Part II-Sources of Funds'!$K$40/12,12,D90/12,C103))</f>
        <v>4200955.8091450892</v>
      </c>
      <c r="E103" s="232">
        <f>IF('Part II-Sources of Funds'!$I$40="","",-FV('Part II-Sources of Funds'!$K$40/12,12,E90/12,D103))</f>
        <v>4049381.5121419914</v>
      </c>
      <c r="F103" s="232">
        <f>IF('Part II-Sources of Funds'!$I$40="","",-FV('Part II-Sources of Funds'!$K$40/12,12,F90/12,E103))</f>
        <v>3889017.9790764656</v>
      </c>
      <c r="G103" s="232">
        <f>IF('Part II-Sources of Funds'!$I$40="","",-FV('Part II-Sources of Funds'!$K$40/12,12,G90/12,F103))</f>
        <v>3719355.5544720325</v>
      </c>
      <c r="H103" s="232">
        <f>IF('Part II-Sources of Funds'!$I$40="","",-FV('Part II-Sources of Funds'!$K$40/12,12,H90/12,G103))</f>
        <v>3539855.0298054116</v>
      </c>
      <c r="I103" s="232">
        <f>IF('Part II-Sources of Funds'!$I$40="","",-FV('Part II-Sources of Funds'!$K$40/12,12,I90/12,H103))</f>
        <v>3349945.9298340189</v>
      </c>
      <c r="J103" s="232">
        <f>IF('Part II-Sources of Funds'!$I$40="","",-FV('Part II-Sources of Funds'!$K$40/12,12,J90/12,I103))</f>
        <v>3149024.6995538995</v>
      </c>
      <c r="K103" s="232">
        <f>IF('Part II-Sources of Funds'!$I$40="","",-FV('Part II-Sources of Funds'!$K$40/12,12,K90/12,J103))</f>
        <v>2936452.7860260173</v>
      </c>
      <c r="N103" s="3865"/>
      <c r="O103" s="3867"/>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00" t="s">
        <v>3208</v>
      </c>
      <c r="O108" s="3500"/>
      <c r="AA108" s="2261">
        <v>108</v>
      </c>
    </row>
    <row r="109" spans="1:27" ht="13.35" customHeight="1">
      <c r="A109" s="18" t="s">
        <v>2216</v>
      </c>
      <c r="B109" s="19">
        <f>$B$15*(1+$B$6)^(B108-1)</f>
        <v>1539780.5190755695</v>
      </c>
      <c r="C109" s="19">
        <f>$B$15*(1+$B$6)^(C108-1)</f>
        <v>1570576.1294570805</v>
      </c>
      <c r="D109" s="19">
        <f>$B$15*(1+$B$6)^(D108-1)</f>
        <v>1601987.6520462225</v>
      </c>
      <c r="E109" s="19">
        <f>$B$15*(1+$B$6)^(E108-1)</f>
        <v>1634027.4050871469</v>
      </c>
      <c r="F109" s="642">
        <f>$B$15*(1+$B$6)^(F108-1)</f>
        <v>1666707.9531888899</v>
      </c>
      <c r="G109" s="17"/>
      <c r="H109" s="17"/>
      <c r="I109" s="17"/>
      <c r="J109" s="17"/>
      <c r="K109" s="17"/>
      <c r="N109" s="3871"/>
      <c r="O109" s="3873"/>
      <c r="Z109" s="2259" t="s">
        <v>6471</v>
      </c>
      <c r="AA109" s="2262">
        <v>109</v>
      </c>
    </row>
    <row r="110" spans="1:27" ht="13.35" customHeight="1">
      <c r="A110" s="21" t="s">
        <v>953</v>
      </c>
      <c r="B110" s="22">
        <f>$B$16*(1+$B$6)^(B108-1)</f>
        <v>30795.610381511389</v>
      </c>
      <c r="C110" s="22">
        <f>$B$16*(1+$B$6)^(C108-1)</f>
        <v>31411.522589141612</v>
      </c>
      <c r="D110" s="22">
        <f>$B$16*(1+$B$6)^(D108-1)</f>
        <v>32039.75304092445</v>
      </c>
      <c r="E110" s="22">
        <f>$B$16*(1+$B$6)^(E108-1)</f>
        <v>32680.548101742941</v>
      </c>
      <c r="F110" s="23">
        <f>$B$16*(1+$B$6)^(F108-1)</f>
        <v>33334.159063777799</v>
      </c>
      <c r="G110" s="17"/>
      <c r="H110" s="17"/>
      <c r="I110" s="17"/>
      <c r="J110" s="17"/>
      <c r="K110" s="17"/>
      <c r="N110" s="3865"/>
      <c r="O110" s="3867"/>
      <c r="Z110" s="2259" t="s">
        <v>6471</v>
      </c>
      <c r="AA110" s="2263">
        <v>110</v>
      </c>
    </row>
    <row r="111" spans="1:27" ht="13.35" customHeight="1">
      <c r="A111" s="21" t="s">
        <v>2217</v>
      </c>
      <c r="B111" s="22">
        <f>-(B109+B110)*$B$9</f>
        <v>-109940.32906199567</v>
      </c>
      <c r="C111" s="22">
        <f>-(C109+C110)*$B$9</f>
        <v>-112139.13564323555</v>
      </c>
      <c r="D111" s="22">
        <f>-(D109+D110)*$B$9</f>
        <v>-114381.9183561003</v>
      </c>
      <c r="E111" s="22">
        <f>-(E109+E110)*$B$9</f>
        <v>-116669.5567232223</v>
      </c>
      <c r="F111" s="23">
        <f>-(F109+F110)*$B$9</f>
        <v>-119002.94785768676</v>
      </c>
      <c r="G111" s="17"/>
      <c r="H111" s="17"/>
      <c r="I111" s="17"/>
      <c r="J111" s="17"/>
      <c r="K111" s="17"/>
      <c r="N111" s="3865"/>
      <c r="O111" s="3867"/>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9" t="s">
        <v>6471</v>
      </c>
      <c r="AA113" s="2263">
        <v>113</v>
      </c>
    </row>
    <row r="114" spans="1:27" ht="13.35" customHeight="1">
      <c r="A114" s="447" t="s">
        <v>3842</v>
      </c>
      <c r="B114" s="22">
        <f>SUM(B109:B113)</f>
        <v>1460635.800395085</v>
      </c>
      <c r="C114" s="22">
        <f>SUM(C109:C113)</f>
        <v>1489848.5164029864</v>
      </c>
      <c r="D114" s="22">
        <f>SUM(D109:D113)</f>
        <v>1519645.4867310466</v>
      </c>
      <c r="E114" s="22">
        <f>SUM(E109:E113)</f>
        <v>1550038.3964656675</v>
      </c>
      <c r="F114" s="23">
        <f>SUM(F109:F113)</f>
        <v>1581039.164394981</v>
      </c>
      <c r="G114" s="17"/>
      <c r="H114" s="17"/>
      <c r="I114" s="17"/>
      <c r="J114" s="17"/>
      <c r="K114" s="17"/>
      <c r="N114" s="3865"/>
      <c r="O114" s="3867"/>
      <c r="Z114" s="2259" t="s">
        <v>6471</v>
      </c>
      <c r="AA114" s="2263">
        <v>114</v>
      </c>
    </row>
    <row r="115" spans="1:27" ht="13.35" customHeight="1">
      <c r="A115" s="21" t="s">
        <v>572</v>
      </c>
      <c r="B115" s="22">
        <f>$B$21*(1+$B$7)^(B108-1)</f>
        <v>-629995.97439727606</v>
      </c>
      <c r="C115" s="22">
        <f>$B$21*(1+$B$7)^(C108-1)</f>
        <v>-648895.85362919443</v>
      </c>
      <c r="D115" s="22">
        <f>$B$21*(1+$B$7)^(D108-1)</f>
        <v>-668362.72923807008</v>
      </c>
      <c r="E115" s="22">
        <f>$B$21*(1+$B$7)^(E108-1)</f>
        <v>-688413.6111152122</v>
      </c>
      <c r="F115" s="23">
        <f>$B$21*(1+$B$7)^(F108-1)</f>
        <v>-709066.01944866846</v>
      </c>
      <c r="G115" s="17"/>
      <c r="H115" s="17"/>
      <c r="I115" s="17"/>
      <c r="J115" s="17"/>
      <c r="K115" s="17"/>
      <c r="N115" s="3865"/>
      <c r="O115" s="3867"/>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-116851</v>
      </c>
      <c r="C116" s="22">
        <f>IF(AND('Part VI-Pro Forma'!$G$9="Yes",'Part VI-Pro Forma'!$G$10="Yes"),"Choose One!",IF('Part VI-Pro Forma'!$G$9="Yes",ROUND((-$K$9*(1+'Part VI-Pro Forma'!$B$7)^('Part VI-Pro Forma'!C108-1)),),IF('Part VI-Pro Forma'!$G$10="Yes",ROUND((-(SUM(C109:C112)*'Part VI-Pro Forma'!$K$10)),),"Choose mgt fee")))</f>
        <v>-119188</v>
      </c>
      <c r="D116" s="22">
        <f>IF(AND('Part VI-Pro Forma'!$G$9="Yes",'Part VI-Pro Forma'!$G$10="Yes"),"Choose One!",IF('Part VI-Pro Forma'!$G$9="Yes",ROUND((-$K$9*(1+'Part VI-Pro Forma'!$B$7)^('Part VI-Pro Forma'!D108-1)),),IF('Part VI-Pro Forma'!$G$10="Yes",ROUND((-(SUM(D109:D112)*'Part VI-Pro Forma'!$K$10)),),"Choose mgt fee")))</f>
        <v>-121572</v>
      </c>
      <c r="E116" s="22">
        <f>IF(AND('Part VI-Pro Forma'!$G$9="Yes",'Part VI-Pro Forma'!$G$10="Yes"),"Choose One!",IF('Part VI-Pro Forma'!$G$9="Yes",ROUND((-$K$9*(1+'Part VI-Pro Forma'!$B$7)^('Part VI-Pro Forma'!E108-1)),),IF('Part VI-Pro Forma'!$G$10="Yes",ROUND((-(SUM(E109:E112)*'Part VI-Pro Forma'!$K$10)),),"Choose mgt fee")))</f>
        <v>-124003</v>
      </c>
      <c r="F116" s="23">
        <f>IF(AND('Part VI-Pro Forma'!$G$9="Yes",'Part VI-Pro Forma'!$G$10="Yes"),"Choose One!",IF('Part VI-Pro Forma'!$G$9="Yes",ROUND((-$K$9*(1+'Part VI-Pro Forma'!$B$7)^('Part VI-Pro Forma'!F108-1)),),IF('Part VI-Pro Forma'!$G$10="Yes",ROUND((-(SUM(F109:F112)*'Part VI-Pro Forma'!$K$10)),),"Choose mgt fee")))</f>
        <v>-126483</v>
      </c>
      <c r="G116" s="17"/>
      <c r="H116" s="17"/>
      <c r="I116" s="17"/>
      <c r="J116" s="17"/>
      <c r="K116" s="17"/>
      <c r="N116" s="3865"/>
      <c r="O116" s="3867"/>
      <c r="Z116" s="2259" t="s">
        <v>6471</v>
      </c>
      <c r="AA116" s="2263">
        <v>116</v>
      </c>
    </row>
    <row r="117" spans="1:27" ht="13.35" customHeight="1">
      <c r="A117" s="21" t="s">
        <v>1129</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65"/>
      <c r="O117" s="3867"/>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5"/>
      <c r="O118" s="3867"/>
      <c r="Z118" s="2259" t="s">
        <v>6471</v>
      </c>
      <c r="AA118" s="2262">
        <v>118</v>
      </c>
    </row>
    <row r="119" spans="1:27" ht="13.35" customHeight="1">
      <c r="A119" s="21" t="s">
        <v>1130</v>
      </c>
      <c r="B119" s="22">
        <f>SUM(B114:B118)</f>
        <v>670098.10151639511</v>
      </c>
      <c r="C119" s="22">
        <f>SUM(C114:C118)</f>
        <v>676763.2165579357</v>
      </c>
      <c r="D119" s="22">
        <f>SUM(D114:D118)</f>
        <v>683359.26789064449</v>
      </c>
      <c r="E119" s="22">
        <f>SUM(E114:E118)</f>
        <v>689879.75106005336</v>
      </c>
      <c r="F119" s="1538">
        <f>SUM(F114:F118)</f>
        <v>696315.84962719854</v>
      </c>
      <c r="G119" s="17"/>
      <c r="H119" s="17"/>
      <c r="I119" s="17"/>
      <c r="J119" s="17"/>
      <c r="K119" s="17"/>
      <c r="N119" s="3865"/>
      <c r="O119" s="3867"/>
      <c r="Z119" s="2259" t="s">
        <v>6471</v>
      </c>
      <c r="AA119" s="2263">
        <v>119</v>
      </c>
    </row>
    <row r="120" spans="1:27" ht="13.35" customHeight="1">
      <c r="A120" s="21" t="str">
        <f>$A90</f>
        <v>Mortgage A</v>
      </c>
      <c r="B120" s="448">
        <f>IF('Part II-Sources of Funds'!$P$40="", 0,-'Part II-Sources of Funds'!$P$40)</f>
        <v>-385043.10329401225</v>
      </c>
      <c r="C120" s="448">
        <f>IF('Part II-Sources of Funds'!$P$40="", 0,-'Part II-Sources of Funds'!$P$40)</f>
        <v>-385043.10329401225</v>
      </c>
      <c r="D120" s="448">
        <f>IF('Part II-Sources of Funds'!$P$40="", 0,-'Part II-Sources of Funds'!$P$40)</f>
        <v>-385043.10329401225</v>
      </c>
      <c r="E120" s="448">
        <f>IF('Part II-Sources of Funds'!$P$40="", 0,-'Part II-Sources of Funds'!$P$40)</f>
        <v>-385043.10329401225</v>
      </c>
      <c r="F120" s="448">
        <f>IF('Part II-Sources of Funds'!$P$40="", 0,-'Part II-Sources of Funds'!$P$40)</f>
        <v>-385043.10329401225</v>
      </c>
      <c r="G120" s="17"/>
      <c r="H120" s="17"/>
      <c r="I120" s="17"/>
      <c r="J120" s="17"/>
      <c r="K120" s="17"/>
      <c r="N120" s="3865"/>
      <c r="O120" s="3867"/>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9" t="s">
        <v>6471</v>
      </c>
      <c r="AA123" s="2262">
        <v>123</v>
      </c>
    </row>
    <row r="124" spans="1:27" ht="13.35" customHeight="1">
      <c r="A124" s="21" t="s">
        <v>711</v>
      </c>
      <c r="B124" s="173"/>
      <c r="C124" s="173"/>
      <c r="D124" s="173"/>
      <c r="E124" s="173"/>
      <c r="F124" s="173"/>
      <c r="G124" s="17"/>
      <c r="H124" s="17"/>
      <c r="I124" s="17"/>
      <c r="J124" s="17"/>
      <c r="K124" s="17"/>
      <c r="N124" s="3865"/>
      <c r="O124" s="3867"/>
      <c r="Z124" s="2259" t="s">
        <v>6471</v>
      </c>
      <c r="AA124" s="2263">
        <v>124</v>
      </c>
    </row>
    <row r="125" spans="1:27" ht="13.35" customHeight="1">
      <c r="A125" s="21" t="s">
        <v>1096</v>
      </c>
      <c r="B125" s="234">
        <f>+K95</f>
        <v>-4800</v>
      </c>
      <c r="C125" s="234">
        <f>+B125</f>
        <v>-4800</v>
      </c>
      <c r="D125" s="234">
        <f>+C125</f>
        <v>-4800</v>
      </c>
      <c r="E125" s="234">
        <f>+D125</f>
        <v>-4800</v>
      </c>
      <c r="F125" s="234">
        <f>+E125</f>
        <v>-4800</v>
      </c>
      <c r="G125" s="17"/>
      <c r="H125" s="17"/>
      <c r="I125" s="17"/>
      <c r="J125" s="17"/>
      <c r="K125" s="17"/>
      <c r="N125" s="3865"/>
      <c r="O125" s="3867"/>
      <c r="Z125" s="2259" t="s">
        <v>6471</v>
      </c>
      <c r="AA125" s="2263">
        <v>125</v>
      </c>
    </row>
    <row r="126" spans="1:27" ht="13.35" customHeight="1">
      <c r="A126" s="21" t="s">
        <v>1097</v>
      </c>
      <c r="B126" s="22">
        <f>SUM(B119:B125)</f>
        <v>280254.99822238286</v>
      </c>
      <c r="C126" s="22">
        <f>SUM(C119:C125)</f>
        <v>286920.11326392344</v>
      </c>
      <c r="D126" s="22">
        <f>SUM(D119:D125)</f>
        <v>293516.16459663224</v>
      </c>
      <c r="E126" s="22">
        <f>SUM(E119:E125)</f>
        <v>300036.6477660411</v>
      </c>
      <c r="F126" s="23">
        <f>SUM(F119:F125)</f>
        <v>306472.74633318628</v>
      </c>
      <c r="G126" s="17"/>
      <c r="H126" s="17"/>
      <c r="I126" s="17"/>
      <c r="J126" s="17"/>
      <c r="K126" s="17"/>
      <c r="N126" s="3865"/>
      <c r="O126" s="3867"/>
      <c r="Z126" s="2259" t="s">
        <v>6471</v>
      </c>
      <c r="AA126" s="2263">
        <v>126</v>
      </c>
    </row>
    <row r="127" spans="1:27" ht="13.35" customHeight="1">
      <c r="A127" s="21" t="str">
        <f>$A97</f>
        <v>DCR Mortgage A</v>
      </c>
      <c r="B127" s="24">
        <f>IF(B120=0,"",-B119/B120)</f>
        <v>1.7403197091020737</v>
      </c>
      <c r="C127" s="24">
        <f>IF(C120=0,"",-C119/C120)</f>
        <v>1.7576297582485747</v>
      </c>
      <c r="D127" s="24">
        <f>IF(D120=0,"",-D119/D120)</f>
        <v>1.7747604412195981</v>
      </c>
      <c r="E127" s="24">
        <f>IF(E120=0,"",-E119/E120)</f>
        <v>1.7916948652194742</v>
      </c>
      <c r="F127" s="25">
        <f>IF(F120=0,"",-F119/F120)</f>
        <v>1.80841013297024</v>
      </c>
      <c r="G127" s="17"/>
      <c r="H127" s="17"/>
      <c r="I127" s="17"/>
      <c r="J127" s="17"/>
      <c r="K127" s="17"/>
      <c r="N127" s="3865"/>
      <c r="O127" s="3867"/>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9" t="s">
        <v>6471</v>
      </c>
      <c r="AA130" s="2263">
        <v>130</v>
      </c>
    </row>
    <row r="131" spans="1:27" ht="13.35" customHeight="1">
      <c r="A131" s="447" t="s">
        <v>3216</v>
      </c>
      <c r="B131" s="24">
        <f>IF(AND(B120=0,B121=0,B122=0,B123=0),"",-B119/(B120+B121+B122+B123))</f>
        <v>1.7403197091020737</v>
      </c>
      <c r="C131" s="24">
        <f>IF(AND(C120=0,C121=0,C122=0,C123=0),"",-C119/(C120+C121+C122+C123))</f>
        <v>1.7576297582485747</v>
      </c>
      <c r="D131" s="24">
        <f>IF(AND(D120=0,D121=0,D122=0,D123=0),"",-D119/(D120+D121+D122+D123))</f>
        <v>1.7747604412195981</v>
      </c>
      <c r="E131" s="24">
        <f>IF(AND(E120=0,E121=0,E122=0,E123=0),"",-E119/(E120+E121+E122+E123))</f>
        <v>1.7916948652194742</v>
      </c>
      <c r="F131" s="25">
        <f>IF(AND(F120=0,F121=0,F122=0,F123=0),"",-F119/(F120+F121+F122+F123))</f>
        <v>1.80841013297024</v>
      </c>
      <c r="G131" s="17"/>
      <c r="H131" s="17"/>
      <c r="I131" s="17"/>
      <c r="J131" s="17"/>
      <c r="K131" s="17"/>
      <c r="N131" s="3865"/>
      <c r="O131" s="3867"/>
      <c r="Z131" s="2259" t="s">
        <v>6471</v>
      </c>
      <c r="AA131" s="2261">
        <v>131</v>
      </c>
    </row>
    <row r="132" spans="1:27" ht="13.35" customHeight="1">
      <c r="A132" s="21" t="s">
        <v>718</v>
      </c>
      <c r="B132" s="288">
        <f>IF(OR(B116="Choose mgt fee",B116="Choose One!"),"",(B109+B110+B111+B112+B113) / -(B115+B116+B117))</f>
        <v>1.8476485086882914</v>
      </c>
      <c r="C132" s="288">
        <f>IF(OR(C116="Choose mgt fee",C116="Choose One!"),"",(C109+C110+C111+C112+C113) / -(C115+C116+C117))</f>
        <v>1.832339751668006</v>
      </c>
      <c r="D132" s="288">
        <f>IF(OR(D116="Choose mgt fee",D116="Choose One!"),"",(D109+D110+D111+D112+D113) / -(D115+D116+D117))</f>
        <v>1.8171356319110379</v>
      </c>
      <c r="E132" s="288">
        <f>IF(OR(E116="Choose mgt fee",E116="Choose One!"),"",(E109+E110+E111+E112+E113) / -(E115+E116+E117))</f>
        <v>1.8020378040085099</v>
      </c>
      <c r="F132" s="643">
        <f>IF(OR(F116="Choose mgt fee",F116="Choose One!"),"",(F109+F110+F111+F112+F113) / -(F115+F116+F117))</f>
        <v>1.7870436304823321</v>
      </c>
      <c r="G132" s="17"/>
      <c r="H132" s="17"/>
      <c r="I132" s="17"/>
      <c r="J132" s="17"/>
      <c r="K132" s="17"/>
      <c r="N132" s="3865"/>
      <c r="O132" s="3867"/>
      <c r="Z132" s="2259" t="s">
        <v>6471</v>
      </c>
      <c r="AA132" s="2262">
        <v>132</v>
      </c>
    </row>
    <row r="133" spans="1:27" ht="13.35" customHeight="1">
      <c r="A133" s="447" t="s">
        <v>2406</v>
      </c>
      <c r="B133" s="232">
        <f>IF('Part II-Sources of Funds'!$I$40="","",-FV('Part II-Sources of Funds'!$K$40/12,12,B120/12,K103))</f>
        <v>2711554.6089747068</v>
      </c>
      <c r="C133" s="232">
        <f>IF('Part II-Sources of Funds'!$I$40="","",-FV('Part II-Sources of Funds'!$K$40/12,12,C120/12,B133))</f>
        <v>2473615.4137085914</v>
      </c>
      <c r="D133" s="232">
        <f>IF('Part II-Sources of Funds'!$I$40="","",-FV('Part II-Sources of Funds'!$K$40/12,12,D120/12,C133))</f>
        <v>2221878.999540281</v>
      </c>
      <c r="E133" s="232">
        <f>IF('Part II-Sources of Funds'!$I$40="","",-FV('Part II-Sources of Funds'!$K$40/12,12,E120/12,D133))</f>
        <v>1955545.3164854844</v>
      </c>
      <c r="F133" s="232">
        <f>IF('Part II-Sources of Funds'!$I$40="","",-FV('Part II-Sources of Funds'!$K$40/12,12,F120/12,E133))</f>
        <v>1673767.9226035371</v>
      </c>
      <c r="G133" s="17"/>
      <c r="H133" s="17"/>
      <c r="I133" s="17"/>
      <c r="J133" s="17"/>
      <c r="K133" s="17"/>
      <c r="N133" s="3865"/>
      <c r="O133" s="3867"/>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30" t="s">
        <v>7037</v>
      </c>
      <c r="B140" s="3992"/>
      <c r="C140" s="3992"/>
      <c r="D140" s="3992"/>
      <c r="E140" s="3992"/>
      <c r="F140" s="3993"/>
      <c r="G140" s="3994"/>
      <c r="H140" s="3995"/>
      <c r="I140" s="3995"/>
      <c r="J140" s="3995"/>
      <c r="K140" s="3996"/>
      <c r="N140" s="3607" t="s">
        <v>2453</v>
      </c>
      <c r="O140" s="360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06" zoomScale="154" zoomScaleNormal="154" workbookViewId="0">
      <selection activeCell="A125" sqref="A125:Q125"/>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9" t="str">
        <f>CONCATENATE("PART SEVEN - THRESHOLD CRITERIA","  -  ",'Part I-Project Identification'!$O$7," ",'Part I-Project Identification'!$F$29,", ",'Part I-Project Identification'!F30,", ",'Part I-Project Identification'!J30," County")</f>
        <v>PART SEVEN - THRESHOLD CRITERIA  -  2022-0 Gibson Park , College Park, Fulton County</v>
      </c>
      <c r="B1" s="3630"/>
      <c r="C1" s="3630"/>
      <c r="D1" s="3630"/>
      <c r="E1" s="3630"/>
      <c r="F1" s="3630"/>
      <c r="G1" s="3630"/>
      <c r="H1" s="3630"/>
      <c r="I1" s="3630"/>
      <c r="J1" s="3630"/>
      <c r="K1" s="3630"/>
      <c r="L1" s="3630"/>
      <c r="M1" s="3630"/>
      <c r="N1" s="3630"/>
      <c r="O1" s="3630"/>
      <c r="P1" s="3630"/>
      <c r="Q1" s="3630"/>
      <c r="R1" s="2384"/>
      <c r="S1" s="2384"/>
    </row>
    <row r="2" spans="1:32" s="27" customFormat="1" ht="3" customHeight="1">
      <c r="R2" s="2384"/>
      <c r="S2" s="2384"/>
      <c r="AE2" s="117"/>
      <c r="AF2" s="117"/>
    </row>
    <row r="3" spans="1:32" ht="13.5" customHeight="1">
      <c r="A3" s="411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8"/>
      <c r="C3" s="4118"/>
      <c r="D3" s="4118"/>
      <c r="E3" s="4118"/>
      <c r="F3" s="4118"/>
      <c r="G3" s="4118"/>
      <c r="H3" s="41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9"/>
      <c r="J3" s="4119"/>
      <c r="K3" s="4119"/>
      <c r="L3" s="4119"/>
      <c r="M3" s="4119"/>
      <c r="N3" s="4119"/>
      <c r="P3" s="4129" t="s">
        <v>876</v>
      </c>
      <c r="Q3" s="4176" t="s">
        <v>6540</v>
      </c>
      <c r="R3" s="2384"/>
      <c r="S3" s="2384"/>
    </row>
    <row r="4" spans="1:32" ht="3" customHeight="1">
      <c r="A4" s="1132"/>
      <c r="B4" s="4120"/>
      <c r="C4" s="4120"/>
      <c r="D4" s="4120"/>
      <c r="E4" s="1132"/>
      <c r="F4" s="1132"/>
      <c r="G4" s="1132"/>
      <c r="H4" s="1132"/>
      <c r="J4" s="633"/>
      <c r="K4" s="1132"/>
      <c r="L4" s="1132"/>
      <c r="M4" s="1132"/>
      <c r="N4" s="1132"/>
      <c r="P4" s="4130"/>
      <c r="Q4" s="4177"/>
      <c r="R4" s="2384"/>
      <c r="S4" s="2384"/>
    </row>
    <row r="5" spans="1:32">
      <c r="E5" s="4128" t="str">
        <f>'Part I-Project Identification'!$A$6</f>
        <v>May 12 2022 Core Application</v>
      </c>
      <c r="F5" s="4128"/>
      <c r="G5" s="4128"/>
      <c r="H5" s="4128"/>
      <c r="I5" s="4128"/>
      <c r="J5" s="633"/>
      <c r="K5" s="2385"/>
      <c r="L5" s="2386" t="s">
        <v>6539</v>
      </c>
      <c r="M5" s="2387" t="str">
        <f>'Part I-Project Identification'!$F$12</f>
        <v>9% Credit Competitive Round only</v>
      </c>
      <c r="N5" s="2388"/>
      <c r="O5" s="2389"/>
      <c r="P5" s="4131"/>
      <c r="Q5" s="4178"/>
      <c r="R5" s="2383"/>
      <c r="S5" s="2383"/>
    </row>
    <row r="6" spans="1:32" ht="17.25" customHeight="1">
      <c r="A6" s="126" t="s">
        <v>6538</v>
      </c>
      <c r="I6" s="633"/>
      <c r="J6" s="633"/>
      <c r="K6" s="4126" t="s">
        <v>3282</v>
      </c>
      <c r="L6" s="4126"/>
      <c r="M6" s="4126"/>
      <c r="N6" s="4126"/>
      <c r="O6" s="4127"/>
      <c r="P6" s="4121"/>
      <c r="Q6" s="4122"/>
      <c r="R6" s="2381"/>
      <c r="S6" s="2381"/>
    </row>
    <row r="7" spans="1:32" ht="12.6" customHeight="1">
      <c r="A7" s="127" t="s">
        <v>3069</v>
      </c>
      <c r="C7" s="128"/>
      <c r="D7" s="128"/>
      <c r="H7" s="1274"/>
      <c r="I7" s="2382"/>
      <c r="J7" s="2382"/>
      <c r="K7" s="1274"/>
      <c r="L7" s="1274"/>
      <c r="M7" s="1132"/>
      <c r="N7" s="1132"/>
    </row>
    <row r="8" spans="1:32" ht="23.25" customHeight="1">
      <c r="A8" s="4123" t="s">
        <v>1330</v>
      </c>
      <c r="B8" s="4124"/>
      <c r="C8" s="4124"/>
      <c r="D8" s="4124"/>
      <c r="E8" s="4124"/>
      <c r="F8" s="4124"/>
      <c r="G8" s="4124"/>
      <c r="H8" s="4124"/>
      <c r="I8" s="4124"/>
      <c r="J8" s="4124"/>
      <c r="K8" s="4124"/>
      <c r="L8" s="4124"/>
      <c r="M8" s="4124"/>
      <c r="N8" s="4124"/>
      <c r="O8" s="4124"/>
      <c r="P8" s="4124"/>
      <c r="Q8" s="4125"/>
      <c r="R8" s="3353" t="s">
        <v>1884</v>
      </c>
      <c r="S8" s="3298"/>
    </row>
    <row r="9" spans="1:32" ht="23.25" customHeight="1">
      <c r="A9" s="4104" t="s">
        <v>218</v>
      </c>
      <c r="B9" s="4105"/>
      <c r="C9" s="4105"/>
      <c r="D9" s="4105"/>
      <c r="E9" s="4105"/>
      <c r="F9" s="4105"/>
      <c r="G9" s="4105"/>
      <c r="H9" s="4105"/>
      <c r="I9" s="4105"/>
      <c r="J9" s="4105"/>
      <c r="K9" s="4105"/>
      <c r="L9" s="4105"/>
      <c r="M9" s="4105"/>
      <c r="N9" s="4105"/>
      <c r="O9" s="4105"/>
      <c r="P9" s="4105"/>
      <c r="Q9" s="4106"/>
      <c r="R9" s="3353"/>
      <c r="S9" s="3298"/>
    </row>
    <row r="10" spans="1:32" ht="23.25" customHeight="1">
      <c r="A10" s="4104" t="s">
        <v>1326</v>
      </c>
      <c r="B10" s="4105"/>
      <c r="C10" s="4105"/>
      <c r="D10" s="4105"/>
      <c r="E10" s="4105"/>
      <c r="F10" s="4105"/>
      <c r="G10" s="4105"/>
      <c r="H10" s="4105"/>
      <c r="I10" s="4105"/>
      <c r="J10" s="4105"/>
      <c r="K10" s="4105"/>
      <c r="L10" s="4105"/>
      <c r="M10" s="4105"/>
      <c r="N10" s="4105"/>
      <c r="O10" s="4105"/>
      <c r="P10" s="4105"/>
      <c r="Q10" s="4106"/>
      <c r="R10" s="3353"/>
      <c r="S10" s="3298"/>
    </row>
    <row r="11" spans="1:32" ht="23.25" customHeight="1">
      <c r="A11" s="4104" t="s">
        <v>1327</v>
      </c>
      <c r="B11" s="4105"/>
      <c r="C11" s="4105"/>
      <c r="D11" s="4105"/>
      <c r="E11" s="4105"/>
      <c r="F11" s="4105"/>
      <c r="G11" s="4105"/>
      <c r="H11" s="4105"/>
      <c r="I11" s="4105"/>
      <c r="J11" s="4105"/>
      <c r="K11" s="4105"/>
      <c r="L11" s="4105"/>
      <c r="M11" s="4105"/>
      <c r="N11" s="4105"/>
      <c r="O11" s="4105"/>
      <c r="P11" s="4105"/>
      <c r="Q11" s="4106"/>
      <c r="R11" s="3353"/>
      <c r="S11" s="3298"/>
    </row>
    <row r="12" spans="1:32" ht="23.25" customHeight="1">
      <c r="A12" s="4104" t="s">
        <v>1328</v>
      </c>
      <c r="B12" s="4105"/>
      <c r="C12" s="4105"/>
      <c r="D12" s="4105"/>
      <c r="E12" s="4105"/>
      <c r="F12" s="4105"/>
      <c r="G12" s="4105"/>
      <c r="H12" s="4105"/>
      <c r="I12" s="4105"/>
      <c r="J12" s="4105"/>
      <c r="K12" s="4105"/>
      <c r="L12" s="4105"/>
      <c r="M12" s="4105"/>
      <c r="N12" s="4105"/>
      <c r="O12" s="4105"/>
      <c r="P12" s="4105"/>
      <c r="Q12" s="4106"/>
      <c r="R12" s="1129"/>
      <c r="S12" s="1129"/>
    </row>
    <row r="13" spans="1:32" ht="23.25" customHeight="1">
      <c r="A13" s="4104" t="s">
        <v>1329</v>
      </c>
      <c r="B13" s="4105"/>
      <c r="C13" s="4105"/>
      <c r="D13" s="4105"/>
      <c r="E13" s="4105"/>
      <c r="F13" s="4105"/>
      <c r="G13" s="4105"/>
      <c r="H13" s="4105"/>
      <c r="I13" s="4105"/>
      <c r="J13" s="4105"/>
      <c r="K13" s="4105"/>
      <c r="L13" s="4105"/>
      <c r="M13" s="4105"/>
      <c r="N13" s="4105"/>
      <c r="O13" s="4105"/>
      <c r="P13" s="4105"/>
      <c r="Q13" s="4106"/>
      <c r="R13" s="1129"/>
      <c r="S13" s="1129"/>
    </row>
    <row r="14" spans="1:32" ht="23.25" customHeight="1">
      <c r="A14" s="4104" t="s">
        <v>1331</v>
      </c>
      <c r="B14" s="4105"/>
      <c r="C14" s="4105"/>
      <c r="D14" s="4105"/>
      <c r="E14" s="4105"/>
      <c r="F14" s="4105"/>
      <c r="G14" s="4105"/>
      <c r="H14" s="4105"/>
      <c r="I14" s="4105"/>
      <c r="J14" s="4105"/>
      <c r="K14" s="4105"/>
      <c r="L14" s="4105"/>
      <c r="M14" s="4105"/>
      <c r="N14" s="4105"/>
      <c r="O14" s="4105"/>
      <c r="P14" s="4105"/>
      <c r="Q14" s="4106"/>
    </row>
    <row r="15" spans="1:32" ht="11.25" customHeight="1">
      <c r="A15" s="4104" t="s">
        <v>1873</v>
      </c>
      <c r="B15" s="4105"/>
      <c r="C15" s="4105"/>
      <c r="D15" s="4105"/>
      <c r="E15" s="4105"/>
      <c r="F15" s="4105"/>
      <c r="G15" s="4105"/>
      <c r="H15" s="4105"/>
      <c r="I15" s="4105"/>
      <c r="J15" s="4105"/>
      <c r="K15" s="4105"/>
      <c r="L15" s="4105"/>
      <c r="M15" s="4105"/>
      <c r="N15" s="4105"/>
      <c r="O15" s="4105"/>
      <c r="P15" s="4105"/>
      <c r="Q15" s="4106"/>
      <c r="R15" s="3353"/>
      <c r="S15" s="3354"/>
    </row>
    <row r="16" spans="1:32" ht="11.25" customHeight="1">
      <c r="A16" s="4104" t="s">
        <v>1874</v>
      </c>
      <c r="B16" s="4105"/>
      <c r="C16" s="4105"/>
      <c r="D16" s="4105"/>
      <c r="E16" s="4105"/>
      <c r="F16" s="4105"/>
      <c r="G16" s="4105"/>
      <c r="H16" s="4105"/>
      <c r="I16" s="4105"/>
      <c r="J16" s="4105"/>
      <c r="K16" s="4105"/>
      <c r="L16" s="4105"/>
      <c r="M16" s="4105"/>
      <c r="N16" s="4105"/>
      <c r="O16" s="4105"/>
      <c r="P16" s="4105"/>
      <c r="Q16" s="4106"/>
      <c r="R16" s="3353"/>
      <c r="S16" s="3354"/>
    </row>
    <row r="17" spans="1:31" ht="11.25" customHeight="1">
      <c r="A17" s="4104" t="s">
        <v>1875</v>
      </c>
      <c r="B17" s="4105"/>
      <c r="C17" s="4105"/>
      <c r="D17" s="4105"/>
      <c r="E17" s="4105"/>
      <c r="F17" s="4105"/>
      <c r="G17" s="4105"/>
      <c r="H17" s="4105"/>
      <c r="I17" s="4105"/>
      <c r="J17" s="4105"/>
      <c r="K17" s="4105"/>
      <c r="L17" s="4105"/>
      <c r="M17" s="4105"/>
      <c r="N17" s="4105"/>
      <c r="O17" s="4105"/>
      <c r="P17" s="4105"/>
      <c r="Q17" s="4106"/>
      <c r="R17" s="3353"/>
      <c r="S17" s="3354"/>
    </row>
    <row r="18" spans="1:31" ht="11.25" customHeight="1">
      <c r="A18" s="4104" t="s">
        <v>1876</v>
      </c>
      <c r="B18" s="4105"/>
      <c r="C18" s="4105"/>
      <c r="D18" s="4105"/>
      <c r="E18" s="4105"/>
      <c r="F18" s="4105"/>
      <c r="G18" s="4105"/>
      <c r="H18" s="4105"/>
      <c r="I18" s="4105"/>
      <c r="J18" s="4105"/>
      <c r="K18" s="4105"/>
      <c r="L18" s="4105"/>
      <c r="M18" s="4105"/>
      <c r="N18" s="4105"/>
      <c r="O18" s="4105"/>
      <c r="P18" s="4105"/>
      <c r="Q18" s="4106"/>
      <c r="R18" s="3353"/>
      <c r="S18" s="3354"/>
    </row>
    <row r="19" spans="1:31" ht="11.25" customHeight="1">
      <c r="A19" s="4104" t="s">
        <v>1877</v>
      </c>
      <c r="B19" s="4105"/>
      <c r="C19" s="4105"/>
      <c r="D19" s="4105"/>
      <c r="E19" s="4105"/>
      <c r="F19" s="4105"/>
      <c r="G19" s="4105"/>
      <c r="H19" s="4105"/>
      <c r="I19" s="4105"/>
      <c r="J19" s="4105"/>
      <c r="K19" s="4105"/>
      <c r="L19" s="4105"/>
      <c r="M19" s="4105"/>
      <c r="N19" s="4105"/>
      <c r="O19" s="4105"/>
      <c r="P19" s="4105"/>
      <c r="Q19" s="4106"/>
      <c r="R19" s="3353"/>
      <c r="S19" s="3354"/>
    </row>
    <row r="20" spans="1:31" ht="11.25" customHeight="1">
      <c r="A20" s="4104" t="s">
        <v>1878</v>
      </c>
      <c r="B20" s="4105"/>
      <c r="C20" s="4105"/>
      <c r="D20" s="4105"/>
      <c r="E20" s="4105"/>
      <c r="F20" s="4105"/>
      <c r="G20" s="4105"/>
      <c r="H20" s="4105"/>
      <c r="I20" s="4105"/>
      <c r="J20" s="4105"/>
      <c r="K20" s="4105"/>
      <c r="L20" s="4105"/>
      <c r="M20" s="4105"/>
      <c r="N20" s="4105"/>
      <c r="O20" s="4105"/>
      <c r="P20" s="4105"/>
      <c r="Q20" s="4106"/>
      <c r="R20" s="3353"/>
      <c r="S20" s="3354"/>
    </row>
    <row r="21" spans="1:31" ht="11.25" customHeight="1">
      <c r="A21" s="4104" t="s">
        <v>1879</v>
      </c>
      <c r="B21" s="4105"/>
      <c r="C21" s="4105"/>
      <c r="D21" s="4105"/>
      <c r="E21" s="4105"/>
      <c r="F21" s="4105"/>
      <c r="G21" s="4105"/>
      <c r="H21" s="4105"/>
      <c r="I21" s="4105"/>
      <c r="J21" s="4105"/>
      <c r="K21" s="4105"/>
      <c r="L21" s="4105"/>
      <c r="M21" s="4105"/>
      <c r="N21" s="4105"/>
      <c r="O21" s="4105"/>
      <c r="P21" s="4105"/>
      <c r="Q21" s="4106"/>
    </row>
    <row r="22" spans="1:31" ht="11.25" customHeight="1">
      <c r="A22" s="4104" t="s">
        <v>1880</v>
      </c>
      <c r="B22" s="4105"/>
      <c r="C22" s="4105"/>
      <c r="D22" s="4105"/>
      <c r="E22" s="4105"/>
      <c r="F22" s="4105"/>
      <c r="G22" s="4105"/>
      <c r="H22" s="4105"/>
      <c r="I22" s="4105"/>
      <c r="J22" s="4105"/>
      <c r="K22" s="4105"/>
      <c r="L22" s="4105"/>
      <c r="M22" s="4105"/>
      <c r="N22" s="4105"/>
      <c r="O22" s="4105"/>
      <c r="P22" s="4105"/>
      <c r="Q22" s="4106"/>
      <c r="R22" s="3353"/>
      <c r="S22" s="3354"/>
    </row>
    <row r="23" spans="1:31" ht="11.25" customHeight="1">
      <c r="A23" s="4104" t="s">
        <v>1881</v>
      </c>
      <c r="B23" s="4105"/>
      <c r="C23" s="4105"/>
      <c r="D23" s="4105"/>
      <c r="E23" s="4105"/>
      <c r="F23" s="4105"/>
      <c r="G23" s="4105"/>
      <c r="H23" s="4105"/>
      <c r="I23" s="4105"/>
      <c r="J23" s="4105"/>
      <c r="K23" s="4105"/>
      <c r="L23" s="4105"/>
      <c r="M23" s="4105"/>
      <c r="N23" s="4105"/>
      <c r="O23" s="4105"/>
      <c r="P23" s="4105"/>
      <c r="Q23" s="4106"/>
      <c r="R23" s="3353"/>
      <c r="S23" s="3354"/>
    </row>
    <row r="24" spans="1:31" ht="11.25" customHeight="1">
      <c r="A24" s="4104" t="s">
        <v>1882</v>
      </c>
      <c r="B24" s="4105"/>
      <c r="C24" s="4105"/>
      <c r="D24" s="4105"/>
      <c r="E24" s="4105"/>
      <c r="F24" s="4105"/>
      <c r="G24" s="4105"/>
      <c r="H24" s="4105"/>
      <c r="I24" s="4105"/>
      <c r="J24" s="4105"/>
      <c r="K24" s="4105"/>
      <c r="L24" s="4105"/>
      <c r="M24" s="4105"/>
      <c r="N24" s="4105"/>
      <c r="O24" s="4105"/>
      <c r="P24" s="4105"/>
      <c r="Q24" s="4106"/>
      <c r="R24" s="3353"/>
      <c r="S24" s="3354"/>
    </row>
    <row r="25" spans="1:31" ht="11.25" customHeight="1">
      <c r="A25" s="4107" t="s">
        <v>1883</v>
      </c>
      <c r="B25" s="4108"/>
      <c r="C25" s="4108"/>
      <c r="D25" s="4108"/>
      <c r="E25" s="4108"/>
      <c r="F25" s="4108"/>
      <c r="G25" s="4108"/>
      <c r="H25" s="4108"/>
      <c r="I25" s="4108"/>
      <c r="J25" s="4108"/>
      <c r="K25" s="4108"/>
      <c r="L25" s="4108"/>
      <c r="M25" s="4108"/>
      <c r="N25" s="4108"/>
      <c r="O25" s="4108"/>
      <c r="P25" s="4108"/>
      <c r="Q25" s="4109"/>
      <c r="R25" s="3353"/>
      <c r="S25" s="3354"/>
    </row>
    <row r="26" spans="1:31" ht="6" customHeight="1"/>
    <row r="27" spans="1:31" ht="14.1" customHeight="1">
      <c r="A27" s="129" t="s">
        <v>689</v>
      </c>
      <c r="B27" s="130" t="s">
        <v>6642</v>
      </c>
      <c r="C27" s="131"/>
      <c r="D27" s="87"/>
      <c r="E27" s="87"/>
      <c r="F27" s="87"/>
      <c r="G27" s="87"/>
      <c r="I27" s="1139"/>
      <c r="J27" s="1139"/>
      <c r="K27" s="1139"/>
      <c r="L27" s="1132"/>
      <c r="M27" s="1132"/>
      <c r="O27" s="132" t="s">
        <v>1731</v>
      </c>
      <c r="P27" s="4007"/>
      <c r="Q27" s="4008"/>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5" t="s">
        <v>7038</v>
      </c>
      <c r="B30" s="4016"/>
      <c r="C30" s="4016"/>
      <c r="D30" s="4016"/>
      <c r="E30" s="4016"/>
      <c r="F30" s="4016"/>
      <c r="G30" s="4016"/>
      <c r="H30" s="4016"/>
      <c r="I30" s="4016"/>
      <c r="J30" s="4016"/>
      <c r="K30" s="4016"/>
      <c r="L30" s="4016"/>
      <c r="M30" s="4016"/>
      <c r="N30" s="4016"/>
      <c r="O30" s="4016"/>
      <c r="P30" s="4016"/>
      <c r="Q30" s="4017"/>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7"/>
      <c r="B32" s="4117"/>
      <c r="C32" s="4117"/>
      <c r="D32" s="4117"/>
      <c r="E32" s="4117"/>
      <c r="F32" s="4117"/>
      <c r="G32" s="4117"/>
      <c r="H32" s="4117"/>
      <c r="I32" s="4117"/>
      <c r="J32" s="4117"/>
      <c r="K32" s="4117"/>
      <c r="L32" s="4117"/>
      <c r="M32" s="4117"/>
      <c r="N32" s="4117"/>
      <c r="O32" s="4117"/>
      <c r="P32" s="4117"/>
      <c r="Q32" s="4117"/>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7"/>
      <c r="Q34" s="4008"/>
    </row>
    <row r="35" spans="1:31" ht="12.75" customHeight="1">
      <c r="A35" s="2044"/>
      <c r="B35" s="140" t="s">
        <v>6650</v>
      </c>
      <c r="C35" s="4"/>
      <c r="D35" s="4"/>
      <c r="E35" s="2046"/>
      <c r="F35" s="2046"/>
      <c r="H35" s="1133"/>
      <c r="J35" s="3319" t="s">
        <v>2582</v>
      </c>
      <c r="K35" s="3320"/>
      <c r="L35" s="3321"/>
      <c r="M35" s="509" t="s">
        <v>1648</v>
      </c>
      <c r="N35" s="3997"/>
      <c r="O35" s="3998"/>
      <c r="P35" s="3998"/>
      <c r="Q35" s="3999"/>
    </row>
    <row r="36" spans="1:31" ht="12.75" customHeight="1">
      <c r="A36" s="2197"/>
      <c r="B36" s="140" t="s">
        <v>6649</v>
      </c>
      <c r="C36" s="4"/>
      <c r="D36" s="4"/>
      <c r="E36" s="2198"/>
      <c r="F36" s="2198"/>
      <c r="G36" s="2195"/>
      <c r="H36" s="2046"/>
      <c r="J36" s="3319" t="s">
        <v>6472</v>
      </c>
      <c r="K36" s="3320"/>
      <c r="L36" s="3321"/>
      <c r="M36" s="509" t="s">
        <v>1648</v>
      </c>
      <c r="N36" s="3997"/>
      <c r="O36" s="3998"/>
      <c r="P36" s="3998"/>
      <c r="Q36" s="3999"/>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5" t="s">
        <v>6925</v>
      </c>
      <c r="B38" s="4016"/>
      <c r="C38" s="4016"/>
      <c r="D38" s="4016"/>
      <c r="E38" s="4016"/>
      <c r="F38" s="4016"/>
      <c r="G38" s="4016"/>
      <c r="H38" s="4016"/>
      <c r="I38" s="4016"/>
      <c r="J38" s="4017"/>
      <c r="K38" s="4012"/>
      <c r="L38" s="4013"/>
      <c r="M38" s="4013"/>
      <c r="N38" s="4013"/>
      <c r="O38" s="4013"/>
      <c r="P38" s="4013"/>
      <c r="Q38" s="4014"/>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07"/>
      <c r="Q40" s="4008"/>
    </row>
    <row r="41" spans="1:31" ht="1.5" customHeight="1"/>
    <row r="42" spans="1:31" ht="12" customHeight="1">
      <c r="A42" s="142" t="s">
        <v>1842</v>
      </c>
      <c r="B42" s="4000" t="s">
        <v>3788</v>
      </c>
      <c r="C42" s="4000"/>
      <c r="D42" s="4000"/>
      <c r="E42" s="4000"/>
      <c r="F42" s="4000"/>
      <c r="G42" s="4000"/>
      <c r="H42" s="4000"/>
      <c r="I42" s="4000"/>
      <c r="J42" s="4000"/>
      <c r="K42" s="148"/>
      <c r="L42" s="459" t="s">
        <v>2582</v>
      </c>
      <c r="M42" s="1522">
        <v>2</v>
      </c>
      <c r="N42" s="416" t="s">
        <v>4025</v>
      </c>
      <c r="P42" s="4155" t="s">
        <v>6922</v>
      </c>
      <c r="Q42" s="4165"/>
    </row>
    <row r="43" spans="1:31" ht="12" customHeight="1">
      <c r="A43" s="142"/>
      <c r="B43" s="4000"/>
      <c r="C43" s="4000"/>
      <c r="D43" s="4000"/>
      <c r="E43" s="4000"/>
      <c r="F43" s="4000"/>
      <c r="G43" s="4000"/>
      <c r="H43" s="4000"/>
      <c r="I43" s="4000"/>
      <c r="J43" s="4000"/>
      <c r="K43" s="148"/>
      <c r="L43" s="459" t="s">
        <v>3792</v>
      </c>
      <c r="M43" s="1523">
        <v>4</v>
      </c>
      <c r="O43" s="143"/>
      <c r="P43" s="4156"/>
      <c r="Q43" s="4166"/>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6923</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6922</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6922</v>
      </c>
      <c r="Q48" s="550"/>
    </row>
    <row r="49" spans="1:31" ht="12.75" customHeight="1">
      <c r="A49" s="144"/>
      <c r="B49" s="491" t="s">
        <v>2183</v>
      </c>
      <c r="C49" s="491" t="s">
        <v>3800</v>
      </c>
      <c r="D49" s="134"/>
      <c r="E49" s="134"/>
      <c r="F49" s="134"/>
      <c r="G49" s="134"/>
      <c r="H49" s="134"/>
      <c r="I49" s="42"/>
      <c r="J49" s="42"/>
      <c r="N49" s="416" t="s">
        <v>4029</v>
      </c>
      <c r="O49" s="918"/>
      <c r="P49" s="231" t="s">
        <v>6924</v>
      </c>
      <c r="Q49" s="551"/>
    </row>
    <row r="50" spans="1:31" ht="12.75" customHeight="1">
      <c r="A50" s="144"/>
      <c r="B50" s="491"/>
      <c r="C50" s="416" t="s">
        <v>3801</v>
      </c>
      <c r="D50" s="134"/>
      <c r="E50" s="134"/>
      <c r="F50" s="134"/>
      <c r="G50" s="134"/>
      <c r="H50" s="134"/>
      <c r="I50" s="42"/>
      <c r="J50" s="42"/>
      <c r="L50" s="4024"/>
      <c r="M50" s="4025"/>
      <c r="N50" s="4025"/>
      <c r="O50" s="4025"/>
      <c r="P50" s="4025"/>
      <c r="Q50" s="4103"/>
    </row>
    <row r="51" spans="1:31" ht="12.75" customHeight="1">
      <c r="A51" s="144"/>
      <c r="B51" s="491" t="s">
        <v>1449</v>
      </c>
      <c r="C51" s="4000" t="s">
        <v>3798</v>
      </c>
      <c r="D51" s="4000"/>
      <c r="E51" s="4000"/>
      <c r="F51" s="4000"/>
      <c r="G51" s="4000"/>
      <c r="H51" s="4000"/>
      <c r="I51" s="4000"/>
      <c r="J51" s="4000"/>
      <c r="K51" s="4000"/>
      <c r="L51" s="4000"/>
      <c r="M51" s="543"/>
      <c r="N51" s="416" t="s">
        <v>4030</v>
      </c>
      <c r="O51" s="918"/>
      <c r="P51" s="492" t="s">
        <v>6922</v>
      </c>
      <c r="Q51" s="548"/>
    </row>
    <row r="52" spans="1:31" ht="12.75" customHeight="1">
      <c r="A52" s="47"/>
      <c r="C52" s="4000"/>
      <c r="D52" s="4000"/>
      <c r="E52" s="4000"/>
      <c r="F52" s="4000"/>
      <c r="G52" s="4000"/>
      <c r="H52" s="4000"/>
      <c r="I52" s="4000"/>
      <c r="J52" s="4000"/>
      <c r="K52" s="4000"/>
      <c r="L52" s="4000"/>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58.5" customHeight="1">
      <c r="A54" s="4015" t="s">
        <v>6972</v>
      </c>
      <c r="B54" s="4016"/>
      <c r="C54" s="4016"/>
      <c r="D54" s="4016"/>
      <c r="E54" s="4016"/>
      <c r="F54" s="4016"/>
      <c r="G54" s="4016"/>
      <c r="H54" s="4016"/>
      <c r="I54" s="4016"/>
      <c r="J54" s="4017"/>
      <c r="K54" s="4012"/>
      <c r="L54" s="4013"/>
      <c r="M54" s="4013"/>
      <c r="N54" s="4013"/>
      <c r="O54" s="4013"/>
      <c r="P54" s="4013"/>
      <c r="Q54" s="4014"/>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6643</v>
      </c>
      <c r="K56" s="967" t="str">
        <f>'Part VIII Scoring Criteria'!$M$59</f>
        <v>Atlanta Metro</v>
      </c>
      <c r="L56" s="2391" t="s">
        <v>3825</v>
      </c>
      <c r="M56" s="2115" t="str">
        <f>J35</f>
        <v>Family</v>
      </c>
      <c r="O56" s="132" t="s">
        <v>1731</v>
      </c>
      <c r="P56" s="4007"/>
      <c r="Q56" s="4008"/>
    </row>
    <row r="57" spans="1:31" ht="3" customHeight="1"/>
    <row r="58" spans="1:31" ht="12.75" customHeight="1">
      <c r="A58" s="47" t="s">
        <v>1842</v>
      </c>
      <c r="B58" s="39" t="s">
        <v>2265</v>
      </c>
      <c r="D58" s="134"/>
      <c r="E58" s="134"/>
      <c r="F58" s="134"/>
      <c r="G58" s="134"/>
      <c r="H58" s="134"/>
      <c r="I58" s="42"/>
      <c r="J58" s="42"/>
      <c r="K58" s="42"/>
      <c r="L58" s="478" t="s">
        <v>1842</v>
      </c>
      <c r="M58" s="4028" t="s">
        <v>6926</v>
      </c>
      <c r="N58" s="4029"/>
      <c r="O58" s="4029"/>
      <c r="P58" s="4116"/>
      <c r="Q58" s="549"/>
    </row>
    <row r="59" spans="1:31" ht="12.75" customHeight="1">
      <c r="A59" s="47" t="s">
        <v>1844</v>
      </c>
      <c r="B59" s="52" t="s">
        <v>3950</v>
      </c>
      <c r="D59" s="134"/>
      <c r="E59" s="134"/>
      <c r="F59" s="134"/>
      <c r="L59" s="478" t="s">
        <v>1844</v>
      </c>
      <c r="M59" s="4153" t="s">
        <v>6973</v>
      </c>
      <c r="N59" s="4154"/>
      <c r="O59" s="4154"/>
      <c r="P59" s="3513"/>
      <c r="Q59" s="550"/>
    </row>
    <row r="60" spans="1:31" ht="12.75" customHeight="1">
      <c r="A60" s="47" t="s">
        <v>698</v>
      </c>
      <c r="B60" s="52" t="s">
        <v>2559</v>
      </c>
      <c r="D60" s="134"/>
      <c r="E60" s="134"/>
      <c r="F60" s="134"/>
      <c r="L60" s="478" t="s">
        <v>698</v>
      </c>
      <c r="M60" s="4149">
        <v>0.98399999999999999</v>
      </c>
      <c r="N60" s="4150"/>
      <c r="O60" s="4150"/>
      <c r="P60" s="4151"/>
      <c r="Q60" s="550"/>
    </row>
    <row r="61" spans="1:31" ht="12.75" customHeight="1">
      <c r="A61" s="47" t="s">
        <v>1963</v>
      </c>
      <c r="B61" s="52" t="s">
        <v>3306</v>
      </c>
      <c r="D61" s="134"/>
      <c r="E61" s="134"/>
      <c r="F61" s="134"/>
      <c r="J61" s="478" t="s">
        <v>3307</v>
      </c>
      <c r="K61" s="1957">
        <v>1.4999999999999999E-2</v>
      </c>
      <c r="L61" s="1954"/>
      <c r="M61" s="1956"/>
      <c r="N61" s="1955"/>
      <c r="O61" s="1115" t="s">
        <v>3392</v>
      </c>
      <c r="P61" s="1116">
        <v>2E-3</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6977</v>
      </c>
      <c r="E64" s="4043" t="s">
        <v>6974</v>
      </c>
      <c r="F64" s="4043"/>
      <c r="G64" s="4043"/>
      <c r="H64" s="478" t="s">
        <v>2183</v>
      </c>
      <c r="I64" s="505" t="s">
        <v>6998</v>
      </c>
      <c r="J64" s="4043" t="s">
        <v>6997</v>
      </c>
      <c r="K64" s="4043"/>
      <c r="L64" s="4043"/>
      <c r="M64" s="64" t="s">
        <v>93</v>
      </c>
      <c r="N64" s="505" t="s">
        <v>6999</v>
      </c>
      <c r="O64" s="4043" t="s">
        <v>6975</v>
      </c>
      <c r="P64" s="4043"/>
      <c r="Q64" s="4043"/>
    </row>
    <row r="65" spans="1:32" ht="12.75" customHeight="1">
      <c r="C65" s="65" t="s">
        <v>1616</v>
      </c>
      <c r="D65" s="2330" t="s">
        <v>6980</v>
      </c>
      <c r="E65" s="4044" t="s">
        <v>6979</v>
      </c>
      <c r="F65" s="4044"/>
      <c r="G65" s="4044"/>
      <c r="H65" s="64" t="s">
        <v>1449</v>
      </c>
      <c r="I65" s="2330" t="s">
        <v>7001</v>
      </c>
      <c r="J65" s="4044" t="s">
        <v>7000</v>
      </c>
      <c r="K65" s="4044"/>
      <c r="L65" s="4044"/>
      <c r="M65" s="64" t="s">
        <v>481</v>
      </c>
      <c r="N65" s="2330" t="s">
        <v>7004</v>
      </c>
      <c r="O65" s="4044" t="s">
        <v>7003</v>
      </c>
      <c r="P65" s="4044"/>
      <c r="Q65" s="4044"/>
    </row>
    <row r="66" spans="1:32" ht="12.75" customHeight="1">
      <c r="C66" s="65" t="s">
        <v>1617</v>
      </c>
      <c r="D66" s="506" t="s">
        <v>6982</v>
      </c>
      <c r="E66" s="4045" t="s">
        <v>6981</v>
      </c>
      <c r="F66" s="4045"/>
      <c r="G66" s="4045"/>
      <c r="H66" s="64" t="s">
        <v>1450</v>
      </c>
      <c r="I66" s="506" t="s">
        <v>7005</v>
      </c>
      <c r="J66" s="4045" t="s">
        <v>7002</v>
      </c>
      <c r="K66" s="4045"/>
      <c r="L66" s="4045"/>
      <c r="M66" s="64" t="s">
        <v>482</v>
      </c>
      <c r="N66" s="506" t="s">
        <v>6978</v>
      </c>
      <c r="O66" s="4045" t="s">
        <v>6976</v>
      </c>
      <c r="P66" s="4045"/>
      <c r="Q66" s="4045"/>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69" customHeight="1">
      <c r="A71" s="4015" t="s">
        <v>7028</v>
      </c>
      <c r="B71" s="4016"/>
      <c r="C71" s="4016"/>
      <c r="D71" s="4016"/>
      <c r="E71" s="4016"/>
      <c r="F71" s="4016"/>
      <c r="G71" s="4016"/>
      <c r="H71" s="4016"/>
      <c r="I71" s="4016"/>
      <c r="J71" s="4016"/>
      <c r="K71" s="4016"/>
      <c r="L71" s="4016"/>
      <c r="M71" s="4016"/>
      <c r="N71" s="4016"/>
      <c r="O71" s="4016"/>
      <c r="P71" s="4016"/>
      <c r="Q71" s="4017"/>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2"/>
      <c r="B73" s="4013"/>
      <c r="C73" s="4013"/>
      <c r="D73" s="4013"/>
      <c r="E73" s="4013"/>
      <c r="F73" s="4013"/>
      <c r="G73" s="4013"/>
      <c r="H73" s="4013"/>
      <c r="I73" s="4013"/>
      <c r="J73" s="4013"/>
      <c r="K73" s="4013"/>
      <c r="L73" s="4013"/>
      <c r="M73" s="4013"/>
      <c r="N73" s="4013"/>
      <c r="O73" s="4013"/>
      <c r="P73" s="4013"/>
      <c r="Q73" s="4014"/>
    </row>
    <row r="74" spans="1:32" ht="14.1" customHeight="1">
      <c r="A74" s="1138" t="s">
        <v>496</v>
      </c>
      <c r="B74" s="1138" t="s">
        <v>2424</v>
      </c>
      <c r="C74" s="1138"/>
      <c r="D74" s="1133"/>
      <c r="E74" s="1133"/>
      <c r="F74" s="1133"/>
      <c r="G74" s="1133"/>
      <c r="H74" s="1133"/>
      <c r="I74" s="1133"/>
      <c r="J74" s="1133"/>
      <c r="K74" s="1133"/>
      <c r="L74" s="1133"/>
      <c r="M74" s="1133"/>
      <c r="O74" s="132" t="s">
        <v>1731</v>
      </c>
      <c r="P74" s="4007"/>
      <c r="Q74" s="4008"/>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4"/>
      <c r="N77" s="4025"/>
      <c r="O77" s="4025"/>
      <c r="P77" s="4026"/>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5" t="s">
        <v>3953</v>
      </c>
      <c r="D84" s="4005"/>
      <c r="E84" s="4005"/>
      <c r="F84" s="4005"/>
      <c r="G84" s="4005"/>
      <c r="H84" s="4005"/>
      <c r="I84" s="4005"/>
      <c r="J84" s="4005"/>
      <c r="K84" s="4005"/>
      <c r="L84" s="4005"/>
      <c r="M84" s="4005"/>
      <c r="N84" s="4005"/>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5" t="s">
        <v>6927</v>
      </c>
      <c r="B89" s="4016"/>
      <c r="C89" s="4016"/>
      <c r="D89" s="4016"/>
      <c r="E89" s="4016"/>
      <c r="F89" s="4016"/>
      <c r="G89" s="4016"/>
      <c r="H89" s="4016"/>
      <c r="I89" s="4016"/>
      <c r="J89" s="4016"/>
      <c r="K89" s="4016"/>
      <c r="L89" s="4016"/>
      <c r="M89" s="4016"/>
      <c r="N89" s="4016"/>
      <c r="O89" s="4016"/>
      <c r="P89" s="4016"/>
      <c r="Q89" s="4017"/>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2"/>
      <c r="B91" s="4013"/>
      <c r="C91" s="4013"/>
      <c r="D91" s="4013"/>
      <c r="E91" s="4013"/>
      <c r="F91" s="4013"/>
      <c r="G91" s="4013"/>
      <c r="H91" s="4013"/>
      <c r="I91" s="4013"/>
      <c r="J91" s="4013"/>
      <c r="K91" s="4013"/>
      <c r="L91" s="4013"/>
      <c r="M91" s="4013"/>
      <c r="N91" s="4013"/>
      <c r="O91" s="4013"/>
      <c r="P91" s="4013"/>
      <c r="Q91" s="4014"/>
    </row>
    <row r="92" spans="1:32" ht="14.1" customHeight="1">
      <c r="A92" s="1138" t="s">
        <v>720</v>
      </c>
      <c r="B92" s="1138" t="s">
        <v>2425</v>
      </c>
      <c r="C92" s="40"/>
      <c r="D92" s="1133"/>
      <c r="E92" s="1133"/>
      <c r="F92" s="1133"/>
      <c r="G92" s="1133"/>
      <c r="H92" s="1133"/>
      <c r="I92" s="1133"/>
      <c r="J92" s="1133"/>
      <c r="K92" s="1133"/>
      <c r="L92" s="1133"/>
      <c r="M92" s="1133"/>
      <c r="N92" s="1091" t="s">
        <v>6541</v>
      </c>
      <c r="O92" s="132" t="s">
        <v>1731</v>
      </c>
      <c r="P92" s="4007"/>
      <c r="Q92" s="4008"/>
      <c r="R92" s="1147" t="s">
        <v>6528</v>
      </c>
    </row>
    <row r="93" spans="1:32" ht="6.6" customHeight="1"/>
    <row r="94" spans="1:32">
      <c r="A94" s="47" t="s">
        <v>1842</v>
      </c>
      <c r="B94" s="52" t="s">
        <v>6193</v>
      </c>
      <c r="D94" s="134"/>
      <c r="E94" s="134"/>
      <c r="F94" s="134"/>
      <c r="G94" s="134"/>
      <c r="H94" s="134"/>
      <c r="I94" s="42"/>
      <c r="J94" s="42"/>
      <c r="K94" s="478" t="s">
        <v>1842</v>
      </c>
      <c r="L94" s="4046" t="s">
        <v>6928</v>
      </c>
      <c r="M94" s="4046"/>
      <c r="N94" s="4046"/>
      <c r="O94" s="4046"/>
      <c r="P94" s="4047"/>
      <c r="Q94" s="2365"/>
    </row>
    <row r="95" spans="1:32" ht="12" customHeight="1">
      <c r="B95" s="55" t="s">
        <v>6633</v>
      </c>
      <c r="O95" s="65" t="s">
        <v>1616</v>
      </c>
      <c r="P95" s="2360" t="s">
        <v>2654</v>
      </c>
      <c r="Q95" s="550"/>
    </row>
    <row r="96" spans="1:32" ht="12" customHeight="1">
      <c r="B96" s="55" t="s">
        <v>6529</v>
      </c>
      <c r="I96" s="55" t="s">
        <v>6531</v>
      </c>
      <c r="K96" s="2373">
        <v>44652</v>
      </c>
      <c r="L96" s="2374"/>
      <c r="N96" s="55" t="s">
        <v>6530</v>
      </c>
      <c r="P96" s="2371">
        <v>44694</v>
      </c>
      <c r="Q96" s="2372"/>
    </row>
    <row r="97" spans="1:17" ht="12" customHeight="1">
      <c r="A97" s="47" t="s">
        <v>1844</v>
      </c>
      <c r="B97" s="52" t="s">
        <v>6640</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7" t="s">
        <v>6928</v>
      </c>
      <c r="M99" s="4167"/>
      <c r="N99" s="4167"/>
      <c r="O99" s="4167"/>
      <c r="P99" s="416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74</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6626</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6627</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6628</v>
      </c>
      <c r="E105" s="2056" t="s">
        <v>2241</v>
      </c>
      <c r="F105" s="2140" t="s">
        <v>6629</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6630</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6628</v>
      </c>
      <c r="E108" s="2056" t="s">
        <v>2241</v>
      </c>
      <c r="F108" s="2140" t="s">
        <v>6631</v>
      </c>
      <c r="G108" s="2060"/>
      <c r="H108" s="2140"/>
      <c r="I108" s="2060"/>
      <c r="J108" s="2060"/>
      <c r="K108" s="2449"/>
      <c r="L108" s="2141"/>
      <c r="O108" s="2056" t="s">
        <v>2241</v>
      </c>
      <c r="P108" s="2483"/>
      <c r="Q108" s="2484"/>
    </row>
    <row r="109" spans="1:17" s="1822" customFormat="1" ht="12" customHeight="1">
      <c r="A109" s="2058"/>
      <c r="B109" s="2056"/>
      <c r="E109" s="2056" t="s">
        <v>2242</v>
      </c>
      <c r="F109" s="2140" t="s">
        <v>6632</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2651</v>
      </c>
      <c r="K111" s="1623"/>
      <c r="L111" s="478" t="s">
        <v>3866</v>
      </c>
      <c r="M111" s="140" t="s">
        <v>6198</v>
      </c>
      <c r="P111" s="2362" t="s">
        <v>2654</v>
      </c>
      <c r="Q111" s="1623"/>
    </row>
    <row r="112" spans="1:17" ht="12.75" customHeight="1">
      <c r="B112" s="146" t="s">
        <v>1616</v>
      </c>
      <c r="C112" s="52" t="s">
        <v>6194</v>
      </c>
      <c r="E112" s="134"/>
      <c r="F112" s="2360" t="s">
        <v>2654</v>
      </c>
      <c r="G112" s="550"/>
      <c r="H112" s="478" t="s">
        <v>3863</v>
      </c>
      <c r="I112" s="52" t="s">
        <v>6114</v>
      </c>
      <c r="J112" s="2360" t="s">
        <v>2654</v>
      </c>
      <c r="K112" s="550"/>
      <c r="L112" s="478" t="s">
        <v>3867</v>
      </c>
      <c r="M112" s="55" t="s">
        <v>3283</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6196</v>
      </c>
      <c r="J114" s="2363" t="s">
        <v>2654</v>
      </c>
      <c r="K114" s="551"/>
      <c r="L114" s="478" t="s">
        <v>6197</v>
      </c>
      <c r="M114" s="55" t="s">
        <v>6116</v>
      </c>
      <c r="P114" s="2363" t="s">
        <v>2654</v>
      </c>
      <c r="Q114" s="551"/>
    </row>
    <row r="115" spans="1:32" ht="12" customHeight="1">
      <c r="A115" s="36"/>
      <c r="B115" s="478" t="s">
        <v>6532</v>
      </c>
      <c r="C115" s="52" t="s">
        <v>2503</v>
      </c>
      <c r="E115" s="134"/>
      <c r="F115" s="134"/>
      <c r="G115" s="134"/>
      <c r="H115" s="134"/>
      <c r="I115" s="134"/>
      <c r="J115" s="134"/>
      <c r="K115" s="134"/>
      <c r="L115" s="134"/>
      <c r="M115" s="52"/>
      <c r="O115" s="65"/>
      <c r="P115" s="65"/>
    </row>
    <row r="116" spans="1:32" ht="12" customHeight="1">
      <c r="A116" s="36"/>
      <c r="C116" s="4152"/>
      <c r="D116" s="4152"/>
      <c r="E116" s="4152"/>
      <c r="F116" s="4152"/>
      <c r="G116" s="4152"/>
      <c r="H116" s="4152"/>
      <c r="I116" s="4152"/>
      <c r="J116" s="4152"/>
      <c r="K116" s="4152"/>
      <c r="L116" s="4152"/>
      <c r="M116" s="4152"/>
      <c r="N116" s="4152"/>
      <c r="O116" s="4152"/>
      <c r="P116" s="4152"/>
      <c r="Q116" s="4152"/>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6634</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5" t="s">
        <v>141</v>
      </c>
      <c r="C123" s="4005"/>
      <c r="D123" s="4005"/>
      <c r="E123" s="4005"/>
      <c r="F123" s="4005"/>
      <c r="G123" s="4005"/>
      <c r="H123" s="4005"/>
      <c r="I123" s="4005"/>
      <c r="J123" s="4005"/>
      <c r="K123" s="4005"/>
      <c r="L123" s="4005"/>
      <c r="M123" s="163" t="s">
        <v>1808</v>
      </c>
      <c r="N123" s="4183" t="s">
        <v>1647</v>
      </c>
      <c r="O123" s="4184"/>
      <c r="P123" s="4185" t="s">
        <v>1647</v>
      </c>
      <c r="Q123" s="4186"/>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62.25" customHeight="1">
      <c r="A125" s="4015" t="s">
        <v>7043</v>
      </c>
      <c r="B125" s="4016"/>
      <c r="C125" s="4016"/>
      <c r="D125" s="4016"/>
      <c r="E125" s="4016"/>
      <c r="F125" s="4016"/>
      <c r="G125" s="4016"/>
      <c r="H125" s="4016"/>
      <c r="I125" s="4016"/>
      <c r="J125" s="4016"/>
      <c r="K125" s="4016"/>
      <c r="L125" s="4016"/>
      <c r="M125" s="4016"/>
      <c r="N125" s="4016"/>
      <c r="O125" s="4016"/>
      <c r="P125" s="4016"/>
      <c r="Q125" s="4017"/>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2"/>
      <c r="B128" s="4013"/>
      <c r="C128" s="4013"/>
      <c r="D128" s="4013"/>
      <c r="E128" s="4013"/>
      <c r="F128" s="4013"/>
      <c r="G128" s="4013"/>
      <c r="H128" s="4013"/>
      <c r="I128" s="4013"/>
      <c r="J128" s="4013"/>
      <c r="K128" s="4013"/>
      <c r="L128" s="4013"/>
      <c r="M128" s="4013"/>
      <c r="N128" s="4013"/>
      <c r="O128" s="4013"/>
      <c r="P128" s="4013"/>
      <c r="Q128" s="4014"/>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6541</v>
      </c>
      <c r="O130" s="132" t="s">
        <v>1731</v>
      </c>
      <c r="P130" s="4007"/>
      <c r="Q130" s="4008"/>
      <c r="R130" s="1147" t="s">
        <v>6528</v>
      </c>
    </row>
    <row r="131" spans="1:31" ht="12" customHeight="1">
      <c r="A131" s="47" t="s">
        <v>1842</v>
      </c>
      <c r="B131" s="146" t="s">
        <v>1615</v>
      </c>
      <c r="C131" s="52" t="s">
        <v>6543</v>
      </c>
      <c r="D131" s="52"/>
      <c r="E131" s="52"/>
      <c r="F131" s="52"/>
      <c r="G131" s="52"/>
      <c r="K131" s="52" t="s">
        <v>2461</v>
      </c>
      <c r="M131" s="4110">
        <v>45031</v>
      </c>
      <c r="N131" s="4111"/>
      <c r="O131" s="65" t="s">
        <v>1615</v>
      </c>
      <c r="P131" s="96" t="s">
        <v>2651</v>
      </c>
      <c r="Q131" s="547"/>
    </row>
    <row r="132" spans="1:31" ht="12" customHeight="1">
      <c r="A132" s="47"/>
      <c r="B132" s="146" t="s">
        <v>1616</v>
      </c>
      <c r="C132" s="52" t="s">
        <v>4059</v>
      </c>
      <c r="D132" s="52"/>
      <c r="E132" s="52"/>
      <c r="F132" s="52"/>
      <c r="G132" s="52"/>
      <c r="K132" s="52" t="s">
        <v>2461</v>
      </c>
      <c r="M132" s="4110"/>
      <c r="N132" s="4111"/>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2" t="s">
        <v>6929</v>
      </c>
      <c r="N133" s="4113"/>
      <c r="P133" s="4114" t="s">
        <v>1647</v>
      </c>
      <c r="Q133" s="4115"/>
    </row>
    <row r="134" spans="1:31" ht="12" customHeight="1">
      <c r="A134" s="47" t="s">
        <v>698</v>
      </c>
      <c r="B134" s="140" t="s">
        <v>636</v>
      </c>
      <c r="D134" s="140"/>
      <c r="E134" s="140"/>
      <c r="F134" s="140"/>
      <c r="G134" s="140"/>
      <c r="H134" s="140"/>
      <c r="J134" s="478" t="s">
        <v>698</v>
      </c>
      <c r="K134" s="4024" t="s">
        <v>6988</v>
      </c>
      <c r="L134" s="4025"/>
      <c r="M134" s="4025"/>
      <c r="N134" s="4025"/>
      <c r="O134" s="4025"/>
      <c r="P134" s="4103"/>
      <c r="Q134" s="547"/>
    </row>
    <row r="135" spans="1:31" ht="21.75" customHeight="1">
      <c r="A135" s="142" t="s">
        <v>1963</v>
      </c>
      <c r="B135" s="4005" t="s">
        <v>6199</v>
      </c>
      <c r="C135" s="4005"/>
      <c r="D135" s="4005"/>
      <c r="E135" s="4005"/>
      <c r="F135" s="4005"/>
      <c r="G135" s="4005"/>
      <c r="H135" s="4005"/>
      <c r="I135" s="4005"/>
      <c r="J135" s="4005"/>
      <c r="K135" s="4005"/>
      <c r="L135" s="4005"/>
      <c r="M135" s="4005"/>
      <c r="N135" s="4005"/>
      <c r="O135" s="163" t="s">
        <v>1963</v>
      </c>
      <c r="P135" s="1937" t="s">
        <v>6930</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51.75" customHeight="1">
      <c r="A137" s="4015" t="s">
        <v>6987</v>
      </c>
      <c r="B137" s="4016"/>
      <c r="C137" s="4016"/>
      <c r="D137" s="4016"/>
      <c r="E137" s="4016"/>
      <c r="F137" s="4016"/>
      <c r="G137" s="4016"/>
      <c r="H137" s="4016"/>
      <c r="I137" s="4016"/>
      <c r="J137" s="4016"/>
      <c r="K137" s="4016"/>
      <c r="L137" s="4016"/>
      <c r="M137" s="4016"/>
      <c r="N137" s="4016"/>
      <c r="O137" s="4016"/>
      <c r="P137" s="4016"/>
      <c r="Q137" s="4017"/>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2"/>
      <c r="B139" s="4013"/>
      <c r="C139" s="4013"/>
      <c r="D139" s="4013"/>
      <c r="E139" s="4013"/>
      <c r="F139" s="4013"/>
      <c r="G139" s="4013"/>
      <c r="H139" s="4013"/>
      <c r="I139" s="4013"/>
      <c r="J139" s="4013"/>
      <c r="K139" s="4013"/>
      <c r="L139" s="4013"/>
      <c r="M139" s="4013"/>
      <c r="N139" s="4013"/>
      <c r="O139" s="4013"/>
      <c r="P139" s="4013"/>
      <c r="Q139" s="4014"/>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7"/>
      <c r="Q141" s="4008"/>
    </row>
    <row r="142" spans="1:31" ht="21.75" customHeight="1">
      <c r="A142" s="142" t="s">
        <v>1842</v>
      </c>
      <c r="B142" s="4005" t="s">
        <v>3235</v>
      </c>
      <c r="C142" s="4005"/>
      <c r="D142" s="4005"/>
      <c r="E142" s="4005"/>
      <c r="F142" s="4005"/>
      <c r="G142" s="4005"/>
      <c r="H142" s="4005"/>
      <c r="I142" s="4005"/>
      <c r="J142" s="4005"/>
      <c r="K142" s="4005"/>
      <c r="L142" s="4005"/>
      <c r="M142" s="4005"/>
      <c r="N142" s="4005"/>
      <c r="O142" s="163" t="s">
        <v>1842</v>
      </c>
      <c r="P142" s="1158" t="s">
        <v>2651</v>
      </c>
      <c r="Q142" s="1157"/>
    </row>
    <row r="143" spans="1:31" ht="22.35" customHeight="1">
      <c r="A143" s="142" t="s">
        <v>1844</v>
      </c>
      <c r="B143" s="4005" t="s">
        <v>3803</v>
      </c>
      <c r="C143" s="4005"/>
      <c r="D143" s="4005"/>
      <c r="E143" s="4005"/>
      <c r="F143" s="4005"/>
      <c r="G143" s="4005"/>
      <c r="H143" s="4005"/>
      <c r="I143" s="4005"/>
      <c r="J143" s="4005"/>
      <c r="K143" s="4005"/>
      <c r="L143" s="4005"/>
      <c r="M143" s="4005"/>
      <c r="N143" s="4005"/>
      <c r="O143" s="163" t="s">
        <v>1844</v>
      </c>
      <c r="P143" s="561" t="s">
        <v>907</v>
      </c>
      <c r="Q143" s="552"/>
    </row>
    <row r="144" spans="1:31" ht="22.35" customHeight="1">
      <c r="A144" s="142" t="s">
        <v>698</v>
      </c>
      <c r="B144" s="4005" t="s">
        <v>3236</v>
      </c>
      <c r="C144" s="4005"/>
      <c r="D144" s="4005"/>
      <c r="E144" s="4005"/>
      <c r="F144" s="4005"/>
      <c r="G144" s="4005"/>
      <c r="H144" s="4005"/>
      <c r="I144" s="4005"/>
      <c r="J144" s="4005"/>
      <c r="K144" s="4005"/>
      <c r="L144" s="4005"/>
      <c r="M144" s="4005"/>
      <c r="N144" s="4005"/>
      <c r="O144" s="163" t="s">
        <v>698</v>
      </c>
      <c r="P144" s="561" t="s">
        <v>907</v>
      </c>
      <c r="Q144" s="552"/>
    </row>
    <row r="145" spans="1:44" ht="21.75" customHeight="1">
      <c r="A145" s="142" t="s">
        <v>1963</v>
      </c>
      <c r="B145" s="4005" t="s">
        <v>3836</v>
      </c>
      <c r="C145" s="4005"/>
      <c r="D145" s="4005"/>
      <c r="E145" s="4005"/>
      <c r="F145" s="4005"/>
      <c r="G145" s="4005"/>
      <c r="H145" s="4005"/>
      <c r="I145" s="4005"/>
      <c r="J145" s="4005"/>
      <c r="K145" s="4005"/>
      <c r="L145" s="4005"/>
      <c r="M145" s="4005"/>
      <c r="N145" s="4005"/>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5" t="s">
        <v>6931</v>
      </c>
      <c r="B147" s="4016"/>
      <c r="C147" s="4016"/>
      <c r="D147" s="4016"/>
      <c r="E147" s="4016"/>
      <c r="F147" s="4016"/>
      <c r="G147" s="4016"/>
      <c r="H147" s="4016"/>
      <c r="I147" s="4016"/>
      <c r="J147" s="4016"/>
      <c r="K147" s="4016"/>
      <c r="L147" s="4016"/>
      <c r="M147" s="4016"/>
      <c r="N147" s="4016"/>
      <c r="O147" s="4016"/>
      <c r="P147" s="4016"/>
      <c r="Q147" s="4017"/>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2"/>
      <c r="B149" s="4013"/>
      <c r="C149" s="4013"/>
      <c r="D149" s="4013"/>
      <c r="E149" s="4013"/>
      <c r="F149" s="4013"/>
      <c r="G149" s="4013"/>
      <c r="H149" s="4013"/>
      <c r="I149" s="4013"/>
      <c r="J149" s="4013"/>
      <c r="K149" s="4013"/>
      <c r="L149" s="4013"/>
      <c r="M149" s="4013"/>
      <c r="N149" s="4013"/>
      <c r="O149" s="4013"/>
      <c r="P149" s="4013"/>
      <c r="Q149" s="4014"/>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1" t="s">
        <v>2428</v>
      </c>
      <c r="C151" s="3901"/>
      <c r="D151" s="3901"/>
      <c r="E151" s="414"/>
      <c r="N151" s="1091" t="s">
        <v>6541</v>
      </c>
      <c r="O151" s="132" t="s">
        <v>1731</v>
      </c>
      <c r="P151" s="4007"/>
      <c r="Q151" s="4008"/>
      <c r="R151" s="1147" t="s">
        <v>6528</v>
      </c>
    </row>
    <row r="152" spans="1:44" s="27" customFormat="1" ht="11.45" customHeight="1">
      <c r="B152" s="55" t="s">
        <v>6664</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5" t="s">
        <v>3237</v>
      </c>
      <c r="D158" s="4005"/>
      <c r="E158" s="4005"/>
      <c r="F158" s="4005"/>
      <c r="G158" s="4005"/>
      <c r="H158" s="4005"/>
      <c r="I158" s="4005"/>
      <c r="J158" s="4005"/>
      <c r="K158" s="4005"/>
      <c r="L158" s="4005"/>
      <c r="M158" s="4005"/>
      <c r="N158" s="4005"/>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5" t="s">
        <v>2421</v>
      </c>
      <c r="D160" s="4005"/>
      <c r="E160" s="4005"/>
      <c r="F160" s="4005"/>
      <c r="G160" s="4005"/>
      <c r="H160" s="4005"/>
      <c r="I160" s="4005"/>
      <c r="J160" s="4005"/>
      <c r="K160" s="4005"/>
      <c r="L160" s="4005"/>
      <c r="M160" s="4005"/>
      <c r="N160" s="4005"/>
      <c r="O160" s="163" t="s">
        <v>1449</v>
      </c>
      <c r="P160" s="561" t="s">
        <v>6924</v>
      </c>
      <c r="Q160" s="552"/>
      <c r="AE160" s="481"/>
      <c r="AF160" s="481"/>
    </row>
    <row r="161" spans="1:44" s="133" customFormat="1" ht="21.75" customHeight="1">
      <c r="A161" s="142"/>
      <c r="B161" s="491" t="s">
        <v>1450</v>
      </c>
      <c r="C161" s="4005" t="s">
        <v>3308</v>
      </c>
      <c r="D161" s="4005"/>
      <c r="E161" s="4005"/>
      <c r="F161" s="4005"/>
      <c r="G161" s="4005"/>
      <c r="H161" s="4005"/>
      <c r="I161" s="4005"/>
      <c r="J161" s="4005"/>
      <c r="K161" s="4005"/>
      <c r="L161" s="4005"/>
      <c r="M161" s="4005"/>
      <c r="N161" s="4005"/>
      <c r="O161" s="163" t="s">
        <v>1450</v>
      </c>
      <c r="P161" s="561" t="s">
        <v>6924</v>
      </c>
      <c r="Q161" s="552"/>
      <c r="AE161" s="481"/>
      <c r="AF161" s="481"/>
    </row>
    <row r="162" spans="1:44" ht="21.75" customHeight="1">
      <c r="A162" s="142" t="s">
        <v>1963</v>
      </c>
      <c r="B162" s="4005" t="s">
        <v>2422</v>
      </c>
      <c r="C162" s="4005"/>
      <c r="D162" s="4005"/>
      <c r="E162" s="4005"/>
      <c r="F162" s="4005"/>
      <c r="G162" s="4005"/>
      <c r="H162" s="4005"/>
      <c r="I162" s="4005"/>
      <c r="J162" s="4005"/>
      <c r="K162" s="4005"/>
      <c r="L162" s="4005"/>
      <c r="M162" s="4005"/>
      <c r="N162" s="4005"/>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37.5" customHeight="1">
      <c r="A165" s="4015" t="s">
        <v>7035</v>
      </c>
      <c r="B165" s="4016"/>
      <c r="C165" s="4016"/>
      <c r="D165" s="4016"/>
      <c r="E165" s="4016"/>
      <c r="F165" s="4016"/>
      <c r="G165" s="4016"/>
      <c r="H165" s="4016"/>
      <c r="I165" s="4016"/>
      <c r="J165" s="4016"/>
      <c r="K165" s="4016"/>
      <c r="L165" s="4016"/>
      <c r="M165" s="4016"/>
      <c r="N165" s="4016"/>
      <c r="O165" s="4016"/>
      <c r="P165" s="4016"/>
      <c r="Q165" s="4017"/>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2"/>
      <c r="B167" s="4013"/>
      <c r="C167" s="4013"/>
      <c r="D167" s="4013"/>
      <c r="E167" s="4013"/>
      <c r="F167" s="4013"/>
      <c r="G167" s="4013"/>
      <c r="H167" s="4013"/>
      <c r="I167" s="4013"/>
      <c r="J167" s="4013"/>
      <c r="K167" s="4013"/>
      <c r="L167" s="4013"/>
      <c r="M167" s="4013"/>
      <c r="N167" s="4013"/>
      <c r="O167" s="4013"/>
      <c r="P167" s="4013"/>
      <c r="Q167" s="4014"/>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6541</v>
      </c>
      <c r="O169" s="132" t="s">
        <v>1731</v>
      </c>
      <c r="P169" s="4007"/>
      <c r="Q169" s="4008"/>
      <c r="R169" s="1147" t="s">
        <v>6528</v>
      </c>
    </row>
    <row r="170" spans="1:44" s="27" customFormat="1" ht="12.75" customHeight="1">
      <c r="B170" s="55" t="s">
        <v>6664</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8"/>
      <c r="K171" s="4029"/>
      <c r="L171" s="4029"/>
      <c r="M171" s="4029"/>
      <c r="N171" s="4030"/>
      <c r="O171" s="65" t="s">
        <v>1615</v>
      </c>
      <c r="P171" s="230" t="s">
        <v>2654</v>
      </c>
      <c r="Q171" s="549"/>
    </row>
    <row r="172" spans="1:44" ht="12.75" customHeight="1">
      <c r="A172" s="139"/>
      <c r="B172" s="141" t="s">
        <v>3241</v>
      </c>
      <c r="C172" s="105"/>
      <c r="D172" s="105"/>
      <c r="E172" s="105"/>
      <c r="F172" s="105"/>
      <c r="H172" s="65" t="s">
        <v>1616</v>
      </c>
      <c r="I172" s="52" t="s">
        <v>1492</v>
      </c>
      <c r="J172" s="4055" t="s">
        <v>6932</v>
      </c>
      <c r="K172" s="4056"/>
      <c r="L172" s="4056"/>
      <c r="M172" s="4056"/>
      <c r="N172" s="4057"/>
      <c r="O172" s="65" t="s">
        <v>1616</v>
      </c>
      <c r="P172" s="231" t="s">
        <v>2651</v>
      </c>
      <c r="Q172" s="551"/>
    </row>
    <row r="173" spans="1:44" ht="12.75" customHeight="1">
      <c r="A173" s="4015" t="s">
        <v>6933</v>
      </c>
      <c r="B173" s="4016"/>
      <c r="C173" s="4016"/>
      <c r="D173" s="4016"/>
      <c r="E173" s="4016"/>
      <c r="F173" s="4016"/>
      <c r="G173" s="4016"/>
      <c r="H173" s="4016"/>
      <c r="I173" s="4016"/>
      <c r="J173" s="4016"/>
      <c r="K173" s="4016"/>
      <c r="L173" s="4016"/>
      <c r="M173" s="4016"/>
      <c r="N173" s="4016"/>
      <c r="O173" s="4016"/>
      <c r="P173" s="4016"/>
      <c r="Q173" s="4017"/>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2"/>
      <c r="B175" s="4013"/>
      <c r="C175" s="4013"/>
      <c r="D175" s="4013"/>
      <c r="E175" s="4013"/>
      <c r="F175" s="4013"/>
      <c r="G175" s="4013"/>
      <c r="H175" s="4013"/>
      <c r="I175" s="4013"/>
      <c r="J175" s="4013"/>
      <c r="K175" s="4013"/>
      <c r="L175" s="4013"/>
      <c r="M175" s="4013"/>
      <c r="N175" s="4013"/>
      <c r="O175" s="4013"/>
      <c r="P175" s="4013"/>
      <c r="Q175" s="4014"/>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6541</v>
      </c>
      <c r="O177" s="132" t="s">
        <v>1731</v>
      </c>
      <c r="P177" s="4007"/>
      <c r="Q177" s="4008"/>
      <c r="R177" s="1147" t="s">
        <v>6528</v>
      </c>
    </row>
    <row r="178" spans="1:44" s="27" customFormat="1" ht="12.75" customHeight="1">
      <c r="B178" s="55" t="s">
        <v>6664</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5" t="s">
        <v>1713</v>
      </c>
      <c r="C179" s="4005"/>
      <c r="D179" s="4005"/>
      <c r="E179" s="4005"/>
      <c r="F179" s="4005"/>
      <c r="G179" s="4005"/>
      <c r="H179" s="65" t="s">
        <v>1615</v>
      </c>
      <c r="I179" s="52" t="s">
        <v>592</v>
      </c>
      <c r="J179" s="4028" t="s">
        <v>6934</v>
      </c>
      <c r="K179" s="4029"/>
      <c r="L179" s="4029"/>
      <c r="M179" s="4029"/>
      <c r="N179" s="4030"/>
      <c r="O179" s="163" t="s">
        <v>1392</v>
      </c>
      <c r="P179" s="1622" t="s">
        <v>2651</v>
      </c>
      <c r="Q179" s="1623"/>
    </row>
    <row r="180" spans="1:44" ht="12.75" customHeight="1">
      <c r="A180" s="151"/>
      <c r="B180" s="4005"/>
      <c r="C180" s="4005"/>
      <c r="D180" s="4005"/>
      <c r="E180" s="4005"/>
      <c r="F180" s="4005"/>
      <c r="G180" s="4005"/>
      <c r="H180" s="65" t="s">
        <v>1616</v>
      </c>
      <c r="I180" s="52" t="s">
        <v>110</v>
      </c>
      <c r="J180" s="4055" t="s">
        <v>6935</v>
      </c>
      <c r="K180" s="4056"/>
      <c r="L180" s="4056"/>
      <c r="M180" s="4056"/>
      <c r="N180" s="4057"/>
      <c r="O180" s="163" t="s">
        <v>1616</v>
      </c>
      <c r="P180" s="2315" t="s">
        <v>2651</v>
      </c>
      <c r="Q180" s="880"/>
    </row>
    <row r="181" spans="1:44" ht="12.75" customHeight="1">
      <c r="A181" s="47" t="s">
        <v>1844</v>
      </c>
      <c r="B181" s="146" t="s">
        <v>1615</v>
      </c>
      <c r="C181" s="52" t="s">
        <v>6510</v>
      </c>
      <c r="E181" s="52"/>
      <c r="F181" s="52"/>
      <c r="G181" s="52"/>
      <c r="H181" s="52"/>
      <c r="I181" s="52"/>
      <c r="J181" s="52"/>
      <c r="K181" s="42"/>
      <c r="L181" s="52"/>
      <c r="M181" s="52"/>
      <c r="O181" s="163" t="s">
        <v>6511</v>
      </c>
      <c r="P181" s="2356" t="s">
        <v>2651</v>
      </c>
      <c r="Q181" s="1623"/>
    </row>
    <row r="182" spans="1:44" ht="12.75" customHeight="1">
      <c r="A182" s="47"/>
      <c r="B182" s="146" t="s">
        <v>1616</v>
      </c>
      <c r="C182" s="52" t="s">
        <v>6509</v>
      </c>
      <c r="D182" s="52"/>
      <c r="E182" s="52"/>
      <c r="F182" s="52"/>
      <c r="G182" s="52"/>
      <c r="H182" s="52"/>
      <c r="I182" s="52"/>
      <c r="J182" s="52"/>
      <c r="K182" s="42"/>
      <c r="L182" s="52"/>
      <c r="M182" s="52"/>
      <c r="O182" s="163" t="s">
        <v>1616</v>
      </c>
      <c r="P182" s="2355" t="s">
        <v>2654</v>
      </c>
      <c r="Q182" s="551"/>
    </row>
    <row r="183" spans="1:44" ht="12.75" customHeight="1">
      <c r="A183" s="47" t="s">
        <v>698</v>
      </c>
      <c r="B183" s="52" t="s">
        <v>6535</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42.75" customHeight="1">
      <c r="A185" s="4015" t="s">
        <v>7031</v>
      </c>
      <c r="B185" s="4016"/>
      <c r="C185" s="4016"/>
      <c r="D185" s="4016"/>
      <c r="E185" s="4016"/>
      <c r="F185" s="4016"/>
      <c r="G185" s="4016"/>
      <c r="H185" s="4016"/>
      <c r="I185" s="4016"/>
      <c r="J185" s="4016"/>
      <c r="K185" s="4016"/>
      <c r="L185" s="4016"/>
      <c r="M185" s="4016"/>
      <c r="N185" s="4016"/>
      <c r="O185" s="4016"/>
      <c r="P185" s="4016"/>
      <c r="Q185" s="4017"/>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2"/>
      <c r="B187" s="4013"/>
      <c r="C187" s="4013"/>
      <c r="D187" s="4013"/>
      <c r="E187" s="4013"/>
      <c r="F187" s="4013"/>
      <c r="G187" s="4013"/>
      <c r="H187" s="4013"/>
      <c r="I187" s="4013"/>
      <c r="J187" s="4013"/>
      <c r="K187" s="4013"/>
      <c r="L187" s="4013"/>
      <c r="M187" s="4013"/>
      <c r="N187" s="4013"/>
      <c r="O187" s="4013"/>
      <c r="P187" s="4013"/>
      <c r="Q187" s="4014"/>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7"/>
      <c r="Q189" s="4008"/>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6922</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8" t="s">
        <v>6936</v>
      </c>
      <c r="L192" s="4030"/>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163" t="s">
        <v>6937</v>
      </c>
      <c r="L193" s="4164"/>
      <c r="Q193" s="4172"/>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9" t="s">
        <v>6200</v>
      </c>
      <c r="D194" s="4170"/>
      <c r="E194" s="4170"/>
      <c r="F194" s="4170"/>
      <c r="G194" s="4170"/>
      <c r="H194" s="4170"/>
      <c r="I194" s="4170"/>
      <c r="J194" s="4170"/>
      <c r="K194" s="4170"/>
      <c r="L194" s="4170"/>
      <c r="M194" s="4170"/>
      <c r="N194" s="4170"/>
      <c r="O194" s="4171"/>
      <c r="Q194" s="4173"/>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7" t="s">
        <v>6989</v>
      </c>
      <c r="L195" s="4158"/>
      <c r="M195" s="4158"/>
      <c r="N195" s="415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6922</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72</v>
      </c>
      <c r="P197" s="4141" t="s">
        <v>3859</v>
      </c>
      <c r="Q197" s="4142"/>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3" t="s">
        <v>3904</v>
      </c>
      <c r="D199" s="4144"/>
      <c r="E199" s="4144"/>
      <c r="F199" s="4144"/>
      <c r="G199" s="4145"/>
      <c r="H199" s="478" t="s">
        <v>1964</v>
      </c>
      <c r="I199" s="4146" t="s">
        <v>3403</v>
      </c>
      <c r="J199" s="4147"/>
      <c r="K199" s="4147"/>
      <c r="L199" s="4147"/>
      <c r="M199" s="4147"/>
      <c r="N199" s="4147"/>
      <c r="O199" s="4148"/>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60" t="s">
        <v>3855</v>
      </c>
      <c r="D200" s="4161"/>
      <c r="E200" s="4161"/>
      <c r="F200" s="4161"/>
      <c r="G200" s="4162"/>
      <c r="H200" s="478" t="s">
        <v>1965</v>
      </c>
      <c r="I200" s="3439"/>
      <c r="J200" s="3380"/>
      <c r="K200" s="3380"/>
      <c r="L200" s="3380"/>
      <c r="M200" s="3380"/>
      <c r="N200" s="3380"/>
      <c r="O200" s="338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60" t="s">
        <v>951</v>
      </c>
      <c r="D201" s="4161"/>
      <c r="E201" s="4161"/>
      <c r="F201" s="4161"/>
      <c r="G201" s="4162"/>
      <c r="H201" s="478" t="s">
        <v>1612</v>
      </c>
      <c r="I201" s="3439" t="s">
        <v>3403</v>
      </c>
      <c r="J201" s="3380"/>
      <c r="K201" s="3380"/>
      <c r="L201" s="3380"/>
      <c r="M201" s="3380"/>
      <c r="N201" s="3380"/>
      <c r="O201" s="338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4" t="s">
        <v>951</v>
      </c>
      <c r="D202" s="4095"/>
      <c r="E202" s="4095"/>
      <c r="F202" s="4095"/>
      <c r="G202" s="4096"/>
      <c r="H202" s="478" t="s">
        <v>3869</v>
      </c>
      <c r="I202" s="3428"/>
      <c r="J202" s="3377"/>
      <c r="K202" s="3377"/>
      <c r="L202" s="3377"/>
      <c r="M202" s="3377"/>
      <c r="N202" s="3377"/>
      <c r="O202" s="3378"/>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6922</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5" t="s">
        <v>6751</v>
      </c>
      <c r="D209" s="4005"/>
      <c r="E209" s="4005"/>
      <c r="F209" s="4005"/>
      <c r="G209" s="4005"/>
      <c r="H209" s="4005"/>
      <c r="I209" s="4005"/>
      <c r="J209" s="4005"/>
      <c r="K209" s="4005"/>
      <c r="L209" s="4005"/>
      <c r="M209" s="4005"/>
      <c r="N209" s="4005"/>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2654</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2654</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36.75" customHeight="1">
      <c r="A214" s="4015" t="s">
        <v>6938</v>
      </c>
      <c r="B214" s="4016"/>
      <c r="C214" s="4016"/>
      <c r="D214" s="4016"/>
      <c r="E214" s="4016"/>
      <c r="F214" s="4016"/>
      <c r="G214" s="4016"/>
      <c r="H214" s="4016"/>
      <c r="I214" s="4016"/>
      <c r="J214" s="4016"/>
      <c r="K214" s="4016"/>
      <c r="L214" s="4016"/>
      <c r="M214" s="4016"/>
      <c r="N214" s="4016"/>
      <c r="O214" s="4016"/>
      <c r="P214" s="4016"/>
      <c r="Q214" s="4017"/>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2"/>
      <c r="B216" s="4013"/>
      <c r="C216" s="4013"/>
      <c r="D216" s="4013"/>
      <c r="E216" s="4013"/>
      <c r="F216" s="4013"/>
      <c r="G216" s="4013"/>
      <c r="H216" s="4013"/>
      <c r="I216" s="4013"/>
      <c r="J216" s="4013"/>
      <c r="K216" s="4013"/>
      <c r="L216" s="4013"/>
      <c r="M216" s="4013"/>
      <c r="N216" s="4013"/>
      <c r="O216" s="4013"/>
      <c r="P216" s="4013"/>
      <c r="Q216" s="4014"/>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6746</v>
      </c>
      <c r="L217" s="1690" t="str">
        <f>'Part I-Project Identification'!$P$29</f>
        <v>No</v>
      </c>
      <c r="M217" s="1932"/>
      <c r="O217" s="132" t="s">
        <v>1731</v>
      </c>
      <c r="P217" s="4007"/>
      <c r="Q217" s="4008"/>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146"/>
      <c r="C220" s="4147"/>
      <c r="D220" s="4147"/>
      <c r="E220" s="4147"/>
      <c r="F220" s="4147"/>
      <c r="G220" s="4147"/>
      <c r="H220" s="4147"/>
      <c r="I220" s="4147"/>
      <c r="J220" s="2667"/>
      <c r="K220" s="4146"/>
      <c r="L220" s="4147"/>
      <c r="M220" s="4147"/>
      <c r="N220" s="4147"/>
      <c r="O220" s="4147"/>
      <c r="P220" s="4147"/>
      <c r="Q220" s="2667"/>
      <c r="AE220" s="481"/>
      <c r="AF220" s="481"/>
    </row>
    <row r="221" spans="1:44" s="133" customFormat="1" ht="11.25" customHeight="1">
      <c r="A221" s="142"/>
      <c r="B221" s="3439"/>
      <c r="C221" s="3380"/>
      <c r="D221" s="3380"/>
      <c r="E221" s="3380"/>
      <c r="F221" s="3380"/>
      <c r="G221" s="3380"/>
      <c r="H221" s="3380"/>
      <c r="I221" s="3380"/>
      <c r="J221" s="2668"/>
      <c r="K221" s="3439"/>
      <c r="L221" s="3380"/>
      <c r="M221" s="3380"/>
      <c r="N221" s="3380"/>
      <c r="O221" s="3380"/>
      <c r="P221" s="3380"/>
      <c r="Q221" s="2668"/>
      <c r="AE221" s="481"/>
      <c r="AF221" s="481"/>
    </row>
    <row r="222" spans="1:44" s="133" customFormat="1" ht="11.25" customHeight="1">
      <c r="A222" s="142"/>
      <c r="B222" s="3439"/>
      <c r="C222" s="3380"/>
      <c r="D222" s="3380"/>
      <c r="E222" s="3380"/>
      <c r="F222" s="3380"/>
      <c r="G222" s="3380"/>
      <c r="H222" s="3380"/>
      <c r="I222" s="3380"/>
      <c r="J222" s="2668"/>
      <c r="K222" s="3439"/>
      <c r="L222" s="3380"/>
      <c r="M222" s="3380"/>
      <c r="N222" s="3380"/>
      <c r="O222" s="3380"/>
      <c r="P222" s="3380"/>
      <c r="Q222" s="2668"/>
      <c r="AE222" s="481"/>
      <c r="AF222" s="481"/>
    </row>
    <row r="223" spans="1:44" s="133" customFormat="1" ht="11.25" customHeight="1">
      <c r="A223" s="142"/>
      <c r="B223" s="3439"/>
      <c r="C223" s="3380"/>
      <c r="D223" s="3380"/>
      <c r="E223" s="3380"/>
      <c r="F223" s="3380"/>
      <c r="G223" s="3380"/>
      <c r="H223" s="3380"/>
      <c r="I223" s="3380"/>
      <c r="J223" s="2668"/>
      <c r="K223" s="3439"/>
      <c r="L223" s="3380"/>
      <c r="M223" s="3380"/>
      <c r="N223" s="3380"/>
      <c r="O223" s="3380"/>
      <c r="P223" s="3380"/>
      <c r="Q223" s="2668"/>
      <c r="AE223" s="481"/>
      <c r="AF223" s="481"/>
    </row>
    <row r="224" spans="1:44" s="133" customFormat="1" ht="11.25" customHeight="1">
      <c r="A224" s="142"/>
      <c r="B224" s="3439"/>
      <c r="C224" s="3380"/>
      <c r="D224" s="3380"/>
      <c r="E224" s="3380"/>
      <c r="F224" s="3380"/>
      <c r="G224" s="3380"/>
      <c r="H224" s="3380"/>
      <c r="I224" s="3380"/>
      <c r="J224" s="2668"/>
      <c r="K224" s="3439"/>
      <c r="L224" s="3380"/>
      <c r="M224" s="3380"/>
      <c r="N224" s="3380"/>
      <c r="O224" s="3380"/>
      <c r="P224" s="3380"/>
      <c r="Q224" s="2668"/>
      <c r="AE224" s="481"/>
      <c r="AF224" s="481"/>
    </row>
    <row r="225" spans="1:44" s="133" customFormat="1" ht="11.25" customHeight="1">
      <c r="A225" s="142"/>
      <c r="B225" s="3439"/>
      <c r="C225" s="3380"/>
      <c r="D225" s="3380"/>
      <c r="E225" s="3380"/>
      <c r="F225" s="3380"/>
      <c r="G225" s="3380"/>
      <c r="H225" s="3380"/>
      <c r="I225" s="3380"/>
      <c r="J225" s="2668"/>
      <c r="K225" s="3439"/>
      <c r="L225" s="3380"/>
      <c r="M225" s="3380"/>
      <c r="N225" s="3380"/>
      <c r="O225" s="3380"/>
      <c r="P225" s="3380"/>
      <c r="Q225" s="2668"/>
      <c r="AE225" s="481"/>
      <c r="AF225" s="481"/>
    </row>
    <row r="226" spans="1:44" s="133" customFormat="1" ht="11.25" customHeight="1">
      <c r="A226" s="142"/>
      <c r="B226" s="3439"/>
      <c r="C226" s="3380"/>
      <c r="D226" s="3380"/>
      <c r="E226" s="3380"/>
      <c r="F226" s="3380"/>
      <c r="G226" s="3380"/>
      <c r="H226" s="3380"/>
      <c r="I226" s="3380"/>
      <c r="J226" s="2668"/>
      <c r="K226" s="3439"/>
      <c r="L226" s="3380"/>
      <c r="M226" s="3380"/>
      <c r="N226" s="3380"/>
      <c r="O226" s="3380"/>
      <c r="P226" s="3380"/>
      <c r="Q226" s="2668"/>
      <c r="AE226" s="481"/>
      <c r="AF226" s="481"/>
    </row>
    <row r="227" spans="1:44" s="133" customFormat="1" ht="11.25" customHeight="1">
      <c r="B227" s="3428"/>
      <c r="C227" s="3377"/>
      <c r="D227" s="3377"/>
      <c r="E227" s="3377"/>
      <c r="F227" s="3377"/>
      <c r="G227" s="3377"/>
      <c r="H227" s="3377"/>
      <c r="I227" s="3377"/>
      <c r="J227" s="2669"/>
      <c r="K227" s="3428"/>
      <c r="L227" s="3377"/>
      <c r="M227" s="3377"/>
      <c r="N227" s="3377"/>
      <c r="O227" s="3377"/>
      <c r="P227" s="3377"/>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5" t="s">
        <v>6121</v>
      </c>
      <c r="C229" s="4005"/>
      <c r="D229" s="4005"/>
      <c r="E229" s="4005"/>
      <c r="F229" s="4005"/>
      <c r="G229" s="4005"/>
      <c r="H229" s="4005"/>
      <c r="I229" s="4005"/>
      <c r="J229" s="4005"/>
      <c r="K229" s="4005"/>
      <c r="L229" s="4005"/>
      <c r="M229" s="4005"/>
      <c r="N229" s="4005"/>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5" t="s">
        <v>6990</v>
      </c>
      <c r="B232" s="4016"/>
      <c r="C232" s="4016"/>
      <c r="D232" s="4016"/>
      <c r="E232" s="4016"/>
      <c r="F232" s="4016"/>
      <c r="G232" s="4016"/>
      <c r="H232" s="4016"/>
      <c r="I232" s="4016"/>
      <c r="J232" s="4016"/>
      <c r="K232" s="4016"/>
      <c r="L232" s="4016"/>
      <c r="M232" s="4016"/>
      <c r="N232" s="4016"/>
      <c r="O232" s="4016"/>
      <c r="P232" s="4016"/>
      <c r="Q232" s="4017"/>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2"/>
      <c r="B234" s="4013"/>
      <c r="C234" s="4013"/>
      <c r="D234" s="4013"/>
      <c r="E234" s="4013"/>
      <c r="F234" s="4013"/>
      <c r="G234" s="4013"/>
      <c r="H234" s="4013"/>
      <c r="I234" s="4013"/>
      <c r="J234" s="4013"/>
      <c r="K234" s="4013"/>
      <c r="L234" s="4013"/>
      <c r="M234" s="4013"/>
      <c r="N234" s="4013"/>
      <c r="O234" s="4013"/>
      <c r="P234" s="4013"/>
      <c r="Q234" s="4014"/>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07"/>
      <c r="Q236" s="4008"/>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4" t="s">
        <v>1647</v>
      </c>
      <c r="L238" s="4025"/>
      <c r="M238" s="4025"/>
      <c r="N238" s="4025"/>
      <c r="O238" s="4103"/>
      <c r="P238" s="4133" t="s">
        <v>1647</v>
      </c>
      <c r="Q238" s="4134"/>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00" t="s">
        <v>6202</v>
      </c>
      <c r="C239" s="4000"/>
      <c r="D239" s="4000"/>
      <c r="E239" s="4000"/>
      <c r="F239" s="4000"/>
      <c r="G239" s="4000"/>
      <c r="H239" s="4000"/>
      <c r="I239" s="4000"/>
      <c r="J239" s="4000"/>
      <c r="K239" s="4000"/>
      <c r="L239" s="4000"/>
      <c r="M239" s="4000"/>
      <c r="N239" s="4000"/>
      <c r="O239" s="4093"/>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90"/>
      <c r="L240" s="4091"/>
      <c r="M240" s="4091"/>
      <c r="N240" s="4091"/>
      <c r="O240" s="4092"/>
      <c r="P240" s="4086"/>
      <c r="Q240" s="4087"/>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5"/>
      <c r="L241" s="4056"/>
      <c r="M241" s="4056"/>
      <c r="N241" s="4056"/>
      <c r="O241" s="4057"/>
      <c r="P241" s="4088"/>
      <c r="Q241" s="4089"/>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5" t="s">
        <v>6213</v>
      </c>
      <c r="D243" s="4005"/>
      <c r="E243" s="4005"/>
      <c r="F243" s="4005"/>
      <c r="G243" s="4005"/>
      <c r="H243" s="4005"/>
      <c r="I243" s="4005"/>
      <c r="J243" s="4005"/>
      <c r="K243" s="4005"/>
      <c r="L243" s="4005"/>
      <c r="M243" s="4005"/>
      <c r="N243" s="4005"/>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5" t="s">
        <v>6214</v>
      </c>
      <c r="D244" s="4005"/>
      <c r="E244" s="4005"/>
      <c r="F244" s="4005"/>
      <c r="G244" s="4005"/>
      <c r="H244" s="4005"/>
      <c r="I244" s="4005"/>
      <c r="J244" s="4005"/>
      <c r="K244" s="4005"/>
      <c r="L244" s="4005"/>
      <c r="M244" s="4005"/>
      <c r="N244" s="4005"/>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31" t="s">
        <v>3246</v>
      </c>
      <c r="C246" s="4031"/>
      <c r="D246" s="4031"/>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31"/>
      <c r="C247" s="4031"/>
      <c r="D247" s="4031"/>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31"/>
      <c r="C248" s="4031"/>
      <c r="D248" s="4031"/>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31"/>
      <c r="C249" s="4031"/>
      <c r="D249" s="4031"/>
      <c r="E249" s="55" t="s">
        <v>3387</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5" t="s">
        <v>6508</v>
      </c>
      <c r="F250" s="4005"/>
      <c r="G250" s="4005"/>
      <c r="H250" s="4005"/>
      <c r="I250" s="4005"/>
      <c r="J250" s="4005"/>
      <c r="K250" s="4005"/>
      <c r="L250" s="4005"/>
      <c r="M250" s="4005"/>
      <c r="N250" s="4005"/>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5" t="s">
        <v>6939</v>
      </c>
      <c r="B252" s="4016"/>
      <c r="C252" s="4016"/>
      <c r="D252" s="4016"/>
      <c r="E252" s="4016"/>
      <c r="F252" s="4016"/>
      <c r="G252" s="4016"/>
      <c r="H252" s="4016"/>
      <c r="I252" s="4016"/>
      <c r="J252" s="4016"/>
      <c r="K252" s="4016"/>
      <c r="L252" s="4016"/>
      <c r="M252" s="4016"/>
      <c r="N252" s="4016"/>
      <c r="O252" s="4016"/>
      <c r="P252" s="4016"/>
      <c r="Q252" s="4017"/>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2"/>
      <c r="B254" s="4013"/>
      <c r="C254" s="4013"/>
      <c r="D254" s="4013"/>
      <c r="E254" s="4013"/>
      <c r="F254" s="4013"/>
      <c r="G254" s="4013"/>
      <c r="H254" s="4013"/>
      <c r="I254" s="4013"/>
      <c r="J254" s="4013"/>
      <c r="K254" s="4013"/>
      <c r="L254" s="4013"/>
      <c r="M254" s="4013"/>
      <c r="N254" s="4013"/>
      <c r="O254" s="4013"/>
      <c r="P254" s="4013"/>
      <c r="Q254" s="4014"/>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07"/>
      <c r="Q256" s="4008"/>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5" t="s">
        <v>4034</v>
      </c>
      <c r="D257" s="4005"/>
      <c r="E257" s="4005"/>
      <c r="F257" s="4005"/>
      <c r="G257" s="4005"/>
      <c r="H257" s="4005"/>
      <c r="I257" s="4005"/>
      <c r="J257" s="4005"/>
      <c r="K257" s="4005"/>
      <c r="L257" s="4005"/>
      <c r="M257" s="4005"/>
      <c r="N257" s="4005"/>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5" t="s">
        <v>4060</v>
      </c>
      <c r="D260" s="4005"/>
      <c r="E260" s="4005"/>
      <c r="F260" s="4005"/>
      <c r="G260" s="4005"/>
      <c r="H260" s="4005"/>
      <c r="I260" s="4005"/>
      <c r="J260" s="4005"/>
      <c r="K260" s="4005"/>
      <c r="L260" s="4005"/>
      <c r="M260" s="4005"/>
      <c r="N260" s="4005"/>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5" t="s">
        <v>6126</v>
      </c>
      <c r="C262" s="4005"/>
      <c r="D262" s="4005"/>
      <c r="E262" s="4005"/>
      <c r="F262" s="4005"/>
      <c r="G262" s="4005"/>
      <c r="H262" s="4005"/>
      <c r="I262" s="4005"/>
      <c r="J262" s="4005"/>
      <c r="K262" s="4005"/>
      <c r="L262" s="4005"/>
      <c r="M262" s="4005"/>
      <c r="N262" s="4005"/>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7.5" customHeight="1">
      <c r="A264" s="4015" t="s">
        <v>6983</v>
      </c>
      <c r="B264" s="4016"/>
      <c r="C264" s="4016"/>
      <c r="D264" s="4016"/>
      <c r="E264" s="4016"/>
      <c r="F264" s="4016"/>
      <c r="G264" s="4016"/>
      <c r="H264" s="4016"/>
      <c r="I264" s="4016"/>
      <c r="J264" s="4016"/>
      <c r="K264" s="4016"/>
      <c r="L264" s="4016"/>
      <c r="M264" s="4016"/>
      <c r="N264" s="4016"/>
      <c r="O264" s="4016"/>
      <c r="P264" s="4016"/>
      <c r="Q264" s="4017"/>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2"/>
      <c r="B266" s="4013"/>
      <c r="C266" s="4013"/>
      <c r="D266" s="4013"/>
      <c r="E266" s="4013"/>
      <c r="F266" s="4013"/>
      <c r="G266" s="4013"/>
      <c r="H266" s="4013"/>
      <c r="I266" s="4013"/>
      <c r="J266" s="4013"/>
      <c r="K266" s="4013"/>
      <c r="L266" s="4013"/>
      <c r="M266" s="4013"/>
      <c r="N266" s="4013"/>
      <c r="O266" s="4013"/>
      <c r="P266" s="4013"/>
      <c r="Q266" s="4014"/>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07"/>
      <c r="Q268" s="4008"/>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5" t="s">
        <v>3851</v>
      </c>
      <c r="D271" s="4005"/>
      <c r="E271" s="4005"/>
      <c r="F271" s="4005"/>
      <c r="G271" s="4005"/>
      <c r="H271" s="4005"/>
      <c r="I271" s="4005"/>
      <c r="J271" s="4005"/>
      <c r="K271" s="4005"/>
      <c r="L271" s="4005"/>
      <c r="M271" s="4005"/>
      <c r="N271" s="4005"/>
      <c r="O271" s="1778" t="s">
        <v>1615</v>
      </c>
      <c r="P271" s="1158" t="s">
        <v>6922</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5" t="s">
        <v>2509</v>
      </c>
      <c r="D272" s="4005"/>
      <c r="E272" s="4005"/>
      <c r="F272" s="4005"/>
      <c r="G272" s="4005"/>
      <c r="H272" s="4005"/>
      <c r="I272" s="4005"/>
      <c r="J272" s="4005"/>
      <c r="K272" s="4005"/>
      <c r="L272" s="4005"/>
      <c r="M272" s="4005"/>
      <c r="N272" s="4005"/>
      <c r="O272" s="1778" t="s">
        <v>1616</v>
      </c>
      <c r="P272" s="1162" t="s">
        <v>6922</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2" t="s">
        <v>3255</v>
      </c>
      <c r="M273" s="4033"/>
      <c r="N273" s="4033"/>
      <c r="O273" s="4033"/>
      <c r="P273" s="4034"/>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6922</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88.5" customHeight="1">
      <c r="A277" s="4015" t="s">
        <v>7032</v>
      </c>
      <c r="B277" s="4016"/>
      <c r="C277" s="4016"/>
      <c r="D277" s="4016"/>
      <c r="E277" s="4016"/>
      <c r="F277" s="4016"/>
      <c r="G277" s="4016"/>
      <c r="H277" s="4016"/>
      <c r="I277" s="4016"/>
      <c r="J277" s="4016"/>
      <c r="K277" s="4016"/>
      <c r="L277" s="4016"/>
      <c r="M277" s="4016"/>
      <c r="N277" s="4016"/>
      <c r="O277" s="4016"/>
      <c r="P277" s="4016"/>
      <c r="Q277" s="4017"/>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2"/>
      <c r="B279" s="4013"/>
      <c r="C279" s="4013"/>
      <c r="D279" s="4013"/>
      <c r="E279" s="4013"/>
      <c r="F279" s="4013"/>
      <c r="G279" s="4013"/>
      <c r="H279" s="4013"/>
      <c r="I279" s="4013"/>
      <c r="J279" s="4013"/>
      <c r="K279" s="4013"/>
      <c r="L279" s="4013"/>
      <c r="M279" s="4013"/>
      <c r="N279" s="4013"/>
      <c r="O279" s="4013"/>
      <c r="P279" s="4013"/>
      <c r="Q279" s="4014"/>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07"/>
      <c r="Q281" s="4008"/>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5" t="s">
        <v>6665</v>
      </c>
      <c r="D284" s="4005"/>
      <c r="E284" s="4005"/>
      <c r="F284" s="4005"/>
      <c r="G284" s="4005"/>
      <c r="H284" s="4005"/>
      <c r="I284" s="4005"/>
      <c r="J284" s="4005"/>
      <c r="K284" s="4005"/>
      <c r="L284" s="4005"/>
      <c r="M284" s="4005"/>
      <c r="N284" s="4005"/>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5" t="s">
        <v>6666</v>
      </c>
      <c r="D285" s="4005"/>
      <c r="E285" s="4005"/>
      <c r="F285" s="4005"/>
      <c r="G285" s="4005"/>
      <c r="H285" s="4005"/>
      <c r="I285" s="4005"/>
      <c r="J285" s="4005"/>
      <c r="K285" s="4005"/>
      <c r="L285" s="4005"/>
      <c r="M285" s="4005"/>
      <c r="N285" s="4005"/>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5" t="s">
        <v>6208</v>
      </c>
      <c r="D286" s="4005"/>
      <c r="E286" s="4005"/>
      <c r="F286" s="4005"/>
      <c r="G286" s="4005"/>
      <c r="H286" s="4005"/>
      <c r="I286" s="4005"/>
      <c r="J286" s="4005"/>
      <c r="K286" s="4005"/>
      <c r="L286" s="4005"/>
      <c r="M286" s="4005"/>
      <c r="N286" s="4005"/>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5" t="s">
        <v>6211</v>
      </c>
      <c r="E288" s="4005"/>
      <c r="F288" s="4005"/>
      <c r="G288" s="4005"/>
      <c r="H288" s="4005"/>
      <c r="I288" s="140"/>
      <c r="J288" s="4009" t="s">
        <v>3267</v>
      </c>
      <c r="K288" s="4035"/>
      <c r="L288" s="4035"/>
      <c r="M288" s="4140" t="s">
        <v>3248</v>
      </c>
      <c r="N288" s="4140"/>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5"/>
      <c r="E289" s="4005"/>
      <c r="F289" s="4005"/>
      <c r="G289" s="4005"/>
      <c r="H289" s="4005"/>
      <c r="I289" s="1130"/>
      <c r="J289" s="4035"/>
      <c r="K289" s="4035"/>
      <c r="L289" s="4035"/>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5"/>
      <c r="E290" s="4005"/>
      <c r="F290" s="4005"/>
      <c r="G290" s="4005"/>
      <c r="H290" s="4005"/>
      <c r="I290" s="52" t="s">
        <v>3389</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5" t="s">
        <v>6212</v>
      </c>
      <c r="E291" s="4005"/>
      <c r="F291" s="4005"/>
      <c r="G291" s="4005"/>
      <c r="H291" s="4005"/>
      <c r="I291" s="869" t="s">
        <v>3390</v>
      </c>
      <c r="J291" s="315"/>
      <c r="K291" s="2067">
        <v>2</v>
      </c>
      <c r="L291" s="1001" t="str">
        <f>IF(K291&lt;M291,"Check!!!","")</f>
        <v/>
      </c>
      <c r="M291" s="2069">
        <f>ROUNDUP(K290*'Part VII-Threshold Criteria'!N291,0)</f>
        <v>2</v>
      </c>
      <c r="N291" s="1524">
        <f>'DCA Underwriting Assumptions'!$Q$118</f>
        <v>0.4</v>
      </c>
      <c r="O291" s="478" t="s">
        <v>1965</v>
      </c>
      <c r="P291" s="4038" t="s">
        <v>2651</v>
      </c>
      <c r="Q291" s="4036"/>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5"/>
      <c r="E292" s="4005"/>
      <c r="F292" s="4005"/>
      <c r="G292" s="4005"/>
      <c r="H292" s="4005"/>
      <c r="O292" s="40"/>
      <c r="P292" s="4039"/>
      <c r="Q292" s="4037"/>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5" t="s">
        <v>6747</v>
      </c>
      <c r="D293" s="4005"/>
      <c r="E293" s="4005"/>
      <c r="F293" s="4005"/>
      <c r="G293" s="4005"/>
      <c r="H293" s="4005"/>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5"/>
      <c r="D294" s="4005"/>
      <c r="E294" s="4005"/>
      <c r="F294" s="4005"/>
      <c r="G294" s="4005"/>
      <c r="H294" s="4005"/>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5"/>
      <c r="D295" s="4005"/>
      <c r="E295" s="4005"/>
      <c r="F295" s="4005"/>
      <c r="G295" s="4005"/>
      <c r="H295" s="4005"/>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00" t="s">
        <v>6725</v>
      </c>
      <c r="C297" s="4000"/>
      <c r="D297" s="4000"/>
      <c r="E297" s="4000"/>
      <c r="F297" s="4000"/>
      <c r="G297" s="4000"/>
      <c r="H297" s="4000"/>
      <c r="I297" s="4000"/>
      <c r="J297" s="4000"/>
      <c r="K297" s="4000"/>
      <c r="L297" s="4000"/>
      <c r="M297" s="4000"/>
      <c r="N297" s="4000"/>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3" t="s">
        <v>6941</v>
      </c>
      <c r="M298" s="4084"/>
      <c r="N298" s="4084"/>
      <c r="O298" s="4084"/>
      <c r="P298" s="4084"/>
      <c r="Q298" s="4085"/>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5" t="s">
        <v>6667</v>
      </c>
      <c r="D299" s="4005"/>
      <c r="E299" s="4005"/>
      <c r="F299" s="4005"/>
      <c r="G299" s="4005"/>
      <c r="H299" s="4005"/>
      <c r="I299" s="4005"/>
      <c r="J299" s="4005"/>
      <c r="K299" s="4005"/>
      <c r="L299" s="4005"/>
      <c r="M299" s="4005"/>
      <c r="N299" s="4005"/>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5" t="s">
        <v>3837</v>
      </c>
      <c r="D300" s="4005"/>
      <c r="E300" s="4005"/>
      <c r="F300" s="4005"/>
      <c r="G300" s="4005"/>
      <c r="H300" s="4005"/>
      <c r="I300" s="4005"/>
      <c r="J300" s="4005"/>
      <c r="K300" s="4005"/>
      <c r="L300" s="4005"/>
      <c r="M300" s="4005"/>
      <c r="N300" s="4005"/>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5" t="s">
        <v>3171</v>
      </c>
      <c r="D301" s="4005"/>
      <c r="E301" s="4005"/>
      <c r="F301" s="4005"/>
      <c r="G301" s="4005"/>
      <c r="H301" s="4005"/>
      <c r="I301" s="4005"/>
      <c r="J301" s="4005"/>
      <c r="K301" s="4005"/>
      <c r="L301" s="4005"/>
      <c r="M301" s="4005"/>
      <c r="N301" s="4005"/>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5" t="s">
        <v>3172</v>
      </c>
      <c r="D302" s="4005"/>
      <c r="E302" s="4005"/>
      <c r="F302" s="4005"/>
      <c r="G302" s="4005"/>
      <c r="H302" s="4005"/>
      <c r="I302" s="4005"/>
      <c r="J302" s="4005"/>
      <c r="K302" s="4005"/>
      <c r="L302" s="4005"/>
      <c r="M302" s="4005"/>
      <c r="N302" s="4005"/>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5" t="s">
        <v>6942</v>
      </c>
      <c r="B304" s="4016"/>
      <c r="C304" s="4016"/>
      <c r="D304" s="4016"/>
      <c r="E304" s="4016"/>
      <c r="F304" s="4016"/>
      <c r="G304" s="4016"/>
      <c r="H304" s="4016"/>
      <c r="I304" s="4016"/>
      <c r="J304" s="4016"/>
      <c r="K304" s="4016"/>
      <c r="L304" s="4016"/>
      <c r="M304" s="4016"/>
      <c r="N304" s="4016"/>
      <c r="O304" s="4016"/>
      <c r="P304" s="4016"/>
      <c r="Q304" s="4017"/>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40"/>
      <c r="B306" s="4041"/>
      <c r="C306" s="4041"/>
      <c r="D306" s="4041"/>
      <c r="E306" s="4041"/>
      <c r="F306" s="4041"/>
      <c r="G306" s="4041"/>
      <c r="H306" s="4041"/>
      <c r="I306" s="4041"/>
      <c r="J306" s="4041"/>
      <c r="K306" s="4041"/>
      <c r="L306" s="4041"/>
      <c r="M306" s="4041"/>
      <c r="N306" s="4041"/>
      <c r="O306" s="4041"/>
      <c r="P306" s="4041"/>
      <c r="Q306" s="4042"/>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135"/>
      <c r="Q307" s="4136"/>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4" t="s">
        <v>6943</v>
      </c>
      <c r="L310" s="4025"/>
      <c r="M310" s="4025"/>
      <c r="N310" s="4103"/>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6678</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5" t="s">
        <v>6677</v>
      </c>
      <c r="C312" s="4005"/>
      <c r="D312" s="4005"/>
      <c r="E312" s="4005"/>
      <c r="F312" s="4005"/>
      <c r="G312" s="4005"/>
      <c r="H312" s="4005"/>
      <c r="I312" s="4005"/>
      <c r="J312" s="4005"/>
      <c r="K312" s="4005"/>
      <c r="L312" s="4005"/>
      <c r="M312" s="4005"/>
      <c r="N312" s="4005"/>
      <c r="O312" s="163" t="s">
        <v>1842</v>
      </c>
      <c r="P312" s="162" t="s">
        <v>6922</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3" t="s">
        <v>6312</v>
      </c>
      <c r="H314" s="4074"/>
      <c r="I314" s="4074"/>
      <c r="J314" s="4074"/>
      <c r="K314" s="4074"/>
      <c r="L314" s="4074"/>
      <c r="M314" s="4074"/>
      <c r="N314" s="4075"/>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5" t="s">
        <v>1067</v>
      </c>
      <c r="D315" s="4005"/>
      <c r="E315" s="4005"/>
      <c r="F315" s="4093"/>
      <c r="G315" s="3428" t="s">
        <v>3250</v>
      </c>
      <c r="H315" s="4097"/>
      <c r="I315" s="4097"/>
      <c r="J315" s="4097"/>
      <c r="K315" s="4097"/>
      <c r="L315" s="4097"/>
      <c r="M315" s="4097"/>
      <c r="N315" s="4098"/>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027" t="s">
        <v>6128</v>
      </c>
      <c r="H317" s="4027"/>
      <c r="I317" s="4027"/>
      <c r="J317" s="4027"/>
      <c r="K317" s="4027"/>
      <c r="L317" s="4027"/>
      <c r="M317" s="4027"/>
      <c r="N317" s="4027"/>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80"/>
      <c r="D318" s="4081"/>
      <c r="E318" s="4081"/>
      <c r="F318" s="4081"/>
      <c r="G318" s="4081"/>
      <c r="H318" s="4081"/>
      <c r="I318" s="4081"/>
      <c r="J318" s="4081"/>
      <c r="K318" s="4081"/>
      <c r="L318" s="4081"/>
      <c r="M318" s="4081"/>
      <c r="N318" s="4082"/>
      <c r="O318" s="229" t="s">
        <v>6308</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4"/>
      <c r="D319" s="4095"/>
      <c r="E319" s="4095"/>
      <c r="F319" s="4095"/>
      <c r="G319" s="4095"/>
      <c r="H319" s="4095"/>
      <c r="I319" s="4095"/>
      <c r="J319" s="4095"/>
      <c r="K319" s="4095"/>
      <c r="L319" s="4095"/>
      <c r="M319" s="4095"/>
      <c r="N319" s="4096"/>
      <c r="O319" s="229" t="s">
        <v>6309</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00" t="s">
        <v>6129</v>
      </c>
      <c r="C320" s="4000"/>
      <c r="D320" s="4000"/>
      <c r="E320" s="4000"/>
      <c r="F320" s="4000"/>
      <c r="G320" s="4000"/>
      <c r="H320" s="4000"/>
      <c r="I320" s="4000"/>
      <c r="J320" s="4000"/>
      <c r="K320" s="4000"/>
      <c r="L320" s="4000"/>
      <c r="M320" s="4000"/>
      <c r="N320" s="4000"/>
      <c r="O320" s="163" t="s">
        <v>1963</v>
      </c>
      <c r="P320" s="1937" t="s">
        <v>6922</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7.75" customHeight="1">
      <c r="A323" s="4015" t="s">
        <v>6944</v>
      </c>
      <c r="B323" s="4016"/>
      <c r="C323" s="4016"/>
      <c r="D323" s="4016"/>
      <c r="E323" s="4016"/>
      <c r="F323" s="4016"/>
      <c r="G323" s="4016"/>
      <c r="H323" s="4016"/>
      <c r="I323" s="4016"/>
      <c r="J323" s="4016"/>
      <c r="K323" s="4016"/>
      <c r="L323" s="4016"/>
      <c r="M323" s="4016"/>
      <c r="N323" s="4016"/>
      <c r="O323" s="4016"/>
      <c r="P323" s="4016"/>
      <c r="Q323" s="4017"/>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2"/>
      <c r="B325" s="4013"/>
      <c r="C325" s="4013"/>
      <c r="D325" s="4013"/>
      <c r="E325" s="4013"/>
      <c r="F325" s="4013"/>
      <c r="G325" s="4013"/>
      <c r="H325" s="4013"/>
      <c r="I325" s="4013"/>
      <c r="J325" s="4013"/>
      <c r="K325" s="4013"/>
      <c r="L325" s="4013"/>
      <c r="M325" s="4013"/>
      <c r="N325" s="4013"/>
      <c r="O325" s="4013"/>
      <c r="P325" s="4013"/>
      <c r="Q325" s="4014"/>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6542</v>
      </c>
      <c r="C326" s="1138"/>
      <c r="D326" s="1133"/>
      <c r="E326" s="1133"/>
      <c r="F326" s="1133"/>
      <c r="G326" s="1133"/>
      <c r="H326" s="1133"/>
      <c r="N326" s="1091" t="s">
        <v>6541</v>
      </c>
      <c r="O326" s="132" t="s">
        <v>1731</v>
      </c>
      <c r="P326" s="4007"/>
      <c r="Q326" s="4008"/>
      <c r="R326" s="1147" t="s">
        <v>6528</v>
      </c>
    </row>
    <row r="327" spans="1:256" ht="11.45" customHeight="1">
      <c r="A327" s="47" t="s">
        <v>1842</v>
      </c>
      <c r="B327" s="55" t="s">
        <v>6537</v>
      </c>
      <c r="O327" s="163" t="s">
        <v>1842</v>
      </c>
      <c r="P327" s="230" t="s">
        <v>2651</v>
      </c>
      <c r="Q327" s="549"/>
    </row>
    <row r="328" spans="1:256" ht="11.45" customHeight="1">
      <c r="A328" s="142" t="s">
        <v>1844</v>
      </c>
      <c r="B328" s="55" t="s">
        <v>6544</v>
      </c>
      <c r="O328" s="163" t="s">
        <v>1844</v>
      </c>
      <c r="P328" s="2315" t="s">
        <v>2651</v>
      </c>
      <c r="Q328" s="880"/>
    </row>
    <row r="329" spans="1:256" ht="11.45" customHeight="1">
      <c r="A329" s="142" t="s">
        <v>698</v>
      </c>
      <c r="B329" s="55" t="s">
        <v>6545</v>
      </c>
      <c r="K329" s="2311"/>
      <c r="M329" s="163" t="s">
        <v>698</v>
      </c>
      <c r="N329" s="4076" t="s">
        <v>2654</v>
      </c>
      <c r="O329" s="4077"/>
      <c r="P329" s="4078" t="s">
        <v>1647</v>
      </c>
      <c r="Q329" s="4079"/>
    </row>
    <row r="330" spans="1:256" ht="11.45" customHeight="1">
      <c r="A330" s="47" t="s">
        <v>1963</v>
      </c>
      <c r="B330" s="55" t="s">
        <v>6546</v>
      </c>
      <c r="O330" s="478" t="s">
        <v>1963</v>
      </c>
      <c r="P330" s="2049" t="s">
        <v>2654</v>
      </c>
      <c r="Q330" s="2107"/>
    </row>
    <row r="331" spans="1:256" ht="11.45" customHeight="1">
      <c r="A331" s="142" t="s">
        <v>1613</v>
      </c>
      <c r="B331" s="55" t="s">
        <v>6547</v>
      </c>
      <c r="N331" s="163" t="s">
        <v>1613</v>
      </c>
      <c r="O331" s="4070" t="s">
        <v>4052</v>
      </c>
      <c r="P331" s="4071"/>
      <c r="Q331" s="4072"/>
    </row>
    <row r="332" spans="1:256" ht="11.45" customHeight="1">
      <c r="A332" s="142" t="s">
        <v>1614</v>
      </c>
      <c r="B332" s="434" t="s">
        <v>2171</v>
      </c>
      <c r="N332" s="163" t="s">
        <v>1614</v>
      </c>
      <c r="O332" s="4137" t="s">
        <v>2561</v>
      </c>
      <c r="P332" s="4138"/>
      <c r="Q332" s="4139"/>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35" customHeight="1">
      <c r="A334" s="4015" t="s">
        <v>6945</v>
      </c>
      <c r="B334" s="4016"/>
      <c r="C334" s="4016"/>
      <c r="D334" s="4016"/>
      <c r="E334" s="4016"/>
      <c r="F334" s="4016"/>
      <c r="G334" s="4016"/>
      <c r="H334" s="4016"/>
      <c r="I334" s="4016"/>
      <c r="J334" s="4016"/>
      <c r="K334" s="4016"/>
      <c r="L334" s="4016"/>
      <c r="M334" s="4016"/>
      <c r="N334" s="4016"/>
      <c r="O334" s="4016"/>
      <c r="P334" s="4016"/>
      <c r="Q334" s="4017"/>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2"/>
      <c r="B336" s="4013"/>
      <c r="C336" s="4013"/>
      <c r="D336" s="4013"/>
      <c r="E336" s="4013"/>
      <c r="F336" s="4013"/>
      <c r="G336" s="4013"/>
      <c r="H336" s="4013"/>
      <c r="I336" s="4013"/>
      <c r="J336" s="4013"/>
      <c r="K336" s="4013"/>
      <c r="L336" s="4013"/>
      <c r="M336" s="4013"/>
      <c r="N336" s="4013"/>
      <c r="O336" s="4013"/>
      <c r="P336" s="4013"/>
      <c r="Q336" s="4014"/>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6548</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21"/>
      <c r="Q338" s="4022"/>
    </row>
    <row r="339" spans="1:44" ht="14.1" customHeight="1">
      <c r="A339" s="2379"/>
      <c r="B339" s="36" t="s">
        <v>6549</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6550</v>
      </c>
      <c r="C340" s="4"/>
      <c r="D340" s="4"/>
      <c r="E340" s="4"/>
      <c r="F340" s="4"/>
      <c r="G340" s="4"/>
      <c r="H340" s="2380"/>
      <c r="I340" s="2380"/>
      <c r="J340" s="2380"/>
      <c r="K340" s="2380"/>
      <c r="L340" s="2380"/>
      <c r="M340" s="2380"/>
      <c r="N340" s="1482"/>
      <c r="O340" s="132"/>
      <c r="P340" s="492"/>
      <c r="Q340" s="548"/>
    </row>
    <row r="341" spans="1:44" ht="21.75" customHeight="1">
      <c r="A341" s="142" t="s">
        <v>1842</v>
      </c>
      <c r="B341" s="4005" t="s">
        <v>6695</v>
      </c>
      <c r="C341" s="4005"/>
      <c r="D341" s="4005"/>
      <c r="E341" s="4005"/>
      <c r="F341" s="4005"/>
      <c r="G341" s="4005"/>
      <c r="H341" s="4005"/>
      <c r="I341" s="4005"/>
      <c r="J341" s="4005"/>
      <c r="K341" s="4005"/>
      <c r="L341" s="4005"/>
      <c r="M341" s="4005"/>
      <c r="N341" s="4005"/>
      <c r="O341" s="163" t="s">
        <v>1842</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72</v>
      </c>
      <c r="F343" s="52" t="s">
        <v>3898</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5" t="s">
        <v>6696</v>
      </c>
      <c r="C344" s="4005"/>
      <c r="D344" s="4005"/>
      <c r="E344" s="4005"/>
      <c r="F344" s="4005"/>
      <c r="G344" s="4005"/>
      <c r="H344" s="4005"/>
      <c r="I344" s="4005"/>
      <c r="J344" s="4005"/>
      <c r="K344" s="4005"/>
      <c r="L344" s="4005"/>
      <c r="M344" s="4005"/>
      <c r="N344" s="4005"/>
      <c r="O344" s="163" t="s">
        <v>1844</v>
      </c>
      <c r="P344" s="1160"/>
      <c r="Q344" s="1161"/>
    </row>
    <row r="345" spans="1:44" s="148" customFormat="1">
      <c r="A345" s="142"/>
      <c r="B345" s="1546"/>
      <c r="C345" s="52" t="s">
        <v>1668</v>
      </c>
      <c r="D345" s="52"/>
      <c r="E345" s="1966">
        <f>'Part V-Revenues &amp; Expenses'!$P$67</f>
        <v>72</v>
      </c>
      <c r="F345" s="52" t="s">
        <v>6698</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5" t="s">
        <v>6697</v>
      </c>
      <c r="C346" s="4005"/>
      <c r="D346" s="4005"/>
      <c r="E346" s="4005"/>
      <c r="F346" s="4005"/>
      <c r="G346" s="4005"/>
      <c r="H346" s="4005"/>
      <c r="I346" s="4005"/>
      <c r="J346" s="4005"/>
      <c r="K346" s="4005"/>
      <c r="L346" s="4005"/>
      <c r="M346" s="4005"/>
      <c r="N346" s="4005"/>
      <c r="O346" s="163" t="s">
        <v>698</v>
      </c>
      <c r="P346" s="2395"/>
      <c r="Q346" s="2396"/>
    </row>
    <row r="347" spans="1:44" s="68" customFormat="1" ht="14.1" customHeight="1">
      <c r="A347" s="2378"/>
      <c r="B347" s="869" t="s">
        <v>1615</v>
      </c>
      <c r="C347" s="1064" t="s">
        <v>6551</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72</v>
      </c>
      <c r="F348" s="52" t="s">
        <v>3898</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5" t="s">
        <v>7041</v>
      </c>
      <c r="B350" s="4016"/>
      <c r="C350" s="4016"/>
      <c r="D350" s="4016"/>
      <c r="E350" s="4016"/>
      <c r="F350" s="4016"/>
      <c r="G350" s="4016"/>
      <c r="H350" s="4016"/>
      <c r="I350" s="4016"/>
      <c r="J350" s="4016"/>
      <c r="K350" s="4016"/>
      <c r="L350" s="4016"/>
      <c r="M350" s="4016"/>
      <c r="N350" s="4016"/>
      <c r="O350" s="4016"/>
      <c r="P350" s="4016"/>
      <c r="Q350" s="4017"/>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2"/>
      <c r="B352" s="4013"/>
      <c r="C352" s="4013"/>
      <c r="D352" s="4013"/>
      <c r="E352" s="4013"/>
      <c r="F352" s="4013"/>
      <c r="G352" s="4013"/>
      <c r="H352" s="4013"/>
      <c r="I352" s="4013"/>
      <c r="J352" s="4013"/>
      <c r="K352" s="4013"/>
      <c r="L352" s="4013"/>
      <c r="M352" s="4013"/>
      <c r="N352" s="4013"/>
      <c r="O352" s="4013"/>
      <c r="P352" s="4013"/>
      <c r="Q352" s="4014"/>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9"/>
      <c r="Q354" s="4008"/>
    </row>
    <row r="355" spans="1:32" ht="10.5" customHeight="1">
      <c r="A355" s="47" t="s">
        <v>1842</v>
      </c>
      <c r="B355" s="135" t="s">
        <v>3361</v>
      </c>
      <c r="D355" s="151"/>
      <c r="E355" s="151"/>
      <c r="F355" s="151"/>
      <c r="G355" s="151"/>
      <c r="H355" s="478" t="s">
        <v>1842</v>
      </c>
      <c r="I355" s="4180"/>
      <c r="J355" s="4181"/>
      <c r="K355" s="4181"/>
      <c r="L355" s="4181"/>
      <c r="M355" s="4181"/>
      <c r="N355" s="4181"/>
      <c r="O355" s="4181"/>
      <c r="P355" s="4182"/>
      <c r="Q355" s="549"/>
    </row>
    <row r="356" spans="1:32" ht="10.5" customHeight="1">
      <c r="A356" s="142" t="s">
        <v>1844</v>
      </c>
      <c r="B356" s="135" t="s">
        <v>3362</v>
      </c>
      <c r="D356" s="151"/>
      <c r="E356" s="151"/>
      <c r="F356" s="151"/>
      <c r="G356" s="151"/>
      <c r="H356" s="163" t="s">
        <v>1844</v>
      </c>
      <c r="I356" s="4055"/>
      <c r="J356" s="4056"/>
      <c r="K356" s="4056"/>
      <c r="L356" s="4056"/>
      <c r="M356" s="4056"/>
      <c r="N356" s="4056"/>
      <c r="O356" s="4056"/>
      <c r="P356" s="4057"/>
      <c r="Q356" s="551"/>
    </row>
    <row r="357" spans="1:32" ht="21.75" customHeight="1">
      <c r="A357" s="142" t="s">
        <v>698</v>
      </c>
      <c r="B357" s="4023" t="s">
        <v>3353</v>
      </c>
      <c r="C357" s="4023"/>
      <c r="D357" s="4023"/>
      <c r="E357" s="4023"/>
      <c r="F357" s="4023"/>
      <c r="G357" s="4023"/>
      <c r="H357" s="4023"/>
      <c r="I357" s="4023"/>
      <c r="J357" s="4023"/>
      <c r="K357" s="4023"/>
      <c r="L357" s="4023"/>
      <c r="M357" s="4023"/>
      <c r="N357" s="4023"/>
      <c r="O357" s="163" t="s">
        <v>698</v>
      </c>
      <c r="P357" s="1063"/>
      <c r="Q357" s="1157"/>
    </row>
    <row r="358" spans="1:32" ht="21.75" customHeight="1">
      <c r="A358" s="142" t="s">
        <v>1963</v>
      </c>
      <c r="B358" s="4005" t="s">
        <v>3354</v>
      </c>
      <c r="C358" s="4005"/>
      <c r="D358" s="4005"/>
      <c r="E358" s="4005"/>
      <c r="F358" s="4005"/>
      <c r="G358" s="4005"/>
      <c r="H358" s="4005"/>
      <c r="I358" s="4005"/>
      <c r="J358" s="4005"/>
      <c r="K358" s="4005"/>
      <c r="L358" s="4005"/>
      <c r="M358" s="4005"/>
      <c r="N358" s="4005"/>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5" t="s">
        <v>3356</v>
      </c>
      <c r="C360" s="4005"/>
      <c r="D360" s="4005"/>
      <c r="E360" s="4005"/>
      <c r="F360" s="4005"/>
      <c r="G360" s="4005"/>
      <c r="H360" s="4005"/>
      <c r="I360" s="4005"/>
      <c r="J360" s="4005"/>
      <c r="K360" s="4005"/>
      <c r="L360" s="4005"/>
      <c r="M360" s="4005"/>
      <c r="N360" s="4005"/>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5" t="s">
        <v>3358</v>
      </c>
      <c r="C363" s="4005"/>
      <c r="D363" s="4005"/>
      <c r="E363" s="4005"/>
      <c r="F363" s="4005"/>
      <c r="G363" s="4005"/>
      <c r="H363" s="4005"/>
      <c r="I363" s="4005"/>
      <c r="J363" s="4005"/>
      <c r="K363" s="4005"/>
      <c r="L363" s="4005"/>
      <c r="M363" s="4005"/>
      <c r="N363" s="4005"/>
      <c r="O363" s="163" t="s">
        <v>3006</v>
      </c>
      <c r="P363" s="1158"/>
      <c r="Q363" s="1142"/>
    </row>
    <row r="364" spans="1:32" ht="33" customHeight="1">
      <c r="A364" s="142" t="s">
        <v>573</v>
      </c>
      <c r="B364" s="4005" t="s">
        <v>3359</v>
      </c>
      <c r="C364" s="4005"/>
      <c r="D364" s="4005"/>
      <c r="E364" s="4005"/>
      <c r="F364" s="4005"/>
      <c r="G364" s="4005"/>
      <c r="H364" s="4005"/>
      <c r="I364" s="4005"/>
      <c r="J364" s="4005"/>
      <c r="K364" s="4005"/>
      <c r="L364" s="4005"/>
      <c r="M364" s="4005"/>
      <c r="N364" s="4005"/>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5" t="s">
        <v>6991</v>
      </c>
      <c r="B366" s="4016"/>
      <c r="C366" s="4016"/>
      <c r="D366" s="4016"/>
      <c r="E366" s="4016"/>
      <c r="F366" s="4016"/>
      <c r="G366" s="4016"/>
      <c r="H366" s="4016"/>
      <c r="I366" s="4016"/>
      <c r="J366" s="4016"/>
      <c r="K366" s="4016"/>
      <c r="L366" s="4016"/>
      <c r="M366" s="4016"/>
      <c r="N366" s="4016"/>
      <c r="O366" s="4016"/>
      <c r="P366" s="4016"/>
      <c r="Q366" s="4017"/>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2"/>
      <c r="B368" s="4013"/>
      <c r="C368" s="4013"/>
      <c r="D368" s="4013"/>
      <c r="E368" s="4013"/>
      <c r="F368" s="4013"/>
      <c r="G368" s="4013"/>
      <c r="H368" s="4013"/>
      <c r="I368" s="4013"/>
      <c r="J368" s="4013"/>
      <c r="K368" s="4013"/>
      <c r="L368" s="4013"/>
      <c r="M368" s="4013"/>
      <c r="N368" s="4013"/>
      <c r="O368" s="4013"/>
      <c r="P368" s="4013"/>
      <c r="Q368" s="4014"/>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7"/>
      <c r="Q371" s="4008"/>
      <c r="AF371" s="35"/>
    </row>
    <row r="372" spans="1:32" ht="11.45" customHeight="1">
      <c r="A372" s="47" t="s">
        <v>1842</v>
      </c>
      <c r="B372" s="118" t="s">
        <v>971</v>
      </c>
      <c r="E372" s="4062"/>
      <c r="F372" s="4063"/>
      <c r="G372" s="4063"/>
      <c r="H372" s="4063"/>
      <c r="I372" s="4064"/>
      <c r="J372" s="4065" t="s">
        <v>2438</v>
      </c>
      <c r="K372" s="4066"/>
      <c r="L372" s="4067"/>
      <c r="M372" s="4062"/>
      <c r="N372" s="4063"/>
      <c r="O372" s="4063"/>
      <c r="P372" s="4063"/>
      <c r="Q372" s="4064"/>
      <c r="AF372" s="35"/>
    </row>
    <row r="373" spans="1:32" s="133" customFormat="1" ht="22.5" customHeight="1">
      <c r="A373" s="142" t="s">
        <v>1844</v>
      </c>
      <c r="B373" s="4005" t="s">
        <v>3084</v>
      </c>
      <c r="C373" s="4005"/>
      <c r="D373" s="4005"/>
      <c r="E373" s="4005"/>
      <c r="F373" s="4005"/>
      <c r="G373" s="4005"/>
      <c r="H373" s="4005"/>
      <c r="I373" s="4005"/>
      <c r="J373" s="4005"/>
      <c r="K373" s="4005"/>
      <c r="L373" s="4005"/>
      <c r="M373" s="4005"/>
      <c r="N373" s="4005"/>
      <c r="O373" s="163" t="s">
        <v>1844</v>
      </c>
      <c r="P373" s="2048"/>
      <c r="Q373" s="2047"/>
      <c r="AE373" s="481"/>
    </row>
    <row r="374" spans="1:32">
      <c r="A374" s="142" t="s">
        <v>698</v>
      </c>
      <c r="B374" s="55" t="s">
        <v>3204</v>
      </c>
      <c r="G374" s="1135"/>
      <c r="H374" s="1135"/>
      <c r="I374" s="1135"/>
      <c r="J374" s="878" t="s">
        <v>3205</v>
      </c>
      <c r="L374" s="1135"/>
      <c r="M374" s="4068">
        <f>'Part II-Sources of Funds'!I6</f>
        <v>0</v>
      </c>
      <c r="N374" s="4069"/>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5" t="s">
        <v>6946</v>
      </c>
      <c r="B376" s="4016"/>
      <c r="C376" s="4016"/>
      <c r="D376" s="4016"/>
      <c r="E376" s="4016"/>
      <c r="F376" s="4016"/>
      <c r="G376" s="4016"/>
      <c r="H376" s="4016"/>
      <c r="I376" s="4016"/>
      <c r="J376" s="4016"/>
      <c r="K376" s="4016"/>
      <c r="L376" s="4016"/>
      <c r="M376" s="4016"/>
      <c r="N376" s="4016"/>
      <c r="O376" s="4016"/>
      <c r="P376" s="4016"/>
      <c r="Q376" s="4017"/>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2"/>
      <c r="B378" s="4013"/>
      <c r="C378" s="4013"/>
      <c r="D378" s="4013"/>
      <c r="E378" s="4013"/>
      <c r="F378" s="4013"/>
      <c r="G378" s="4013"/>
      <c r="H378" s="4013"/>
      <c r="I378" s="4013"/>
      <c r="J378" s="4013"/>
      <c r="K378" s="4013"/>
      <c r="L378" s="4013"/>
      <c r="M378" s="4013"/>
      <c r="N378" s="4013"/>
      <c r="O378" s="4013"/>
      <c r="P378" s="4013"/>
      <c r="Q378" s="4014"/>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07"/>
      <c r="Q380" s="4058"/>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8"/>
      <c r="I385" s="4019"/>
      <c r="J385" s="4019"/>
      <c r="K385" s="4019"/>
      <c r="L385" s="4019"/>
      <c r="M385" s="4019"/>
      <c r="N385" s="4019"/>
      <c r="O385" s="4020"/>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5" t="s">
        <v>6947</v>
      </c>
      <c r="B387" s="4016"/>
      <c r="C387" s="4016"/>
      <c r="D387" s="4016"/>
      <c r="E387" s="4016"/>
      <c r="F387" s="4016"/>
      <c r="G387" s="4016"/>
      <c r="H387" s="4016"/>
      <c r="I387" s="4016"/>
      <c r="J387" s="4016"/>
      <c r="K387" s="4016"/>
      <c r="L387" s="4016"/>
      <c r="M387" s="4016"/>
      <c r="N387" s="4016"/>
      <c r="O387" s="4016"/>
      <c r="P387" s="4016"/>
      <c r="Q387" s="4017"/>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2"/>
      <c r="B389" s="4013"/>
      <c r="C389" s="4013"/>
      <c r="D389" s="4013"/>
      <c r="E389" s="4013"/>
      <c r="F389" s="4013"/>
      <c r="G389" s="4013"/>
      <c r="H389" s="4013"/>
      <c r="I389" s="4013"/>
      <c r="J389" s="4013"/>
      <c r="K389" s="4013"/>
      <c r="L389" s="4013"/>
      <c r="M389" s="4013"/>
      <c r="N389" s="4013"/>
      <c r="O389" s="4013"/>
      <c r="P389" s="4013"/>
      <c r="Q389" s="4014"/>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021"/>
      <c r="Q391" s="4022"/>
      <c r="AF391" s="35"/>
    </row>
    <row r="392" spans="1:32" ht="12" customHeight="1">
      <c r="B392" s="55" t="s">
        <v>6258</v>
      </c>
      <c r="O392" s="65"/>
      <c r="P392" s="492" t="s">
        <v>2654</v>
      </c>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1"/>
      <c r="Q395" s="4099"/>
      <c r="AF395" s="35"/>
    </row>
    <row r="396" spans="1:32" ht="12" customHeight="1">
      <c r="A396" s="47"/>
      <c r="D396" s="52" t="s">
        <v>6507</v>
      </c>
      <c r="E396" s="52"/>
      <c r="F396" s="52"/>
      <c r="G396" s="52"/>
      <c r="H396" s="52"/>
      <c r="I396" s="52"/>
      <c r="J396" s="52"/>
      <c r="K396" s="52"/>
      <c r="L396" s="52"/>
      <c r="M396" s="52"/>
      <c r="N396" s="42"/>
      <c r="O396" s="1768"/>
      <c r="P396" s="4102"/>
      <c r="Q396" s="4100"/>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5" t="s">
        <v>6158</v>
      </c>
      <c r="D400" s="4005"/>
      <c r="E400" s="4005"/>
      <c r="F400" s="4005"/>
      <c r="G400" s="135" t="s">
        <v>3947</v>
      </c>
      <c r="J400" s="919"/>
      <c r="K400" s="556"/>
      <c r="M400" s="135" t="s">
        <v>6232</v>
      </c>
      <c r="P400" s="2316"/>
      <c r="Q400" s="2317"/>
    </row>
    <row r="401" spans="1:44" ht="12" customHeight="1">
      <c r="A401" s="47"/>
      <c r="C401" s="4005"/>
      <c r="D401" s="4005"/>
      <c r="E401" s="4005"/>
      <c r="F401" s="4005"/>
      <c r="G401" s="135" t="s">
        <v>6231</v>
      </c>
      <c r="J401" s="920"/>
      <c r="K401" s="557"/>
      <c r="M401" s="135" t="s">
        <v>6233</v>
      </c>
      <c r="P401" s="920"/>
      <c r="Q401" s="557"/>
    </row>
    <row r="402" spans="1:44" ht="8.25" customHeight="1">
      <c r="A402" s="47"/>
      <c r="C402" s="4005"/>
      <c r="D402" s="4005"/>
      <c r="E402" s="4005"/>
      <c r="F402" s="4005"/>
      <c r="J402" s="1959"/>
      <c r="L402" s="878"/>
      <c r="M402" s="42"/>
      <c r="N402" s="478"/>
    </row>
    <row r="403" spans="1:44" s="94" customFormat="1" ht="12.75" customHeight="1">
      <c r="A403" s="139"/>
      <c r="B403" s="192"/>
      <c r="D403" s="1141"/>
      <c r="E403" s="1141"/>
      <c r="F403" s="1141"/>
      <c r="G403" s="1141"/>
      <c r="H403" s="1141"/>
      <c r="I403" s="4009" t="s">
        <v>6188</v>
      </c>
      <c r="J403" s="4009" t="s">
        <v>6189</v>
      </c>
      <c r="K403" s="4009" t="s">
        <v>6191</v>
      </c>
      <c r="L403" s="4009"/>
      <c r="M403" s="4009"/>
      <c r="N403" s="4048" t="s">
        <v>6190</v>
      </c>
      <c r="O403" s="478"/>
      <c r="P403" s="4174" t="s">
        <v>6706</v>
      </c>
      <c r="Q403" s="4174"/>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2"/>
      <c r="J404" s="4009"/>
      <c r="K404" s="4009"/>
      <c r="L404" s="4009"/>
      <c r="M404" s="4009"/>
      <c r="N404" s="4049"/>
      <c r="O404" s="478"/>
      <c r="P404" s="4175"/>
      <c r="Q404" s="4175"/>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5" t="s">
        <v>6302</v>
      </c>
      <c r="D405" s="4005"/>
      <c r="E405" s="4005"/>
      <c r="F405" s="4005"/>
      <c r="G405" s="4005"/>
      <c r="H405" s="4005"/>
      <c r="I405" s="1918">
        <f>K290</f>
        <v>4</v>
      </c>
      <c r="J405" s="2318"/>
      <c r="K405" s="4010"/>
      <c r="L405" s="4010"/>
      <c r="M405" s="4011"/>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5"/>
      <c r="D406" s="4005"/>
      <c r="E406" s="4005"/>
      <c r="F406" s="4005"/>
      <c r="G406" s="4005"/>
      <c r="H406" s="4005"/>
      <c r="I406" s="2043"/>
      <c r="J406" s="2319"/>
      <c r="K406" s="4050"/>
      <c r="L406" s="4050"/>
      <c r="M406" s="4051"/>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010"/>
      <c r="L408" s="4010"/>
      <c r="M408" s="4011"/>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50"/>
      <c r="L409" s="4050"/>
      <c r="M409" s="4051"/>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5" t="s">
        <v>6303</v>
      </c>
      <c r="D411" s="4005"/>
      <c r="E411" s="4005"/>
      <c r="F411" s="4005"/>
      <c r="G411" s="4005"/>
      <c r="H411" s="4005"/>
      <c r="I411" s="1918">
        <f>K293</f>
        <v>2</v>
      </c>
      <c r="J411" s="2318"/>
      <c r="K411" s="4010"/>
      <c r="L411" s="4010"/>
      <c r="M411" s="4011"/>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5"/>
      <c r="D412" s="4005"/>
      <c r="E412" s="4005"/>
      <c r="F412" s="4005"/>
      <c r="G412" s="4005"/>
      <c r="H412" s="4005"/>
      <c r="J412" s="2319"/>
      <c r="K412" s="4050"/>
      <c r="L412" s="4050"/>
      <c r="M412" s="4051"/>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1647</v>
      </c>
      <c r="Q415" s="548" t="s">
        <v>1647</v>
      </c>
    </row>
    <row r="416" spans="1:44" ht="12" customHeight="1">
      <c r="A416" s="42"/>
      <c r="B416" s="148"/>
      <c r="D416" s="4006" t="s">
        <v>6236</v>
      </c>
      <c r="E416" s="1506" t="s">
        <v>2264</v>
      </c>
      <c r="F416" s="457" t="s">
        <v>3289</v>
      </c>
      <c r="G416" s="4001"/>
      <c r="H416" s="4002"/>
      <c r="I416" s="4002"/>
      <c r="J416" s="4002"/>
      <c r="K416" s="4003"/>
      <c r="L416" s="1506"/>
    </row>
    <row r="417" spans="1:32" ht="12" customHeight="1">
      <c r="B417" s="148"/>
      <c r="D417" s="4006"/>
      <c r="E417" s="1506" t="s">
        <v>3944</v>
      </c>
      <c r="F417" s="457" t="s">
        <v>3945</v>
      </c>
      <c r="G417" s="4059" t="s">
        <v>3207</v>
      </c>
      <c r="H417" s="4060"/>
      <c r="I417" s="4061"/>
      <c r="J417" s="457" t="s">
        <v>3806</v>
      </c>
      <c r="K417" s="148"/>
      <c r="M417" s="4001"/>
      <c r="N417" s="4002"/>
      <c r="O417" s="4002"/>
      <c r="P417" s="4002"/>
      <c r="Q417" s="4003"/>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052"/>
      <c r="C419" s="4053"/>
      <c r="D419" s="4053"/>
      <c r="E419" s="4053"/>
      <c r="F419" s="4053"/>
      <c r="G419" s="4053"/>
      <c r="H419" s="4053"/>
      <c r="I419" s="4053"/>
      <c r="J419" s="4053"/>
      <c r="K419" s="4053"/>
      <c r="L419" s="4053"/>
      <c r="M419" s="4053"/>
      <c r="N419" s="4053"/>
      <c r="O419" s="4053"/>
      <c r="P419" s="4053"/>
      <c r="Q419" s="4054"/>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4" t="s">
        <v>4038</v>
      </c>
      <c r="C421" s="4005"/>
      <c r="D421" s="4005"/>
      <c r="E421" s="4005"/>
      <c r="F421" s="4005"/>
      <c r="G421" s="4005"/>
      <c r="H421" s="4005"/>
      <c r="I421" s="4005"/>
      <c r="J421" s="4005"/>
      <c r="K421" s="4005"/>
      <c r="L421" s="4005"/>
      <c r="M421" s="4005"/>
      <c r="N421" s="4005"/>
      <c r="T421" s="482"/>
      <c r="AE421" s="482"/>
      <c r="AF421" s="482"/>
    </row>
    <row r="422" spans="1:32" s="148" customFormat="1" ht="45" customHeight="1">
      <c r="B422" s="4005" t="s">
        <v>6552</v>
      </c>
      <c r="C422" s="4005"/>
      <c r="D422" s="4005"/>
      <c r="E422" s="4005"/>
      <c r="F422" s="4005"/>
      <c r="G422" s="4005"/>
      <c r="H422" s="4005"/>
      <c r="I422" s="4005"/>
      <c r="J422" s="4005"/>
      <c r="K422" s="4005"/>
      <c r="L422" s="4005"/>
      <c r="M422" s="4005"/>
      <c r="N422" s="4005"/>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5" t="s">
        <v>6948</v>
      </c>
      <c r="B424" s="4016"/>
      <c r="C424" s="4016"/>
      <c r="D424" s="4016"/>
      <c r="E424" s="4016"/>
      <c r="F424" s="4016"/>
      <c r="G424" s="4016"/>
      <c r="H424" s="4016"/>
      <c r="I424" s="4016"/>
      <c r="J424" s="4016"/>
      <c r="K424" s="4016"/>
      <c r="L424" s="4016"/>
      <c r="M424" s="4016"/>
      <c r="N424" s="4016"/>
      <c r="O424" s="4016"/>
      <c r="P424" s="4016"/>
      <c r="Q424" s="4017"/>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2"/>
      <c r="B426" s="4013"/>
      <c r="C426" s="4013"/>
      <c r="D426" s="4013"/>
      <c r="E426" s="4013"/>
      <c r="F426" s="4013"/>
      <c r="G426" s="4013"/>
      <c r="H426" s="4013"/>
      <c r="I426" s="4013"/>
      <c r="J426" s="4013"/>
      <c r="K426" s="4013"/>
      <c r="L426" s="4013"/>
      <c r="M426" s="4013"/>
      <c r="N426" s="4013"/>
      <c r="O426" s="4013"/>
      <c r="P426" s="4013"/>
      <c r="Q426" s="4014"/>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07"/>
      <c r="Q428" s="4008"/>
    </row>
    <row r="429" spans="1:32" ht="14.1" customHeight="1">
      <c r="B429" s="87" t="s">
        <v>3901</v>
      </c>
      <c r="C429" s="4"/>
      <c r="D429" s="87"/>
      <c r="E429" s="1133"/>
      <c r="F429" s="1133"/>
      <c r="G429" s="1133"/>
      <c r="H429" s="1133"/>
    </row>
    <row r="430" spans="1:32" s="133" customFormat="1" ht="21.75" customHeight="1">
      <c r="A430" s="142" t="s">
        <v>1842</v>
      </c>
      <c r="B430" s="4000" t="s">
        <v>3314</v>
      </c>
      <c r="C430" s="4000"/>
      <c r="D430" s="4000"/>
      <c r="E430" s="4000"/>
      <c r="F430" s="4000"/>
      <c r="G430" s="4000"/>
      <c r="H430" s="4000"/>
      <c r="I430" s="4000"/>
      <c r="J430" s="4000"/>
      <c r="K430" s="4000"/>
      <c r="L430" s="4000"/>
      <c r="M430" s="4000"/>
      <c r="N430" s="4000"/>
      <c r="O430" s="163" t="s">
        <v>1842</v>
      </c>
      <c r="P430" s="1143" t="s">
        <v>6922</v>
      </c>
      <c r="Q430" s="1142"/>
      <c r="AE430" s="481"/>
      <c r="AF430" s="481"/>
    </row>
    <row r="431" spans="1:32" s="133" customFormat="1" ht="22.5" customHeight="1">
      <c r="A431" s="142" t="s">
        <v>1844</v>
      </c>
      <c r="B431" s="4000" t="s">
        <v>3313</v>
      </c>
      <c r="C431" s="4000"/>
      <c r="D431" s="4000"/>
      <c r="E431" s="4000"/>
      <c r="F431" s="4000"/>
      <c r="G431" s="4000"/>
      <c r="H431" s="4000"/>
      <c r="I431" s="4000"/>
      <c r="J431" s="4000"/>
      <c r="K431" s="4000"/>
      <c r="L431" s="4000"/>
      <c r="M431" s="4000"/>
      <c r="N431" s="4000"/>
      <c r="O431" s="163" t="s">
        <v>1844</v>
      </c>
      <c r="P431" s="561" t="s">
        <v>6922</v>
      </c>
      <c r="Q431" s="552"/>
      <c r="AE431" s="481"/>
      <c r="AF431" s="481"/>
    </row>
    <row r="432" spans="1:32" s="133" customFormat="1" ht="22.5" customHeight="1">
      <c r="B432" s="1546" t="s">
        <v>1615</v>
      </c>
      <c r="C432" s="4000" t="s">
        <v>3871</v>
      </c>
      <c r="D432" s="4000"/>
      <c r="E432" s="4000"/>
      <c r="F432" s="4000"/>
      <c r="G432" s="4000"/>
      <c r="H432" s="4000"/>
      <c r="I432" s="4000"/>
      <c r="J432" s="4000"/>
      <c r="K432" s="4000"/>
      <c r="L432" s="4000"/>
      <c r="M432" s="4000"/>
      <c r="N432" s="4000"/>
      <c r="O432" s="163" t="s">
        <v>1615</v>
      </c>
      <c r="P432" s="561" t="s">
        <v>6922</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6922</v>
      </c>
      <c r="Q433" s="550"/>
      <c r="AE433" s="50"/>
      <c r="AF433" s="50"/>
    </row>
    <row r="434" spans="1:32" s="133" customFormat="1" ht="33" customHeight="1">
      <c r="B434" s="491" t="s">
        <v>1617</v>
      </c>
      <c r="C434" s="4000" t="s">
        <v>3873</v>
      </c>
      <c r="D434" s="4000"/>
      <c r="E434" s="4000"/>
      <c r="F434" s="4000"/>
      <c r="G434" s="4000"/>
      <c r="H434" s="4000"/>
      <c r="I434" s="4000"/>
      <c r="J434" s="4000"/>
      <c r="K434" s="4000"/>
      <c r="L434" s="4000"/>
      <c r="M434" s="4000"/>
      <c r="N434" s="4000"/>
      <c r="O434" s="163" t="s">
        <v>1617</v>
      </c>
      <c r="P434" s="561" t="s">
        <v>6922</v>
      </c>
      <c r="Q434" s="552"/>
      <c r="AE434" s="481"/>
      <c r="AF434" s="481"/>
    </row>
    <row r="435" spans="1:32" s="133" customFormat="1" ht="22.5" customHeight="1">
      <c r="B435" s="491" t="s">
        <v>2183</v>
      </c>
      <c r="C435" s="4000" t="s">
        <v>3874</v>
      </c>
      <c r="D435" s="4000"/>
      <c r="E435" s="4000"/>
      <c r="F435" s="4000"/>
      <c r="G435" s="4000"/>
      <c r="H435" s="4000"/>
      <c r="I435" s="4000"/>
      <c r="J435" s="4000"/>
      <c r="K435" s="4000"/>
      <c r="L435" s="4000"/>
      <c r="M435" s="4000"/>
      <c r="N435" s="4000"/>
      <c r="O435" s="163" t="s">
        <v>2183</v>
      </c>
      <c r="P435" s="561" t="s">
        <v>6922</v>
      </c>
      <c r="Q435" s="552"/>
      <c r="AE435" s="481"/>
      <c r="AF435" s="481"/>
    </row>
    <row r="436" spans="1:32" s="133" customFormat="1" ht="22.5" customHeight="1">
      <c r="A436" s="142" t="s">
        <v>698</v>
      </c>
      <c r="B436" s="4000" t="s">
        <v>3315</v>
      </c>
      <c r="C436" s="4000"/>
      <c r="D436" s="4000"/>
      <c r="E436" s="4000"/>
      <c r="F436" s="4000"/>
      <c r="G436" s="4000"/>
      <c r="H436" s="4000"/>
      <c r="I436" s="4000"/>
      <c r="J436" s="4000"/>
      <c r="K436" s="4000"/>
      <c r="L436" s="4000"/>
      <c r="M436" s="4000"/>
      <c r="N436" s="4000"/>
      <c r="O436" s="163" t="s">
        <v>698</v>
      </c>
      <c r="P436" s="561" t="s">
        <v>6922</v>
      </c>
      <c r="Q436" s="552"/>
      <c r="AE436" s="481"/>
      <c r="AF436" s="481"/>
    </row>
    <row r="437" spans="1:32" s="133" customFormat="1" ht="22.5" customHeight="1">
      <c r="A437" s="142" t="s">
        <v>1963</v>
      </c>
      <c r="B437" s="4000" t="s">
        <v>3922</v>
      </c>
      <c r="C437" s="4000"/>
      <c r="D437" s="4000"/>
      <c r="E437" s="4000"/>
      <c r="F437" s="4000"/>
      <c r="G437" s="4000"/>
      <c r="H437" s="4000"/>
      <c r="I437" s="4000"/>
      <c r="J437" s="4000"/>
      <c r="K437" s="4000"/>
      <c r="L437" s="4000"/>
      <c r="M437" s="4000"/>
      <c r="N437" s="4000"/>
      <c r="O437" s="163" t="s">
        <v>1963</v>
      </c>
      <c r="P437" s="561" t="s">
        <v>6922</v>
      </c>
      <c r="Q437" s="552"/>
      <c r="AE437" s="481"/>
      <c r="AF437" s="481"/>
    </row>
    <row r="438" spans="1:32" s="133" customFormat="1" ht="21.75" customHeight="1">
      <c r="A438" s="142" t="s">
        <v>1613</v>
      </c>
      <c r="B438" s="4000" t="s">
        <v>3923</v>
      </c>
      <c r="C438" s="4000"/>
      <c r="D438" s="4000"/>
      <c r="E438" s="4000"/>
      <c r="F438" s="4000"/>
      <c r="G438" s="4000"/>
      <c r="H438" s="4000"/>
      <c r="I438" s="4000"/>
      <c r="J438" s="4000"/>
      <c r="K438" s="4000"/>
      <c r="L438" s="4000"/>
      <c r="M438" s="4000"/>
      <c r="N438" s="4000"/>
      <c r="O438" s="163" t="s">
        <v>1613</v>
      </c>
      <c r="P438" s="561" t="s">
        <v>6922</v>
      </c>
      <c r="Q438" s="552"/>
      <c r="AE438" s="481"/>
      <c r="AF438" s="481"/>
    </row>
    <row r="439" spans="1:32" s="438" customFormat="1" ht="21.75" customHeight="1">
      <c r="A439" s="142" t="s">
        <v>1614</v>
      </c>
      <c r="B439" s="4000" t="s">
        <v>3956</v>
      </c>
      <c r="C439" s="4000"/>
      <c r="D439" s="4000"/>
      <c r="E439" s="4000"/>
      <c r="F439" s="4000"/>
      <c r="G439" s="4000"/>
      <c r="H439" s="4000"/>
      <c r="I439" s="4000"/>
      <c r="J439" s="4000"/>
      <c r="K439" s="4000"/>
      <c r="L439" s="4000"/>
      <c r="M439" s="4000"/>
      <c r="N439" s="4000"/>
      <c r="O439" s="163" t="s">
        <v>1614</v>
      </c>
      <c r="P439" s="1174" t="s">
        <v>6922</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5" t="s">
        <v>6949</v>
      </c>
      <c r="B441" s="4016"/>
      <c r="C441" s="4016"/>
      <c r="D441" s="4016"/>
      <c r="E441" s="4016"/>
      <c r="F441" s="4016"/>
      <c r="G441" s="4016"/>
      <c r="H441" s="4016"/>
      <c r="I441" s="4016"/>
      <c r="J441" s="4016"/>
      <c r="K441" s="4016"/>
      <c r="L441" s="4016"/>
      <c r="M441" s="4016"/>
      <c r="N441" s="4016"/>
      <c r="O441" s="4016"/>
      <c r="P441" s="4016"/>
      <c r="Q441" s="4017"/>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2"/>
      <c r="B443" s="4013"/>
      <c r="C443" s="4013"/>
      <c r="D443" s="4013"/>
      <c r="E443" s="4013"/>
      <c r="F443" s="4013"/>
      <c r="G443" s="4013"/>
      <c r="H443" s="4013"/>
      <c r="I443" s="4013"/>
      <c r="J443" s="4013"/>
      <c r="K443" s="4013"/>
      <c r="L443" s="4013"/>
      <c r="M443" s="4013"/>
      <c r="N443" s="4013"/>
      <c r="O443" s="4013"/>
      <c r="P443" s="4013"/>
      <c r="Q443" s="4014"/>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07"/>
      <c r="Q445" s="4008"/>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54" customHeight="1">
      <c r="A447" s="4015" t="s">
        <v>6950</v>
      </c>
      <c r="B447" s="4016"/>
      <c r="C447" s="4016"/>
      <c r="D447" s="4016"/>
      <c r="E447" s="4016"/>
      <c r="F447" s="4016"/>
      <c r="G447" s="4016"/>
      <c r="H447" s="4016"/>
      <c r="I447" s="4016"/>
      <c r="J447" s="4016"/>
      <c r="K447" s="4016"/>
      <c r="L447" s="4016"/>
      <c r="M447" s="4016"/>
      <c r="N447" s="4016"/>
      <c r="O447" s="4016"/>
      <c r="P447" s="4016"/>
      <c r="Q447" s="4017"/>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2"/>
      <c r="B449" s="4013"/>
      <c r="C449" s="4013"/>
      <c r="D449" s="4013"/>
      <c r="E449" s="4013"/>
      <c r="F449" s="4013"/>
      <c r="G449" s="4013"/>
      <c r="H449" s="4013"/>
      <c r="I449" s="4013"/>
      <c r="J449" s="4013"/>
      <c r="K449" s="4013"/>
      <c r="L449" s="4013"/>
      <c r="M449" s="4013"/>
      <c r="N449" s="4013"/>
      <c r="O449" s="4013"/>
      <c r="P449" s="4013"/>
      <c r="Q449" s="4014"/>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1966</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6536</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7" t="s">
        <v>6533</v>
      </c>
      <c r="B2" s="4207"/>
      <c r="C2" s="183"/>
      <c r="D2" s="1474">
        <v>2021</v>
      </c>
      <c r="E2" s="180"/>
      <c r="F2" s="4201" t="s">
        <v>3001</v>
      </c>
      <c r="G2" s="4202"/>
      <c r="H2" s="4202"/>
      <c r="I2" s="4202"/>
      <c r="J2" s="4203"/>
      <c r="K2" s="303"/>
      <c r="L2" s="580" t="s">
        <v>3144</v>
      </c>
      <c r="M2" s="303"/>
      <c r="N2" s="4201" t="s">
        <v>3001</v>
      </c>
      <c r="O2" s="4202"/>
      <c r="P2" s="4202"/>
      <c r="Q2" s="4202"/>
      <c r="R2" s="4203"/>
      <c r="S2" s="313"/>
      <c r="T2" s="180"/>
      <c r="U2" s="180"/>
      <c r="V2" s="970"/>
      <c r="W2" s="970"/>
      <c r="X2" s="970"/>
      <c r="AA2" s="523"/>
      <c r="AB2" s="523"/>
    </row>
    <row r="3" spans="1:28" s="293" customFormat="1" ht="11.45" customHeight="1">
      <c r="A3" s="4207"/>
      <c r="B3" s="4207"/>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7"/>
      <c r="B4" s="4207"/>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6534</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7"/>
      <c r="Q44" s="4008"/>
      <c r="AE44" s="128"/>
      <c r="AF44" s="128"/>
    </row>
    <row r="45" spans="1:295" s="35" customFormat="1" ht="11.25" customHeight="1">
      <c r="A45" s="4218"/>
      <c r="B45" s="4218"/>
      <c r="C45" s="4218"/>
      <c r="D45" s="4218"/>
      <c r="E45" s="4218"/>
      <c r="F45" s="1574"/>
      <c r="G45" s="4232" t="s">
        <v>2466</v>
      </c>
      <c r="H45" s="4233"/>
      <c r="I45" s="635"/>
      <c r="J45" s="42"/>
      <c r="K45" s="4234" t="s">
        <v>3167</v>
      </c>
      <c r="L45" s="4235"/>
      <c r="M45" s="4235"/>
      <c r="N45" s="4236"/>
      <c r="AE45" s="128"/>
      <c r="AF45" s="128"/>
    </row>
    <row r="46" spans="1:295" s="35" customFormat="1" ht="11.25" customHeight="1">
      <c r="A46" s="4218"/>
      <c r="B46" s="4218"/>
      <c r="C46" s="4218"/>
      <c r="D46" s="4218"/>
      <c r="E46" s="4218"/>
      <c r="F46" s="1574"/>
      <c r="G46" s="4237" t="s">
        <v>333</v>
      </c>
      <c r="H46" s="4238"/>
      <c r="I46" s="635"/>
      <c r="J46" s="42"/>
      <c r="K46" s="4210" t="s">
        <v>3168</v>
      </c>
      <c r="L46" s="4211"/>
      <c r="M46" s="4211"/>
      <c r="N46" s="4212"/>
      <c r="P46" s="533" t="s">
        <v>2475</v>
      </c>
      <c r="Q46" s="96"/>
      <c r="AE46" s="128"/>
      <c r="AF46" s="128"/>
    </row>
    <row r="47" spans="1:295" s="35" customFormat="1" ht="4.5" customHeight="1">
      <c r="A47" s="1574"/>
      <c r="B47" s="1574"/>
      <c r="C47" s="1574"/>
      <c r="D47" s="1574"/>
      <c r="E47" s="1574"/>
      <c r="F47" s="1574"/>
      <c r="G47" s="227"/>
      <c r="H47" s="227"/>
      <c r="I47" s="227"/>
      <c r="J47" s="42"/>
      <c r="K47" s="4213"/>
      <c r="L47" s="4213"/>
      <c r="M47" s="4213"/>
      <c r="N47" s="4213"/>
      <c r="P47" s="4216" t="s">
        <v>3940</v>
      </c>
      <c r="Q47" s="4216"/>
      <c r="AE47" s="128"/>
      <c r="AF47" s="128"/>
    </row>
    <row r="48" spans="1:295" s="83" customFormat="1" ht="10.5" customHeight="1">
      <c r="D48" s="636" t="s">
        <v>2465</v>
      </c>
      <c r="E48" s="35"/>
      <c r="F48" s="637" t="s">
        <v>3070</v>
      </c>
      <c r="G48" s="4205" t="s">
        <v>3897</v>
      </c>
      <c r="H48" s="4205"/>
      <c r="I48" s="4205"/>
      <c r="J48" s="35"/>
      <c r="K48" s="637" t="s">
        <v>3070</v>
      </c>
      <c r="L48" s="4205" t="s">
        <v>3896</v>
      </c>
      <c r="M48" s="4205"/>
      <c r="N48" s="4205"/>
      <c r="O48" s="35"/>
      <c r="P48" s="4216"/>
      <c r="Q48" s="4216"/>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9" t="s">
        <v>3000</v>
      </c>
      <c r="B49" s="4209"/>
      <c r="C49" s="4209"/>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17"/>
      <c r="Q49" s="4217"/>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9"/>
      <c r="B50" s="4209"/>
      <c r="C50" s="4209"/>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23" t="str">
        <f>IF('Part I-Project Identification'!$F$30="","",VLOOKUP('Part I-Project Identification'!$J$30,'DCA Underwriting Assumptions'!$G$136:$N$295,8,FALSE))</f>
        <v>Atlanta</v>
      </c>
      <c r="Q50" s="4224"/>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9"/>
      <c r="B51" s="4209"/>
      <c r="C51" s="4209"/>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25"/>
      <c r="Q51" s="4226"/>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9"/>
      <c r="B52" s="4209"/>
      <c r="C52" s="4209"/>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4174" t="s">
        <v>3941</v>
      </c>
      <c r="Q52" s="417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214">
        <f>'Part III-A-Uses of Funds'!$G$146</f>
        <v>18498933</v>
      </c>
      <c r="Q53" s="4215"/>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4" t="s">
        <v>3932</v>
      </c>
      <c r="Q54" s="4174"/>
      <c r="R54" s="4204" t="s">
        <v>6307</v>
      </c>
      <c r="S54" s="4204"/>
      <c r="T54" s="4204"/>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9" t="s">
        <v>2995</v>
      </c>
      <c r="B56" s="4209"/>
      <c r="C56" s="4209"/>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214">
        <f>'Part III-A-Uses of Funds'!$G$146-'Part III-A-Uses of Funds'!$G$92-'Part III-A-Uses of Funds'!$G$114-'Part III-A-Uses of Funds'!$G$130-'Part III-A-Uses of Funds'!$G$131-'Part III-A-Uses of Funds'!$G$132</f>
        <v>17611636</v>
      </c>
      <c r="Q56" s="4215"/>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9"/>
      <c r="B57" s="4209"/>
      <c r="C57" s="4209"/>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27" t="s">
        <v>3367</v>
      </c>
      <c r="Q57" s="4227"/>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9"/>
      <c r="B58" s="4209"/>
      <c r="C58" s="4209"/>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28"/>
      <c r="Q58" s="4229"/>
      <c r="R58" s="430"/>
      <c r="S58" s="4187" t="s">
        <v>3935</v>
      </c>
      <c r="T58" s="4188"/>
      <c r="U58" s="4188"/>
      <c r="V58" s="4189"/>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30"/>
      <c r="Q59" s="4231"/>
      <c r="S59" s="4190"/>
      <c r="T59" s="4191"/>
      <c r="U59" s="4191"/>
      <c r="V59" s="4192"/>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8" t="s">
        <v>3163</v>
      </c>
      <c r="Q60" s="4208"/>
      <c r="S60" s="4190"/>
      <c r="T60" s="4191"/>
      <c r="U60" s="4191"/>
      <c r="V60" s="4192"/>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90"/>
      <c r="T61" s="4191"/>
      <c r="U61" s="4191"/>
      <c r="V61" s="4192"/>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90"/>
      <c r="T62" s="4191"/>
      <c r="U62" s="4191"/>
      <c r="V62" s="4192"/>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190"/>
      <c r="T63" s="4191"/>
      <c r="U63" s="4191"/>
      <c r="V63" s="4192"/>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13</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13 units = </v>
      </c>
      <c r="I64" s="1573">
        <f>IF(F64="","",F64*G64)</f>
        <v>2436969.5999999996</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8" t="s">
        <v>3164</v>
      </c>
      <c r="Q64" s="4208"/>
      <c r="S64" s="4190"/>
      <c r="T64" s="4191"/>
      <c r="U64" s="4191"/>
      <c r="V64" s="4192"/>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37</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37 units = </v>
      </c>
      <c r="I65" s="1573">
        <f>IF(F65="","",F65*G65)</f>
        <v>8774533.3499999996</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190"/>
      <c r="T65" s="4191"/>
      <c r="U65" s="4191"/>
      <c r="V65" s="4192"/>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22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22 units = </v>
      </c>
      <c r="I66" s="1573">
        <f>IF(F66="","",F66*G66)</f>
        <v>6571437.4000000004</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0</v>
      </c>
      <c r="S66" s="4190"/>
      <c r="T66" s="4191"/>
      <c r="U66" s="4191"/>
      <c r="V66" s="4192"/>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199" t="s">
        <v>2493</v>
      </c>
      <c r="Q67" s="4199"/>
      <c r="S67" s="4190"/>
      <c r="T67" s="4191"/>
      <c r="U67" s="4191"/>
      <c r="V67" s="4192"/>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72</v>
      </c>
      <c r="G68" s="638"/>
      <c r="H68" s="1107"/>
      <c r="I68" s="1108">
        <f>SUM(I63:I67)</f>
        <v>17782940.350000001</v>
      </c>
      <c r="J68" s="1109"/>
      <c r="K68" s="1106">
        <f>SUM(K63:K67)</f>
        <v>0</v>
      </c>
      <c r="L68" s="1109"/>
      <c r="M68" s="1107"/>
      <c r="N68" s="1108">
        <f>SUM(N63:N67)</f>
        <v>0</v>
      </c>
      <c r="O68" s="578"/>
      <c r="P68" s="4199"/>
      <c r="Q68" s="4199"/>
      <c r="S68" s="4190"/>
      <c r="T68" s="4191"/>
      <c r="U68" s="4191"/>
      <c r="V68" s="4192"/>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9"/>
      <c r="Q69" s="4199"/>
      <c r="R69" s="430"/>
      <c r="S69" s="4190"/>
      <c r="T69" s="4191"/>
      <c r="U69" s="4191"/>
      <c r="V69" s="4192"/>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00"/>
      <c r="Q70" s="4200"/>
      <c r="R70" s="430"/>
      <c r="S70" s="4193"/>
      <c r="T70" s="4194"/>
      <c r="U70" s="4194"/>
      <c r="V70" s="4195"/>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9">
        <f>IF(P58&gt;1,P58, IF(OR('Part VIII Scoring Criteria'!$O$112='Part VIII Scoring Criteria'!$M$112,AND('Part III-A-Uses of Funds'!$T$179="Yes",'Part VIII Scoring Criteria'!$O$377&gt;0)),H77+M77,H77))</f>
        <v>17782940.350000001</v>
      </c>
      <c r="Q71" s="4220"/>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21"/>
      <c r="Q72" s="4222"/>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196" t="s">
        <v>3451</v>
      </c>
      <c r="Q73" s="4196"/>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197"/>
      <c r="Q74" s="4197"/>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197"/>
      <c r="Q75" s="4197"/>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7"/>
      <c r="Q76" s="4197"/>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72</v>
      </c>
      <c r="G77" s="341"/>
      <c r="H77" s="4206">
        <f>I54+I61+I68+I75</f>
        <v>17782940.350000001</v>
      </c>
      <c r="I77" s="4206"/>
      <c r="J77" s="4206"/>
      <c r="K77" s="629">
        <f>K54+K61+K68+K75</f>
        <v>0</v>
      </c>
      <c r="L77" s="630"/>
      <c r="M77" s="4206">
        <f>N54+N61+N68+N75</f>
        <v>0</v>
      </c>
      <c r="N77" s="4206"/>
      <c r="O77" s="4206"/>
      <c r="P77" s="4197"/>
      <c r="Q77" s="4197"/>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8"/>
      <c r="Q78" s="4198"/>
      <c r="AE78" s="128"/>
      <c r="AF78" s="128"/>
    </row>
    <row r="79" spans="1:295" s="35" customFormat="1" ht="10.5" customHeight="1">
      <c r="A79" s="4015"/>
      <c r="B79" s="4016"/>
      <c r="C79" s="4016"/>
      <c r="D79" s="4016"/>
      <c r="E79" s="4016"/>
      <c r="F79" s="4016"/>
      <c r="G79" s="4016"/>
      <c r="H79" s="4016"/>
      <c r="I79" s="4016"/>
      <c r="J79" s="4017"/>
      <c r="K79" s="4012"/>
      <c r="L79" s="4013"/>
      <c r="M79" s="4013"/>
      <c r="N79" s="4013"/>
      <c r="O79" s="4013"/>
      <c r="P79" s="4013"/>
      <c r="Q79" s="4014"/>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71" zoomScale="130" zoomScaleNormal="130" workbookViewId="0">
      <selection activeCell="L294" sqref="L294"/>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9" t="str">
        <f>CONCATENATE("PART EIGHT - SCORING CRITERIA","  -  ",'Part I-Project Identification'!$O$7," ",'Part I-Project Identification'!$F$29,", ",'Part I-Project Identification'!F30,", ",'Part I-Project Identification'!J30," County")</f>
        <v>PART EIGHT - SCORING CRITERIA  -  2022-0 Gibson Park , College Park, Fulton County</v>
      </c>
      <c r="B1" s="3630"/>
      <c r="C1" s="3630"/>
      <c r="D1" s="3630"/>
      <c r="E1" s="3630"/>
      <c r="F1" s="3630"/>
      <c r="G1" s="3630"/>
      <c r="H1" s="3630"/>
      <c r="I1" s="3630"/>
      <c r="J1" s="3630"/>
      <c r="K1" s="3630"/>
      <c r="L1" s="3630"/>
      <c r="M1" s="3630"/>
      <c r="N1" s="3630"/>
      <c r="O1" s="3630"/>
      <c r="P1" s="3631"/>
      <c r="Q1" s="4240" t="s">
        <v>6654</v>
      </c>
      <c r="R1" s="4240"/>
      <c r="S1" s="4240"/>
      <c r="T1" s="4240"/>
      <c r="U1" s="4240"/>
      <c r="V1" s="4240"/>
      <c r="W1" s="2662"/>
      <c r="X1" s="2601"/>
    </row>
    <row r="2" spans="1:25" s="35" customFormat="1" ht="4.3499999999999996" customHeight="1">
      <c r="A2" s="36"/>
      <c r="B2" s="36"/>
      <c r="C2" s="37"/>
      <c r="D2" s="36"/>
      <c r="E2" s="36"/>
      <c r="F2" s="36"/>
      <c r="G2" s="36"/>
      <c r="H2" s="36"/>
      <c r="I2" s="36"/>
      <c r="J2" s="36"/>
      <c r="K2" s="36"/>
      <c r="L2" s="36"/>
      <c r="M2" s="38"/>
      <c r="N2" s="72"/>
      <c r="O2" s="1203"/>
      <c r="P2" s="1203"/>
      <c r="Q2" s="4240"/>
      <c r="R2" s="4240"/>
      <c r="S2" s="4240"/>
      <c r="T2" s="4240"/>
      <c r="U2" s="4240"/>
      <c r="V2" s="4240"/>
      <c r="W2" s="2662"/>
      <c r="X2" s="2601"/>
    </row>
    <row r="3" spans="1:25" s="42" customFormat="1" ht="12" customHeight="1">
      <c r="A3" s="4369" t="s">
        <v>6668</v>
      </c>
      <c r="B3" s="4369"/>
      <c r="C3" s="4369"/>
      <c r="D3" s="4369"/>
      <c r="E3" s="4369"/>
      <c r="F3" s="4369"/>
      <c r="G3" s="4369"/>
      <c r="H3" s="4369"/>
      <c r="I3" s="4369"/>
      <c r="J3" s="4369"/>
      <c r="K3" s="4369"/>
      <c r="L3" s="4369"/>
      <c r="M3" s="855"/>
      <c r="N3" s="73"/>
      <c r="O3" s="84" t="s">
        <v>2051</v>
      </c>
      <c r="P3" s="1171" t="s">
        <v>245</v>
      </c>
      <c r="Q3" s="4240"/>
      <c r="R3" s="4240"/>
      <c r="S3" s="4240"/>
      <c r="T3" s="4240"/>
      <c r="U3" s="4240"/>
      <c r="V3" s="4240"/>
      <c r="W3" s="2662"/>
      <c r="X3" s="2601"/>
    </row>
    <row r="4" spans="1:25" s="44" customFormat="1" ht="12" customHeight="1">
      <c r="A4" s="4369"/>
      <c r="B4" s="4369"/>
      <c r="C4" s="4369"/>
      <c r="D4" s="4369"/>
      <c r="E4" s="4369"/>
      <c r="F4" s="4369"/>
      <c r="G4" s="4369"/>
      <c r="H4" s="4369"/>
      <c r="I4" s="4369"/>
      <c r="J4" s="4369"/>
      <c r="K4" s="4369"/>
      <c r="L4" s="4369"/>
      <c r="M4" s="855"/>
      <c r="N4" s="85"/>
      <c r="O4" s="186" t="s">
        <v>2052</v>
      </c>
      <c r="P4" s="186" t="s">
        <v>2052</v>
      </c>
      <c r="Q4" s="4240"/>
      <c r="R4" s="4240"/>
      <c r="S4" s="4240"/>
      <c r="T4" s="4240"/>
      <c r="U4" s="4240"/>
      <c r="V4" s="4240"/>
    </row>
    <row r="5" spans="1:25" s="44" customFormat="1" ht="3" customHeight="1" thickBot="1">
      <c r="A5" s="42"/>
      <c r="B5" s="42"/>
      <c r="C5" s="42"/>
      <c r="D5" s="42"/>
      <c r="E5" s="42"/>
      <c r="F5" s="42"/>
      <c r="G5" s="42"/>
      <c r="H5" s="42"/>
      <c r="I5" s="42"/>
      <c r="J5" s="42"/>
      <c r="K5" s="42"/>
      <c r="M5" s="2133"/>
      <c r="N5" s="10"/>
      <c r="O5" s="872"/>
      <c r="P5" s="30"/>
      <c r="Q5" s="4240"/>
      <c r="R5" s="4240"/>
      <c r="S5" s="4240"/>
      <c r="T5" s="4240"/>
      <c r="U5" s="4240"/>
      <c r="V5" s="4240"/>
    </row>
    <row r="6" spans="1:25" s="44" customFormat="1" ht="13.5" customHeight="1" thickTop="1" thickBot="1">
      <c r="A6" s="42"/>
      <c r="B6" s="4393" t="str">
        <f>'Part I-Project Identification'!$A$6</f>
        <v>May 12 2022 Core Application</v>
      </c>
      <c r="C6" s="4393"/>
      <c r="D6" s="4393"/>
      <c r="E6" s="4393"/>
      <c r="F6" s="4393"/>
      <c r="G6" s="484"/>
      <c r="H6" s="42"/>
      <c r="I6" s="42"/>
      <c r="J6" s="42"/>
      <c r="L6" s="69" t="s">
        <v>1153</v>
      </c>
      <c r="M6" s="3"/>
      <c r="N6" s="9"/>
      <c r="O6" s="2099">
        <f>O441</f>
        <v>51</v>
      </c>
      <c r="P6" s="2099">
        <f>P441</f>
        <v>22</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90" t="s">
        <v>6502</v>
      </c>
      <c r="G12" s="4390"/>
      <c r="H12" s="4390"/>
      <c r="I12" s="4390"/>
      <c r="J12" s="4390"/>
      <c r="K12" s="4390"/>
      <c r="L12" s="4390"/>
      <c r="M12" s="4390"/>
      <c r="N12" s="4390"/>
      <c r="O12" s="1520" t="s">
        <v>3814</v>
      </c>
      <c r="P12" s="1521">
        <f>SUM(P13:P31)</f>
        <v>0</v>
      </c>
      <c r="Q12" s="4239" t="s">
        <v>6554</v>
      </c>
      <c r="R12" s="4239"/>
      <c r="S12" s="4239"/>
      <c r="T12" s="4239"/>
      <c r="U12" s="4239"/>
      <c r="V12" s="1495"/>
    </row>
    <row r="13" spans="1:25" s="42" customFormat="1" ht="10.5" customHeight="1">
      <c r="A13" s="1183" t="s">
        <v>1669</v>
      </c>
      <c r="B13" s="1180" t="s">
        <v>3396</v>
      </c>
      <c r="C13" s="1181"/>
      <c r="D13" s="1182"/>
      <c r="E13" s="1514">
        <f>$O$102</f>
        <v>9</v>
      </c>
      <c r="F13" s="4391" t="str">
        <f>$A$108</f>
        <v xml:space="preserve">Applicant is applying under the General Set-aside. In this category for the following desirable activities/characteristics that are all within a 1.5 mile walking/driving distance from the site are Wayfield Foods, Inc., K Wings Roosevelt Hwy, Feldwood Elementary School, City of South Fulton/Fire Station #1, Siloam Church International and United States Postal Service. Other desirable activities were included in the "Desirable" Site Certification form that are not within 1.5 miles to demonstrate that there are desirable entities near the site and that residents will still have access to amenties such as Daycares, Parks, Libraries and many more. There are no undesirable activities/characteristics located within a  1/4th mile radius of the site.  </v>
      </c>
      <c r="G13" s="4392"/>
      <c r="H13" s="4392"/>
      <c r="I13" s="4392"/>
      <c r="J13" s="4392"/>
      <c r="K13" s="4392"/>
      <c r="L13" s="4392"/>
      <c r="M13" s="4392"/>
      <c r="N13" s="4392"/>
      <c r="O13" s="4392"/>
      <c r="P13" s="1527"/>
      <c r="Q13" s="4239"/>
      <c r="R13" s="4239"/>
      <c r="S13" s="4239"/>
      <c r="T13" s="4239"/>
      <c r="U13" s="4239"/>
      <c r="V13" s="1495"/>
    </row>
    <row r="14" spans="1:25" s="42" customFormat="1" ht="10.5" customHeight="1">
      <c r="A14" s="1183" t="s">
        <v>496</v>
      </c>
      <c r="B14" s="953" t="s">
        <v>4042</v>
      </c>
      <c r="C14" s="1102"/>
      <c r="D14" s="1184"/>
      <c r="E14" s="2329">
        <f>$O$112</f>
        <v>3</v>
      </c>
      <c r="F14" s="4259" t="str">
        <f>$A$146</f>
        <v xml:space="preserve">The transit stop which operates MARTA Routes 180 and 82 is in very close proxomity to the site entrance. The transit stop is 190 ft from the site entrance and operates 7 days a week. The site entrance's latitude is "33.614480", the "0" is missing above because of the Excel formatting. </v>
      </c>
      <c r="G14" s="4260"/>
      <c r="H14" s="4260"/>
      <c r="I14" s="4260"/>
      <c r="J14" s="4260"/>
      <c r="K14" s="4260"/>
      <c r="L14" s="4260"/>
      <c r="M14" s="4260"/>
      <c r="N14" s="4260"/>
      <c r="O14" s="4261"/>
      <c r="P14" s="1528"/>
      <c r="Q14" s="4239"/>
      <c r="R14" s="4239"/>
      <c r="S14" s="4239"/>
      <c r="T14" s="4239"/>
      <c r="U14" s="4239"/>
    </row>
    <row r="15" spans="1:25" s="42" customFormat="1" ht="10.5" customHeight="1">
      <c r="A15" s="1183" t="s">
        <v>720</v>
      </c>
      <c r="B15" s="953" t="s">
        <v>3341</v>
      </c>
      <c r="C15" s="1102"/>
      <c r="D15" s="1184"/>
      <c r="E15" s="2329">
        <f>$O$151</f>
        <v>3</v>
      </c>
      <c r="F15" s="4259" t="str">
        <f>$A$164</f>
        <v xml:space="preserve">All three schools meet the Quality Education Standars set forth by DCA. Seaborn "Lee" Elementary School recieved the "Beating the Odds" Designation in 2018. "Lee" Elementary School has a positive year over year change and the average of 2015-2019 CCRPI is 66.9 which is above the threshold 56.745. Camp Creek Middle Schooll recieved the "Beating the Odds" Designation in 2019. Camp Creek Middle School School has a positive year over year change and the average of 2015-2019 CCRPI is 64.3 which is above the threshold 55.335. Langston Hughes High School School has a positive year over year change and the average of 2015-2019 CCRPI is 63 which is above the threshold 57.39. </v>
      </c>
      <c r="G15" s="4260"/>
      <c r="H15" s="4260"/>
      <c r="I15" s="4260"/>
      <c r="J15" s="4260"/>
      <c r="K15" s="4260"/>
      <c r="L15" s="4260"/>
      <c r="M15" s="4260"/>
      <c r="N15" s="4260"/>
      <c r="O15" s="4261"/>
      <c r="P15" s="1528"/>
      <c r="Q15" s="3295"/>
      <c r="R15" s="3295"/>
      <c r="S15" s="3295"/>
      <c r="T15" s="3295"/>
      <c r="U15" s="3295"/>
    </row>
    <row r="16" spans="1:25" s="42" customFormat="1" ht="10.5" customHeight="1">
      <c r="A16" s="2096" t="s">
        <v>280</v>
      </c>
      <c r="B16" s="953" t="s">
        <v>3397</v>
      </c>
      <c r="C16" s="1102"/>
      <c r="D16" s="1184"/>
      <c r="E16" s="1516">
        <f>$O$168</f>
        <v>0</v>
      </c>
      <c r="F16" s="4259" t="str">
        <f>$A$185</f>
        <v xml:space="preserve">Applicant is not in a redevelopment area.  </v>
      </c>
      <c r="G16" s="4260"/>
      <c r="H16" s="4260"/>
      <c r="I16" s="4260"/>
      <c r="J16" s="4260"/>
      <c r="K16" s="4260"/>
      <c r="L16" s="4260"/>
      <c r="M16" s="4260"/>
      <c r="N16" s="4260"/>
      <c r="O16" s="4261"/>
      <c r="P16" s="1528"/>
      <c r="Q16" s="3295"/>
      <c r="R16" s="3295"/>
      <c r="S16" s="3295"/>
      <c r="T16" s="3295"/>
      <c r="U16" s="3295"/>
    </row>
    <row r="17" spans="1:35" s="42" customFormat="1" ht="10.5" customHeight="1">
      <c r="A17" s="1183" t="s">
        <v>401</v>
      </c>
      <c r="B17" s="1190" t="s">
        <v>3398</v>
      </c>
      <c r="C17" s="1191"/>
      <c r="D17" s="1192"/>
      <c r="E17" s="1517" t="s">
        <v>1611</v>
      </c>
      <c r="F17" s="4325" t="str">
        <f>$A$200</f>
        <v xml:space="preserve">Applicant is not particapting in Community Transformation. </v>
      </c>
      <c r="G17" s="4326"/>
      <c r="H17" s="4326"/>
      <c r="I17" s="4326"/>
      <c r="J17" s="4326"/>
      <c r="K17" s="4326"/>
      <c r="L17" s="4326"/>
      <c r="M17" s="4326"/>
      <c r="N17" s="4326"/>
      <c r="O17" s="4327"/>
      <c r="P17" s="1528"/>
      <c r="Q17" s="3295"/>
      <c r="R17" s="3295"/>
      <c r="S17" s="3295"/>
      <c r="T17" s="3295"/>
      <c r="U17" s="3295"/>
    </row>
    <row r="18" spans="1:35" s="42" customFormat="1" ht="10.5" customHeight="1">
      <c r="A18" s="1183" t="s">
        <v>342</v>
      </c>
      <c r="B18" s="953" t="s">
        <v>4043</v>
      </c>
      <c r="C18" s="1102"/>
      <c r="D18" s="1184"/>
      <c r="E18" s="1515">
        <f>$O$204</f>
        <v>2</v>
      </c>
      <c r="F18" s="4259" t="str">
        <f>$A$219</f>
        <v xml:space="preserve"> This site resides in a census tract with a Middle Tract Income Level and is 12.58% below the poverty line according to the most current FFIEC data. This census tract scores aove the 60th Percentile for  Life Expectancy. The Life Expectancy rate is 78.4  which is above DCA's threshold of 77.5. </v>
      </c>
      <c r="G18" s="4260"/>
      <c r="H18" s="4260"/>
      <c r="I18" s="4260"/>
      <c r="J18" s="4260"/>
      <c r="K18" s="4260"/>
      <c r="L18" s="4260"/>
      <c r="M18" s="4260"/>
      <c r="N18" s="4260"/>
      <c r="O18" s="4261"/>
      <c r="P18" s="1528"/>
      <c r="Q18" s="4320" t="str">
        <f>IF(OR($A$108="",$A$146="",$A$164="",$A$185="",$A$200="",$A$219="",$A$237="",$A$247="",$A$256="",$A$280="",$A$305="",$A$313="",$A$337="",$A$373="",$A$392="",$A$413="",$A$419="",$A$429="",$A$437=""),"Some Applicant Scoring Justification boxes are empty! Check to see if points claimed.","")</f>
        <v/>
      </c>
      <c r="R18" s="4321"/>
      <c r="S18" s="4321"/>
    </row>
    <row r="19" spans="1:35" s="42" customFormat="1" ht="10.5" customHeight="1">
      <c r="A19" s="1183" t="s">
        <v>4045</v>
      </c>
      <c r="B19" s="953" t="s">
        <v>3263</v>
      </c>
      <c r="C19" s="1102"/>
      <c r="D19" s="1184"/>
      <c r="E19" s="1515">
        <f>$O$232</f>
        <v>0</v>
      </c>
      <c r="F19" s="4259" t="str">
        <f>$A$237</f>
        <v>Applicant is not participating in Community Desigantion section.</v>
      </c>
      <c r="G19" s="4260"/>
      <c r="H19" s="4260"/>
      <c r="I19" s="4260"/>
      <c r="J19" s="4260"/>
      <c r="K19" s="4260"/>
      <c r="L19" s="4260"/>
      <c r="M19" s="4260"/>
      <c r="N19" s="4260"/>
      <c r="O19" s="4261"/>
      <c r="P19" s="1528"/>
      <c r="Q19" s="4320"/>
      <c r="R19" s="4321"/>
      <c r="S19" s="4321"/>
    </row>
    <row r="20" spans="1:35" s="42" customFormat="1" ht="10.5" customHeight="1">
      <c r="A20" s="1183" t="s">
        <v>4057</v>
      </c>
      <c r="B20" s="953" t="s">
        <v>4046</v>
      </c>
      <c r="C20" s="1102"/>
      <c r="D20" s="1184"/>
      <c r="E20" s="1517">
        <f>$O$241</f>
        <v>0</v>
      </c>
      <c r="F20" s="4259" t="str">
        <f>$A$247</f>
        <v xml:space="preserve">Gibson Park is not a phased development. </v>
      </c>
      <c r="G20" s="4260"/>
      <c r="H20" s="4260"/>
      <c r="I20" s="4260"/>
      <c r="J20" s="4260"/>
      <c r="K20" s="4260"/>
      <c r="L20" s="4260"/>
      <c r="M20" s="4260"/>
      <c r="N20" s="4260"/>
      <c r="O20" s="4261"/>
      <c r="P20" s="1528"/>
      <c r="Q20" s="4320"/>
      <c r="R20" s="4321"/>
      <c r="S20" s="4321"/>
    </row>
    <row r="21" spans="1:35" s="42" customFormat="1" ht="10.5" customHeight="1">
      <c r="A21" s="1189" t="s">
        <v>6250</v>
      </c>
      <c r="B21" s="1190" t="s">
        <v>4047</v>
      </c>
      <c r="C21" s="1191"/>
      <c r="D21" s="1192"/>
      <c r="E21" s="1518">
        <f>$O$251</f>
        <v>3</v>
      </c>
      <c r="F21" s="4325" t="str">
        <f>$A$256</f>
        <v xml:space="preserve">The City of College Park has only received one other 9% Credit Award within the last 6 cycles and it is farther away than one mile from the project site. Please also note that Gibson Park would only be the second 9% tax credit development that City of College Park has recieved in over 15 funding cycles. </v>
      </c>
      <c r="G21" s="4326"/>
      <c r="H21" s="4326"/>
      <c r="I21" s="4326"/>
      <c r="J21" s="4326"/>
      <c r="K21" s="4326"/>
      <c r="L21" s="4326"/>
      <c r="M21" s="4326"/>
      <c r="N21" s="4326"/>
      <c r="O21" s="4327"/>
      <c r="P21" s="1528"/>
      <c r="Q21" s="4320"/>
      <c r="R21" s="4321"/>
      <c r="S21" s="4321"/>
    </row>
    <row r="22" spans="1:35" s="42" customFormat="1" ht="10.5" customHeight="1">
      <c r="A22" s="1183" t="s">
        <v>6646</v>
      </c>
      <c r="B22" s="953" t="s">
        <v>6558</v>
      </c>
      <c r="C22" s="1102"/>
      <c r="D22" s="1184"/>
      <c r="E22" s="1515">
        <f>$O$273</f>
        <v>0</v>
      </c>
      <c r="F22" s="4259" t="str">
        <f>$A$280</f>
        <v xml:space="preserve">Applicant is not providing wifi in each unit. </v>
      </c>
      <c r="G22" s="4260"/>
      <c r="H22" s="4260"/>
      <c r="I22" s="4260"/>
      <c r="J22" s="4260"/>
      <c r="K22" s="4260"/>
      <c r="L22" s="4260"/>
      <c r="M22" s="4260"/>
      <c r="N22" s="4260"/>
      <c r="O22" s="4261"/>
      <c r="P22" s="1528"/>
      <c r="Q22" s="4320"/>
      <c r="R22" s="4321"/>
      <c r="S22" s="4321"/>
    </row>
    <row r="23" spans="1:35" s="42" customFormat="1" ht="10.5" customHeight="1">
      <c r="A23" s="1183" t="s">
        <v>6648</v>
      </c>
      <c r="B23" s="953" t="s">
        <v>6647</v>
      </c>
      <c r="C23" s="1102"/>
      <c r="D23" s="1184"/>
      <c r="E23" s="1515">
        <f>$O$284</f>
        <v>2</v>
      </c>
      <c r="F23" s="4259" t="str">
        <f>$A$305</f>
        <v>Applicant agrees to engage Minority and Women Owned Businesses in the amounts equal to approximately 5% of the total construction hard costs and commits to all necessary reporting as defined in Section A.  Section B was left blank because applicant is not claiming points in this section.</v>
      </c>
      <c r="G23" s="4260"/>
      <c r="H23" s="4260"/>
      <c r="I23" s="4260"/>
      <c r="J23" s="4260"/>
      <c r="K23" s="4260"/>
      <c r="L23" s="4260"/>
      <c r="M23" s="4260"/>
      <c r="N23" s="4260"/>
      <c r="O23" s="4261"/>
      <c r="P23" s="1528"/>
      <c r="Q23" s="4320"/>
      <c r="R23" s="4321"/>
      <c r="S23" s="4321"/>
    </row>
    <row r="24" spans="1:35" s="42" customFormat="1" ht="10.5" customHeight="1">
      <c r="A24" s="2096" t="s">
        <v>3371</v>
      </c>
      <c r="B24" s="2534" t="s">
        <v>6564</v>
      </c>
      <c r="C24" s="2535"/>
      <c r="D24" s="2536"/>
      <c r="E24" s="1516">
        <f>$O$309</f>
        <v>0</v>
      </c>
      <c r="F24" s="4314" t="str">
        <f>$A$313</f>
        <v xml:space="preserve">Applicant is not claiming points in this section. </v>
      </c>
      <c r="G24" s="4315"/>
      <c r="H24" s="4315"/>
      <c r="I24" s="4315"/>
      <c r="J24" s="4315"/>
      <c r="K24" s="4315"/>
      <c r="L24" s="4315"/>
      <c r="M24" s="4315"/>
      <c r="N24" s="4315"/>
      <c r="O24" s="4316"/>
      <c r="P24" s="1528"/>
      <c r="Q24" s="4320"/>
      <c r="R24" s="4321"/>
      <c r="S24" s="4321"/>
    </row>
    <row r="25" spans="1:35" s="42" customFormat="1" ht="10.5" customHeight="1">
      <c r="A25" s="1183" t="s">
        <v>3375</v>
      </c>
      <c r="B25" s="953" t="s">
        <v>3399</v>
      </c>
      <c r="C25" s="1102"/>
      <c r="D25" s="1184"/>
      <c r="E25" s="1515">
        <f>$O$333</f>
        <v>0</v>
      </c>
      <c r="F25" s="4259" t="str">
        <f>$A$337</f>
        <v xml:space="preserve">College Park is not a GICH Community. </v>
      </c>
      <c r="G25" s="4260"/>
      <c r="H25" s="4260"/>
      <c r="I25" s="4260"/>
      <c r="J25" s="4260"/>
      <c r="K25" s="4260"/>
      <c r="L25" s="4260"/>
      <c r="M25" s="4260"/>
      <c r="N25" s="4260"/>
      <c r="O25" s="4261"/>
      <c r="P25" s="1528"/>
      <c r="Q25" s="4320"/>
      <c r="R25" s="4321"/>
      <c r="S25" s="4321"/>
    </row>
    <row r="26" spans="1:35" s="42" customFormat="1" ht="10.5" customHeight="1">
      <c r="A26" s="1183" t="s">
        <v>3378</v>
      </c>
      <c r="B26" s="953" t="s">
        <v>3400</v>
      </c>
      <c r="C26" s="1102"/>
      <c r="D26" s="1184"/>
      <c r="E26" s="1515">
        <f>$O$341</f>
        <v>0</v>
      </c>
      <c r="F26" s="4259" t="str">
        <f>$A$373</f>
        <v xml:space="preserve">There is no favorable financing or long-term ground leases involved in this application. </v>
      </c>
      <c r="G26" s="4260"/>
      <c r="H26" s="4260"/>
      <c r="I26" s="4260"/>
      <c r="J26" s="4260"/>
      <c r="K26" s="4260"/>
      <c r="L26" s="4260"/>
      <c r="M26" s="4260"/>
      <c r="N26" s="4260"/>
      <c r="O26" s="4261"/>
      <c r="P26" s="1528"/>
      <c r="Q26" s="4320"/>
      <c r="R26" s="4321"/>
      <c r="S26" s="4321"/>
    </row>
    <row r="27" spans="1:35" s="42" customFormat="1" ht="10.5" customHeight="1">
      <c r="A27" s="1183" t="s">
        <v>3379</v>
      </c>
      <c r="B27" s="953" t="s">
        <v>3401</v>
      </c>
      <c r="C27" s="1102"/>
      <c r="D27" s="1184"/>
      <c r="E27" s="1517">
        <f>$O$377</f>
        <v>0</v>
      </c>
      <c r="F27" s="4259" t="str">
        <f>$A$392</f>
        <v xml:space="preserve">Applicant is not particpating in historic preservation. </v>
      </c>
      <c r="G27" s="4260"/>
      <c r="H27" s="4260"/>
      <c r="I27" s="4260"/>
      <c r="J27" s="4260"/>
      <c r="K27" s="4260"/>
      <c r="L27" s="4260"/>
      <c r="M27" s="4260"/>
      <c r="N27" s="4260"/>
      <c r="O27" s="4261"/>
      <c r="P27" s="1528"/>
      <c r="Q27" s="2652"/>
      <c r="R27" s="2128"/>
      <c r="S27" s="2128"/>
      <c r="AA27" s="4"/>
      <c r="AB27" s="4"/>
      <c r="AC27" s="4"/>
      <c r="AD27" s="4"/>
      <c r="AE27" s="4"/>
      <c r="AF27" s="4"/>
    </row>
    <row r="28" spans="1:35" s="42" customFormat="1" ht="10.5" customHeight="1">
      <c r="A28" s="1185" t="s">
        <v>3381</v>
      </c>
      <c r="B28" s="1186" t="s">
        <v>6645</v>
      </c>
      <c r="C28" s="1187"/>
      <c r="D28" s="1188"/>
      <c r="E28" s="2116">
        <f>$O$404</f>
        <v>3</v>
      </c>
      <c r="F28" s="4276" t="str">
        <f>$A$413</f>
        <v xml:space="preserve">Applicant agrees to accet DCA-administered PBRA if funding is available. Gibson Park does not have any PBRA contracts, is a family tenancy and has at least 10% of its units are 1 bedrooms. Additionally, the applicant has a controlling interest in the General Partnership and has previously agreed to contract with DCA PBRA. </v>
      </c>
      <c r="G28" s="4277"/>
      <c r="H28" s="4277"/>
      <c r="I28" s="4277"/>
      <c r="J28" s="4277"/>
      <c r="K28" s="4277"/>
      <c r="L28" s="4277"/>
      <c r="M28" s="4277"/>
      <c r="N28" s="4277"/>
      <c r="O28" s="4278"/>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6138</v>
      </c>
      <c r="C29" s="1102"/>
      <c r="D29" s="1184"/>
      <c r="E29" s="1515">
        <f>$O$417</f>
        <v>0</v>
      </c>
      <c r="F29" s="4259" t="str">
        <f>$A$419</f>
        <v xml:space="preserve">This section is not applicable. </v>
      </c>
      <c r="G29" s="4260"/>
      <c r="H29" s="4260"/>
      <c r="I29" s="4260"/>
      <c r="J29" s="4260"/>
      <c r="K29" s="4260"/>
      <c r="L29" s="4260"/>
      <c r="M29" s="4260"/>
      <c r="N29" s="4260"/>
      <c r="O29" s="4261"/>
      <c r="P29" s="1528"/>
      <c r="Q29" s="2652"/>
      <c r="R29" s="2128"/>
      <c r="S29" s="2128"/>
    </row>
    <row r="30" spans="1:35" s="42" customFormat="1" ht="10.5" customHeight="1">
      <c r="A30" s="1183" t="s">
        <v>3807</v>
      </c>
      <c r="B30" s="953" t="s">
        <v>6562</v>
      </c>
      <c r="C30" s="1102"/>
      <c r="D30" s="1184"/>
      <c r="E30" s="1515">
        <f>$O$427</f>
        <v>0</v>
      </c>
      <c r="F30" s="4259" t="str">
        <f>$A$429</f>
        <v xml:space="preserve">This section is not applicable. </v>
      </c>
      <c r="G30" s="4260"/>
      <c r="H30" s="4260"/>
      <c r="I30" s="4260"/>
      <c r="J30" s="4260"/>
      <c r="K30" s="4260"/>
      <c r="L30" s="4260"/>
      <c r="M30" s="4260"/>
      <c r="N30" s="4260"/>
      <c r="O30" s="4261"/>
      <c r="P30" s="1528"/>
      <c r="Q30" s="2652"/>
      <c r="R30" s="2128"/>
      <c r="S30" s="2128"/>
      <c r="AA30" s="3892" t="s">
        <v>6572</v>
      </c>
      <c r="AB30" s="3892"/>
      <c r="AC30" s="3892"/>
      <c r="AD30" s="3892"/>
      <c r="AE30" s="3892"/>
      <c r="AF30" s="3892"/>
    </row>
    <row r="31" spans="1:35" s="42" customFormat="1" ht="10.5" customHeight="1">
      <c r="A31" s="1185" t="s">
        <v>6565</v>
      </c>
      <c r="B31" s="1186" t="s">
        <v>6563</v>
      </c>
      <c r="C31" s="1187"/>
      <c r="D31" s="1188"/>
      <c r="E31" s="2116">
        <f>$O$433</f>
        <v>0</v>
      </c>
      <c r="F31" s="4276" t="str">
        <f>$A$437</f>
        <v xml:space="preserve">This section is not applicable. </v>
      </c>
      <c r="G31" s="4277"/>
      <c r="H31" s="4277"/>
      <c r="I31" s="4277"/>
      <c r="J31" s="4277"/>
      <c r="K31" s="4277"/>
      <c r="L31" s="4277"/>
      <c r="M31" s="4277"/>
      <c r="N31" s="4277"/>
      <c r="O31" s="4278"/>
      <c r="P31" s="1529"/>
      <c r="Q31" s="2652"/>
      <c r="R31" s="2128"/>
      <c r="S31" s="2128"/>
      <c r="X31" s="3892" t="s">
        <v>6573</v>
      </c>
      <c r="Y31" s="3892"/>
      <c r="Z31" s="3892"/>
      <c r="AA31" s="3892"/>
      <c r="AB31" s="3892"/>
      <c r="AC31" s="3892"/>
      <c r="AD31" s="3892" t="s">
        <v>6574</v>
      </c>
      <c r="AE31" s="3892"/>
      <c r="AF31" s="3892"/>
      <c r="AG31" s="3892"/>
      <c r="AH31" s="3892"/>
      <c r="AI31" s="3892"/>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328" t="s">
        <v>6131</v>
      </c>
      <c r="H33" s="4328"/>
      <c r="I33" s="4322" t="s">
        <v>6512</v>
      </c>
      <c r="J33" s="4323"/>
      <c r="K33" s="4323"/>
      <c r="L33" s="4324"/>
      <c r="M33" s="4394" t="s">
        <v>6144</v>
      </c>
      <c r="N33" s="4394"/>
      <c r="O33" s="4394"/>
      <c r="P33" s="4394"/>
      <c r="Q33" s="1972"/>
      <c r="R33" s="1972"/>
      <c r="S33" s="107" t="s">
        <v>6143</v>
      </c>
      <c r="T33" s="1972"/>
      <c r="U33" s="1972"/>
      <c r="V33" s="1972"/>
      <c r="X33" s="4308" t="s">
        <v>6131</v>
      </c>
      <c r="Y33" s="4310"/>
      <c r="Z33" s="4308" t="s">
        <v>6512</v>
      </c>
      <c r="AA33" s="4309"/>
      <c r="AB33" s="4309"/>
      <c r="AC33" s="4310"/>
      <c r="AD33" s="4317" t="s">
        <v>6131</v>
      </c>
      <c r="AE33" s="4318"/>
      <c r="AF33" s="4319" t="s">
        <v>6512</v>
      </c>
      <c r="AG33" s="4317"/>
      <c r="AH33" s="4317"/>
      <c r="AI33" s="4318"/>
    </row>
    <row r="34" spans="1:46" s="160" customFormat="1" ht="11.25" customHeight="1">
      <c r="A34" s="457"/>
      <c r="B34" s="2265"/>
      <c r="C34" s="442"/>
      <c r="D34" s="442"/>
      <c r="E34" s="442"/>
      <c r="F34" s="442"/>
      <c r="G34" s="2266">
        <v>0.09</v>
      </c>
      <c r="H34" s="2266">
        <v>0.04</v>
      </c>
      <c r="I34" s="2266">
        <v>0.04</v>
      </c>
      <c r="J34" s="2266" t="s">
        <v>6555</v>
      </c>
      <c r="K34" s="2266" t="s">
        <v>6556</v>
      </c>
      <c r="L34" s="2266" t="s">
        <v>6557</v>
      </c>
      <c r="M34" s="4311" t="str">
        <f>'Part I-Project Identification'!F12</f>
        <v>9% Credit Competitive Round only</v>
      </c>
      <c r="N34" s="4312"/>
      <c r="O34" s="4312"/>
      <c r="P34" s="4313"/>
      <c r="Q34" s="1972"/>
      <c r="R34" s="457"/>
      <c r="S34" s="2265"/>
      <c r="T34" s="442"/>
      <c r="U34" s="442"/>
      <c r="V34" s="442"/>
      <c r="W34" s="442"/>
      <c r="X34" s="2266">
        <v>0.09</v>
      </c>
      <c r="Y34" s="2266">
        <v>0.04</v>
      </c>
      <c r="Z34" s="2266">
        <v>0.04</v>
      </c>
      <c r="AA34" s="2266" t="s">
        <v>6555</v>
      </c>
      <c r="AB34" s="2266" t="s">
        <v>6556</v>
      </c>
      <c r="AC34" s="2266" t="s">
        <v>6557</v>
      </c>
      <c r="AD34" s="2266">
        <v>0.09</v>
      </c>
      <c r="AE34" s="2266">
        <v>0.04</v>
      </c>
      <c r="AF34" s="2266">
        <v>0.04</v>
      </c>
      <c r="AG34" s="2266" t="s">
        <v>6555</v>
      </c>
      <c r="AH34" s="2266" t="s">
        <v>6556</v>
      </c>
      <c r="AI34" s="2266" t="s">
        <v>6557</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9</v>
      </c>
      <c r="Y37" s="2347">
        <f>O102</f>
        <v>9</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5" t="s">
        <v>6571</v>
      </c>
      <c r="N39" s="4396"/>
      <c r="O39" s="4396"/>
      <c r="P39" s="4396"/>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5"/>
      <c r="N40" s="4396"/>
      <c r="O40" s="4396"/>
      <c r="P40" s="4396"/>
      <c r="Q40" s="1969"/>
      <c r="R40" s="2409" t="s">
        <v>280</v>
      </c>
      <c r="S40" s="2273" t="s">
        <v>3397</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6566</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2651</v>
      </c>
      <c r="Q42" s="1969"/>
      <c r="R42" s="2409" t="s">
        <v>342</v>
      </c>
      <c r="S42" s="2273" t="s">
        <v>4043</v>
      </c>
      <c r="T42" s="2468"/>
      <c r="U42" s="2469"/>
      <c r="V42" s="2469"/>
      <c r="W42" s="2469"/>
      <c r="X42" s="2332">
        <f>O204</f>
        <v>2</v>
      </c>
      <c r="Y42" s="2345">
        <f>O204</f>
        <v>2</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0</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6520</v>
      </c>
      <c r="N44" s="2463"/>
      <c r="O44" s="568" t="s">
        <v>6148</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6567</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6568</v>
      </c>
      <c r="P46" s="2586" t="str">
        <f>IF('Part VII-Threshold Criteria'!P346="Agree","Yes","")</f>
        <v/>
      </c>
      <c r="Q46" s="1969"/>
      <c r="R46" s="2409" t="s">
        <v>3372</v>
      </c>
      <c r="S46" s="2273" t="s">
        <v>4047</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3372</v>
      </c>
      <c r="B48" s="2273" t="s">
        <v>6558</v>
      </c>
      <c r="C48" s="2279"/>
      <c r="D48" s="2280"/>
      <c r="E48" s="2280"/>
      <c r="F48" s="2280"/>
      <c r="G48" s="2276">
        <v>2</v>
      </c>
      <c r="H48" s="2277">
        <v>2</v>
      </c>
      <c r="I48" s="2277">
        <v>2</v>
      </c>
      <c r="J48" s="2276">
        <v>2</v>
      </c>
      <c r="K48" s="2278">
        <v>2</v>
      </c>
      <c r="L48" s="2278">
        <v>2</v>
      </c>
      <c r="M48" s="2460" t="s">
        <v>6569</v>
      </c>
      <c r="N48" s="2461"/>
      <c r="O48" s="2462"/>
      <c r="P48" s="2497" t="s">
        <v>2654</v>
      </c>
      <c r="R48" s="2409" t="s">
        <v>3372</v>
      </c>
      <c r="S48" s="2273" t="s">
        <v>6558</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72</v>
      </c>
    </row>
    <row r="49" spans="1:46" s="160" customFormat="1" ht="10.5" customHeight="1">
      <c r="A49" s="2409" t="s">
        <v>3373</v>
      </c>
      <c r="B49" s="2273" t="s">
        <v>6559</v>
      </c>
      <c r="C49" s="2279"/>
      <c r="D49" s="2280"/>
      <c r="E49" s="2280"/>
      <c r="F49" s="2280"/>
      <c r="G49" s="2276">
        <v>2</v>
      </c>
      <c r="H49" s="2277">
        <v>2</v>
      </c>
      <c r="I49" s="2277">
        <v>2</v>
      </c>
      <c r="J49" s="2276">
        <v>2</v>
      </c>
      <c r="K49" s="2278">
        <v>2</v>
      </c>
      <c r="L49" s="2278">
        <v>2</v>
      </c>
      <c r="M49" s="183" t="s">
        <v>6570</v>
      </c>
      <c r="N49" s="586"/>
      <c r="O49" s="586"/>
      <c r="P49" s="595" t="str">
        <f>'Part II-Sources of Funds'!$L$14</f>
        <v>No</v>
      </c>
      <c r="R49" s="2409" t="s">
        <v>3373</v>
      </c>
      <c r="S49" s="2273" t="s">
        <v>6559</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6700</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6564</v>
      </c>
      <c r="C50" s="2279"/>
      <c r="D50" s="2280"/>
      <c r="E50" s="2280"/>
      <c r="F50" s="2280"/>
      <c r="G50" s="2276">
        <v>2</v>
      </c>
      <c r="H50" s="2277"/>
      <c r="I50" s="2277"/>
      <c r="J50" s="2276">
        <v>2</v>
      </c>
      <c r="K50" s="2278">
        <v>2</v>
      </c>
      <c r="L50" s="2278">
        <v>2</v>
      </c>
      <c r="Q50" s="1969"/>
      <c r="R50" s="2409" t="s">
        <v>3371</v>
      </c>
      <c r="S50" s="2273" t="s">
        <v>6564</v>
      </c>
      <c r="T50" s="2470"/>
      <c r="U50" s="2471"/>
      <c r="V50" s="2471"/>
      <c r="W50" s="2471"/>
      <c r="X50" s="2344">
        <f>O309</f>
        <v>0</v>
      </c>
      <c r="Y50" s="2349"/>
      <c r="Z50" s="2348"/>
      <c r="AA50" s="2404">
        <f>O309</f>
        <v>0</v>
      </c>
      <c r="AB50" s="2404">
        <f>O309</f>
        <v>0</v>
      </c>
      <c r="AC50" s="2405">
        <f>O309</f>
        <v>0</v>
      </c>
      <c r="AD50" s="2346">
        <f>P309</f>
        <v>0</v>
      </c>
      <c r="AE50" s="2349"/>
      <c r="AF50" s="2348"/>
      <c r="AG50" s="2404">
        <f>P309</f>
        <v>0</v>
      </c>
      <c r="AH50" s="2404">
        <f>P309</f>
        <v>0</v>
      </c>
      <c r="AI50" s="2345">
        <f>P309</f>
        <v>0</v>
      </c>
    </row>
    <row r="51" spans="1:46" s="160" customFormat="1" ht="10.5" customHeight="1">
      <c r="A51" s="2409" t="s">
        <v>3374</v>
      </c>
      <c r="B51" s="2273" t="s">
        <v>6136</v>
      </c>
      <c r="C51" s="2279"/>
      <c r="D51" s="2280"/>
      <c r="E51" s="2280"/>
      <c r="F51" s="2280"/>
      <c r="G51" s="2276">
        <v>2</v>
      </c>
      <c r="H51" s="2277"/>
      <c r="I51" s="2277"/>
      <c r="J51" s="2276">
        <v>2</v>
      </c>
      <c r="K51" s="2278">
        <v>2</v>
      </c>
      <c r="L51" s="2278">
        <v>2</v>
      </c>
      <c r="M51" s="4531" t="s">
        <v>6743</v>
      </c>
      <c r="N51" s="4532"/>
      <c r="O51" s="4532"/>
      <c r="P51" s="4532"/>
      <c r="Q51" s="536"/>
      <c r="R51" s="2409" t="s">
        <v>3374</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31"/>
      <c r="N52" s="4532"/>
      <c r="O52" s="4532"/>
      <c r="P52" s="4532"/>
      <c r="R52" s="2409" t="s">
        <v>3375</v>
      </c>
      <c r="S52" s="2273" t="s">
        <v>3399</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3"/>
      <c r="N53" s="4534"/>
      <c r="O53" s="4534"/>
      <c r="P53" s="4534"/>
      <c r="R53" s="2409" t="s">
        <v>3378</v>
      </c>
      <c r="S53" s="2273" t="s">
        <v>3400</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7" t="s">
        <v>6131</v>
      </c>
      <c r="N54" s="4398"/>
      <c r="O54" s="4398"/>
      <c r="P54" s="4399"/>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6137</v>
      </c>
      <c r="C55" s="2279"/>
      <c r="D55" s="2280"/>
      <c r="E55" s="2280"/>
      <c r="F55" s="2280"/>
      <c r="G55" s="2276">
        <v>10</v>
      </c>
      <c r="H55" s="2277">
        <v>10</v>
      </c>
      <c r="I55" s="2277">
        <v>10</v>
      </c>
      <c r="J55" s="2276">
        <v>10</v>
      </c>
      <c r="K55" s="2278">
        <v>10</v>
      </c>
      <c r="L55" s="2278">
        <v>10</v>
      </c>
      <c r="M55" s="4400"/>
      <c r="N55" s="4401"/>
      <c r="O55" s="4401"/>
      <c r="P55" s="4402"/>
      <c r="R55" s="2409" t="s">
        <v>3380</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6560</v>
      </c>
      <c r="C56" s="2279"/>
      <c r="D56" s="2280"/>
      <c r="E56" s="2280"/>
      <c r="F56" s="2280"/>
      <c r="G56" s="2276">
        <v>3</v>
      </c>
      <c r="H56" s="2277">
        <v>3</v>
      </c>
      <c r="I56" s="2277">
        <v>3</v>
      </c>
      <c r="J56" s="2276">
        <v>3</v>
      </c>
      <c r="K56" s="2278">
        <v>3</v>
      </c>
      <c r="L56" s="2278">
        <v>3</v>
      </c>
      <c r="R56" s="2409" t="s">
        <v>3381</v>
      </c>
      <c r="S56" s="2273" t="s">
        <v>6560</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6138</v>
      </c>
      <c r="C57" s="2279"/>
      <c r="D57" s="2280"/>
      <c r="E57" s="2280"/>
      <c r="F57" s="2280"/>
      <c r="G57" s="2276"/>
      <c r="H57" s="2277"/>
      <c r="I57" s="2277">
        <v>6</v>
      </c>
      <c r="J57" s="2276">
        <v>6</v>
      </c>
      <c r="K57" s="2278">
        <v>6</v>
      </c>
      <c r="L57" s="2278">
        <v>6</v>
      </c>
      <c r="M57" s="4395" t="s">
        <v>6146</v>
      </c>
      <c r="N57" s="4396"/>
      <c r="O57" s="4396"/>
      <c r="P57" s="4396"/>
      <c r="Q57" s="1969"/>
      <c r="R57" s="2409" t="s">
        <v>3382</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6561</v>
      </c>
      <c r="C58" s="2279"/>
      <c r="D58" s="2280"/>
      <c r="E58" s="2280"/>
      <c r="F58" s="2280"/>
      <c r="G58" s="2276"/>
      <c r="H58" s="2277"/>
      <c r="I58" s="2277">
        <v>6</v>
      </c>
      <c r="J58" s="2276">
        <v>6</v>
      </c>
      <c r="K58" s="2278">
        <v>6</v>
      </c>
      <c r="L58" s="2278">
        <v>6</v>
      </c>
      <c r="M58" s="4529"/>
      <c r="N58" s="4530"/>
      <c r="O58" s="4530"/>
      <c r="P58" s="4530"/>
      <c r="Q58" s="1969"/>
      <c r="R58" s="2409" t="s">
        <v>3383</v>
      </c>
      <c r="S58" s="2273" t="s">
        <v>6561</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6562</v>
      </c>
      <c r="C59" s="2279"/>
      <c r="D59" s="2280"/>
      <c r="E59" s="2280"/>
      <c r="F59" s="2280"/>
      <c r="G59" s="2276"/>
      <c r="H59" s="2277"/>
      <c r="I59" s="2277">
        <v>4</v>
      </c>
      <c r="J59" s="2276">
        <v>4</v>
      </c>
      <c r="K59" s="2278">
        <v>4</v>
      </c>
      <c r="L59" s="2278">
        <v>4</v>
      </c>
      <c r="M59" s="4251" t="s">
        <v>3023</v>
      </c>
      <c r="N59" s="4252"/>
      <c r="O59" s="4252"/>
      <c r="P59" s="4253"/>
      <c r="R59" s="2409" t="s">
        <v>3807</v>
      </c>
      <c r="S59" s="2273" t="s">
        <v>6562</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6565</v>
      </c>
      <c r="B60" s="2281" t="s">
        <v>6563</v>
      </c>
      <c r="C60" s="2282"/>
      <c r="D60" s="2283"/>
      <c r="E60" s="2283"/>
      <c r="F60" s="2283"/>
      <c r="G60" s="2284"/>
      <c r="H60" s="2285"/>
      <c r="I60" s="2285">
        <v>6</v>
      </c>
      <c r="J60" s="2284">
        <v>4</v>
      </c>
      <c r="K60" s="2286">
        <v>6</v>
      </c>
      <c r="L60" s="2286">
        <v>4</v>
      </c>
      <c r="M60" s="4254"/>
      <c r="N60" s="4255"/>
      <c r="O60" s="4255"/>
      <c r="P60" s="4256"/>
      <c r="Q60" s="1969"/>
      <c r="R60" s="2409" t="s">
        <v>6565</v>
      </c>
      <c r="S60" s="2281" t="s">
        <v>6563</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51</v>
      </c>
      <c r="Y62" s="2343">
        <f t="shared" ref="Y62" si="1">SUM(Y35:Y60)</f>
        <v>48</v>
      </c>
      <c r="Z62" s="2343">
        <f>SUM(Z35:Z60)</f>
        <v>31</v>
      </c>
      <c r="AA62" s="2343">
        <f>SUM(AA35:AA60)</f>
        <v>29</v>
      </c>
      <c r="AB62" s="2343">
        <f>SUM(AB35:AB60)</f>
        <v>31</v>
      </c>
      <c r="AC62" s="2343">
        <f>SUM(AC35:AC60)</f>
        <v>31</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305" t="s">
        <v>3899</v>
      </c>
      <c r="D69" s="4306"/>
      <c r="E69" s="4306"/>
      <c r="F69" s="4306"/>
      <c r="G69" s="4306"/>
      <c r="H69" s="4306"/>
      <c r="I69" s="4306"/>
      <c r="J69" s="4306"/>
      <c r="K69" s="4306"/>
      <c r="L69" s="4306"/>
      <c r="M69" s="4306"/>
      <c r="N69" s="4306"/>
      <c r="O69" s="4306"/>
      <c r="P69" s="430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16" t="s">
        <v>6077</v>
      </c>
      <c r="B73" s="4216"/>
      <c r="C73" s="4216"/>
      <c r="D73" s="4216"/>
      <c r="E73" s="4216"/>
      <c r="F73" s="1492" t="s">
        <v>3393</v>
      </c>
      <c r="G73" s="4382" t="s">
        <v>6079</v>
      </c>
      <c r="H73" s="4382"/>
      <c r="I73" s="4382"/>
      <c r="J73" s="1492" t="s">
        <v>3393</v>
      </c>
      <c r="K73" s="4386" t="s">
        <v>6078</v>
      </c>
      <c r="L73" s="4386"/>
      <c r="M73" s="4386"/>
      <c r="N73" s="4386"/>
      <c r="O73" s="4380" t="s">
        <v>3393</v>
      </c>
      <c r="P73" s="4381"/>
      <c r="R73" s="468"/>
      <c r="S73" s="159"/>
    </row>
    <row r="74" spans="1:20" s="42" customFormat="1" ht="12.75" customHeight="1">
      <c r="A74" s="4379"/>
      <c r="B74" s="4379"/>
      <c r="C74" s="4379"/>
      <c r="D74" s="4379"/>
      <c r="E74" s="4379"/>
      <c r="F74" s="76">
        <f>SUM(F75:F86)</f>
        <v>0</v>
      </c>
      <c r="G74" s="4383"/>
      <c r="H74" s="4384"/>
      <c r="I74" s="4385"/>
      <c r="J74" s="76">
        <f>SUM(J75:J86)</f>
        <v>0</v>
      </c>
      <c r="K74" s="4387"/>
      <c r="L74" s="4388"/>
      <c r="M74" s="4388"/>
      <c r="N74" s="4389"/>
      <c r="O74" s="4370">
        <f>SUM(O75:O86)</f>
        <v>0</v>
      </c>
      <c r="P74" s="4371"/>
      <c r="Q74" s="468"/>
      <c r="R74" s="159"/>
    </row>
    <row r="75" spans="1:20" s="42" customFormat="1" ht="24.75" customHeight="1">
      <c r="A75" s="4372">
        <v>1</v>
      </c>
      <c r="B75" s="4373"/>
      <c r="C75" s="4373"/>
      <c r="D75" s="4373"/>
      <c r="E75" s="4374"/>
      <c r="F75" s="866"/>
      <c r="G75" s="4372">
        <v>1</v>
      </c>
      <c r="H75" s="4373"/>
      <c r="I75" s="4374"/>
      <c r="J75" s="870" t="s">
        <v>1611</v>
      </c>
      <c r="K75" s="4375">
        <v>1</v>
      </c>
      <c r="L75" s="4376"/>
      <c r="M75" s="4376"/>
      <c r="N75" s="4376"/>
      <c r="O75" s="4377" t="s">
        <v>1611</v>
      </c>
      <c r="P75" s="4378"/>
      <c r="Q75" s="466" t="s">
        <v>1181</v>
      </c>
      <c r="R75" s="159"/>
    </row>
    <row r="76" spans="1:20" s="42" customFormat="1" ht="24.75" customHeight="1">
      <c r="A76" s="4262">
        <v>2</v>
      </c>
      <c r="B76" s="4263"/>
      <c r="C76" s="4263"/>
      <c r="D76" s="4263"/>
      <c r="E76" s="4264"/>
      <c r="F76" s="867"/>
      <c r="G76" s="4262">
        <v>2</v>
      </c>
      <c r="H76" s="4263"/>
      <c r="I76" s="4264"/>
      <c r="J76" s="867"/>
      <c r="K76" s="4298">
        <v>2</v>
      </c>
      <c r="L76" s="4299"/>
      <c r="M76" s="4299"/>
      <c r="N76" s="4299"/>
      <c r="O76" s="4257"/>
      <c r="P76" s="4258"/>
      <c r="Q76" s="467"/>
      <c r="R76" s="159"/>
    </row>
    <row r="77" spans="1:20" s="42" customFormat="1" ht="24.75" customHeight="1">
      <c r="A77" s="4262">
        <v>3</v>
      </c>
      <c r="B77" s="4263"/>
      <c r="C77" s="4263"/>
      <c r="D77" s="4263"/>
      <c r="E77" s="4264"/>
      <c r="F77" s="867"/>
      <c r="G77" s="4262">
        <v>3</v>
      </c>
      <c r="H77" s="4263"/>
      <c r="I77" s="4264"/>
      <c r="J77" s="1193" t="s">
        <v>2578</v>
      </c>
      <c r="K77" s="4298">
        <v>3</v>
      </c>
      <c r="L77" s="4299"/>
      <c r="M77" s="4299"/>
      <c r="N77" s="4299"/>
      <c r="O77" s="4491" t="s">
        <v>2578</v>
      </c>
      <c r="P77" s="4492"/>
      <c r="Q77" s="4535" t="s">
        <v>3813</v>
      </c>
      <c r="R77" s="4536"/>
      <c r="S77" s="1495"/>
      <c r="T77" s="1495"/>
    </row>
    <row r="78" spans="1:20" s="42" customFormat="1" ht="24.75" customHeight="1">
      <c r="A78" s="4262">
        <v>4</v>
      </c>
      <c r="B78" s="4263"/>
      <c r="C78" s="4263"/>
      <c r="D78" s="4263"/>
      <c r="E78" s="4264"/>
      <c r="F78" s="867"/>
      <c r="G78" s="4262">
        <v>4</v>
      </c>
      <c r="H78" s="4263"/>
      <c r="I78" s="4264"/>
      <c r="J78" s="867"/>
      <c r="K78" s="4298">
        <v>4</v>
      </c>
      <c r="L78" s="4299"/>
      <c r="M78" s="4299"/>
      <c r="N78" s="4299"/>
      <c r="O78" s="4491" t="s">
        <v>2578</v>
      </c>
      <c r="P78" s="4492"/>
      <c r="Q78" s="4535"/>
      <c r="R78" s="4536"/>
      <c r="S78" s="1495"/>
      <c r="T78" s="1495"/>
    </row>
    <row r="79" spans="1:20" s="42" customFormat="1" ht="24.75" customHeight="1">
      <c r="A79" s="4262">
        <v>5</v>
      </c>
      <c r="B79" s="4263"/>
      <c r="C79" s="4263"/>
      <c r="D79" s="4263"/>
      <c r="E79" s="4264"/>
      <c r="F79" s="867"/>
      <c r="G79" s="4262">
        <v>5</v>
      </c>
      <c r="H79" s="4263"/>
      <c r="I79" s="4264"/>
      <c r="J79" s="1193" t="s">
        <v>3147</v>
      </c>
      <c r="K79" s="4298">
        <v>5</v>
      </c>
      <c r="L79" s="4299"/>
      <c r="M79" s="4299"/>
      <c r="N79" s="4299"/>
      <c r="O79" s="4257"/>
      <c r="P79" s="4258"/>
      <c r="Q79" s="4535"/>
      <c r="R79" s="4536"/>
      <c r="S79" s="1495"/>
      <c r="T79" s="1495"/>
    </row>
    <row r="80" spans="1:20" s="42" customFormat="1" ht="24" customHeight="1">
      <c r="A80" s="4262">
        <v>6</v>
      </c>
      <c r="B80" s="4263"/>
      <c r="C80" s="4263"/>
      <c r="D80" s="4263"/>
      <c r="E80" s="4264"/>
      <c r="F80" s="867"/>
      <c r="G80" s="4262">
        <v>6</v>
      </c>
      <c r="H80" s="4263"/>
      <c r="I80" s="4264"/>
      <c r="J80" s="867"/>
      <c r="K80" s="4298">
        <v>6</v>
      </c>
      <c r="L80" s="4299"/>
      <c r="M80" s="4299"/>
      <c r="N80" s="4299"/>
      <c r="O80" s="4257"/>
      <c r="P80" s="4258"/>
      <c r="Q80" s="4535"/>
      <c r="R80" s="4536"/>
    </row>
    <row r="81" spans="1:19" s="42" customFormat="1" ht="24.75" customHeight="1">
      <c r="A81" s="4262">
        <v>7</v>
      </c>
      <c r="B81" s="4263"/>
      <c r="C81" s="4263"/>
      <c r="D81" s="4263"/>
      <c r="E81" s="4264"/>
      <c r="F81" s="867"/>
      <c r="G81" s="4262">
        <v>7</v>
      </c>
      <c r="H81" s="4263"/>
      <c r="I81" s="4264"/>
      <c r="J81" s="1193" t="s">
        <v>3148</v>
      </c>
      <c r="K81" s="4298">
        <v>7</v>
      </c>
      <c r="L81" s="4299"/>
      <c r="M81" s="4299"/>
      <c r="N81" s="4299"/>
      <c r="O81" s="4257"/>
      <c r="P81" s="4258"/>
      <c r="Q81" s="159"/>
      <c r="R81" s="159"/>
    </row>
    <row r="82" spans="1:19" s="42" customFormat="1" ht="24.75" customHeight="1">
      <c r="A82" s="4262">
        <v>8</v>
      </c>
      <c r="B82" s="4263"/>
      <c r="C82" s="4263"/>
      <c r="D82" s="4263"/>
      <c r="E82" s="4264"/>
      <c r="F82" s="867"/>
      <c r="G82" s="4262">
        <v>8</v>
      </c>
      <c r="H82" s="4263"/>
      <c r="I82" s="4264"/>
      <c r="J82" s="867"/>
      <c r="K82" s="4298">
        <v>8</v>
      </c>
      <c r="L82" s="4299"/>
      <c r="M82" s="4299"/>
      <c r="N82" s="4299"/>
      <c r="O82" s="4257"/>
      <c r="P82" s="4258"/>
      <c r="Q82" s="159"/>
      <c r="R82" s="159"/>
    </row>
    <row r="83" spans="1:19" s="42" customFormat="1" ht="24.75" customHeight="1">
      <c r="A83" s="4262">
        <v>9</v>
      </c>
      <c r="B83" s="4263"/>
      <c r="C83" s="4263"/>
      <c r="D83" s="4263"/>
      <c r="E83" s="4264"/>
      <c r="F83" s="867"/>
      <c r="G83" s="4262">
        <v>9</v>
      </c>
      <c r="H83" s="4263"/>
      <c r="I83" s="4264"/>
      <c r="J83" s="1193" t="s">
        <v>3149</v>
      </c>
      <c r="K83" s="4298">
        <v>9</v>
      </c>
      <c r="L83" s="4299"/>
      <c r="M83" s="4299"/>
      <c r="N83" s="4299"/>
      <c r="O83" s="4257"/>
      <c r="P83" s="4258"/>
      <c r="Q83" s="159"/>
      <c r="R83" s="159"/>
    </row>
    <row r="84" spans="1:19" s="42" customFormat="1" ht="24.75" customHeight="1">
      <c r="A84" s="4262">
        <v>10</v>
      </c>
      <c r="B84" s="4263"/>
      <c r="C84" s="4263"/>
      <c r="D84" s="4263"/>
      <c r="E84" s="4264"/>
      <c r="F84" s="867"/>
      <c r="G84" s="4262">
        <v>10</v>
      </c>
      <c r="H84" s="4263"/>
      <c r="I84" s="4264"/>
      <c r="J84" s="867"/>
      <c r="K84" s="4298">
        <v>10</v>
      </c>
      <c r="L84" s="4299"/>
      <c r="M84" s="4299"/>
      <c r="N84" s="4299"/>
      <c r="O84" s="4257"/>
      <c r="P84" s="4258"/>
      <c r="Q84" s="159"/>
    </row>
    <row r="85" spans="1:19" s="42" customFormat="1" ht="24.75" customHeight="1">
      <c r="A85" s="4262">
        <v>11</v>
      </c>
      <c r="B85" s="4263"/>
      <c r="C85" s="4263"/>
      <c r="D85" s="4263"/>
      <c r="E85" s="4264"/>
      <c r="F85" s="867"/>
      <c r="G85" s="4262">
        <v>11</v>
      </c>
      <c r="H85" s="4263"/>
      <c r="I85" s="4264"/>
      <c r="J85" s="1193" t="s">
        <v>3150</v>
      </c>
      <c r="K85" s="4262">
        <v>11</v>
      </c>
      <c r="L85" s="4263"/>
      <c r="M85" s="4263"/>
      <c r="N85" s="4264"/>
      <c r="O85" s="4257"/>
      <c r="P85" s="4258"/>
      <c r="Q85" s="159"/>
      <c r="R85" s="159"/>
    </row>
    <row r="86" spans="1:19" s="42" customFormat="1" ht="24.75" customHeight="1">
      <c r="A86" s="4284">
        <v>12</v>
      </c>
      <c r="B86" s="4285"/>
      <c r="C86" s="4285"/>
      <c r="D86" s="4285"/>
      <c r="E86" s="4286"/>
      <c r="F86" s="868"/>
      <c r="G86" s="4284">
        <v>12</v>
      </c>
      <c r="H86" s="4285"/>
      <c r="I86" s="4286"/>
      <c r="J86" s="868"/>
      <c r="K86" s="4284">
        <v>12</v>
      </c>
      <c r="L86" s="4285"/>
      <c r="M86" s="4285"/>
      <c r="N86" s="4286"/>
      <c r="O86" s="4287"/>
      <c r="P86" s="4288"/>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6655</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6" t="s">
        <v>3816</v>
      </c>
      <c r="C91" s="4526"/>
      <c r="D91" s="4526"/>
      <c r="E91" s="4526"/>
      <c r="F91" s="4526"/>
      <c r="G91" s="4526"/>
      <c r="H91" s="4526"/>
      <c r="I91" s="4526"/>
      <c r="J91" s="4526"/>
      <c r="K91" s="4526"/>
      <c r="L91" s="4526"/>
      <c r="M91" s="872"/>
      <c r="N91" s="7"/>
      <c r="Q91" s="7"/>
      <c r="R91" s="401"/>
    </row>
    <row r="92" spans="1:19" s="103" customFormat="1" ht="13.5" customHeight="1">
      <c r="B92" s="4526"/>
      <c r="C92" s="4526"/>
      <c r="D92" s="4526"/>
      <c r="E92" s="4526"/>
      <c r="F92" s="4526"/>
      <c r="G92" s="4526"/>
      <c r="H92" s="4526"/>
      <c r="I92" s="4526"/>
      <c r="J92" s="4526"/>
      <c r="K92" s="4526"/>
      <c r="L92" s="4526"/>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57.65625</v>
      </c>
      <c r="L93" s="4474"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474"/>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9" t="s">
        <v>3820</v>
      </c>
      <c r="I96" s="4270"/>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72</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6930</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2"/>
      <c r="B100" s="4013"/>
      <c r="C100" s="4013"/>
      <c r="D100" s="4013"/>
      <c r="E100" s="4013"/>
      <c r="F100" s="4013"/>
      <c r="G100" s="4013"/>
      <c r="H100" s="4013"/>
      <c r="I100" s="4013"/>
      <c r="J100" s="4013"/>
      <c r="K100" s="4013"/>
      <c r="L100" s="4013"/>
      <c r="M100" s="4013"/>
      <c r="N100" s="4013"/>
      <c r="O100" s="4013"/>
      <c r="P100" s="4014"/>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9</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c r="P104" s="2320"/>
    </row>
    <row r="105" spans="1:21" s="103" customFormat="1" ht="12.75" customHeight="1">
      <c r="A105" s="139" t="s">
        <v>1842</v>
      </c>
      <c r="B105" s="177" t="s">
        <v>1737</v>
      </c>
      <c r="C105" s="4"/>
      <c r="D105" s="4"/>
      <c r="F105" s="317"/>
      <c r="H105" s="840" t="s">
        <v>2469</v>
      </c>
      <c r="I105" s="4289" t="s">
        <v>4048</v>
      </c>
      <c r="J105" s="4290"/>
      <c r="K105" s="4290"/>
      <c r="L105" s="4291"/>
      <c r="M105" s="598">
        <v>20</v>
      </c>
      <c r="N105" s="187" t="s">
        <v>1842</v>
      </c>
      <c r="O105" s="2321">
        <v>9</v>
      </c>
      <c r="P105" s="2322"/>
      <c r="Q105" s="1532"/>
      <c r="R105" s="1001" t="s">
        <v>4063</v>
      </c>
    </row>
    <row r="106" spans="1:21" s="103" customFormat="1" ht="12.75" customHeight="1">
      <c r="A106" s="139" t="s">
        <v>1844</v>
      </c>
      <c r="B106" s="177" t="s">
        <v>3281</v>
      </c>
      <c r="D106" s="1120"/>
      <c r="F106" s="1566"/>
      <c r="H106" s="840" t="s">
        <v>3340</v>
      </c>
      <c r="I106" s="4292"/>
      <c r="J106" s="4293"/>
      <c r="K106" s="4293"/>
      <c r="L106" s="4294"/>
      <c r="M106" s="1558" t="s">
        <v>1165</v>
      </c>
      <c r="N106" s="478" t="s">
        <v>1844</v>
      </c>
      <c r="O106" s="2323"/>
      <c r="P106" s="2324"/>
      <c r="R106" s="1001" t="s">
        <v>4063</v>
      </c>
    </row>
    <row r="107" spans="1:21" s="43" customFormat="1" ht="12.75" customHeight="1" thickBot="1">
      <c r="A107" s="42"/>
      <c r="B107" s="1197" t="s">
        <v>3242</v>
      </c>
      <c r="C107" s="42"/>
      <c r="D107" s="48"/>
      <c r="E107" s="48"/>
      <c r="F107" s="48"/>
      <c r="G107" s="48"/>
      <c r="H107" s="36"/>
      <c r="I107" s="4295"/>
      <c r="J107" s="4296"/>
      <c r="K107" s="4296"/>
      <c r="L107" s="4297"/>
      <c r="M107" s="46"/>
      <c r="N107" s="62"/>
      <c r="O107" s="3"/>
      <c r="P107" s="1205"/>
    </row>
    <row r="108" spans="1:21" s="43" customFormat="1" ht="90" customHeight="1" thickTop="1" thickBot="1">
      <c r="A108" s="4244" t="s">
        <v>7039</v>
      </c>
      <c r="B108" s="4245"/>
      <c r="C108" s="4245"/>
      <c r="D108" s="4245"/>
      <c r="E108" s="4245"/>
      <c r="F108" s="4245"/>
      <c r="G108" s="4245"/>
      <c r="H108" s="4245"/>
      <c r="I108" s="4245"/>
      <c r="J108" s="4245"/>
      <c r="K108" s="4245"/>
      <c r="L108" s="4245"/>
      <c r="M108" s="4245"/>
      <c r="N108" s="4245"/>
      <c r="O108" s="4245"/>
      <c r="P108" s="4246"/>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2"/>
      <c r="B110" s="4013"/>
      <c r="C110" s="4013"/>
      <c r="D110" s="4013"/>
      <c r="E110" s="4013"/>
      <c r="F110" s="4013"/>
      <c r="G110" s="4013"/>
      <c r="H110" s="4013"/>
      <c r="I110" s="4013"/>
      <c r="J110" s="4013"/>
      <c r="K110" s="4013"/>
      <c r="L110" s="4013"/>
      <c r="M110" s="4013"/>
      <c r="N110" s="4013"/>
      <c r="O110" s="4013"/>
      <c r="P110" s="4014"/>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Atlanta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t="s">
        <v>2654</v>
      </c>
      <c r="P116" s="550"/>
      <c r="Q116" s="110"/>
      <c r="R116" s="2437"/>
      <c r="S116" s="2437"/>
      <c r="T116" s="2437"/>
      <c r="U116" s="2437"/>
    </row>
    <row r="117" spans="1:21" s="43" customFormat="1" ht="11.25" customHeight="1">
      <c r="A117" s="154"/>
      <c r="B117" s="399" t="s">
        <v>1151</v>
      </c>
      <c r="C117" s="36" t="s">
        <v>6575</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6576</v>
      </c>
      <c r="D118" s="1120"/>
      <c r="E118" s="103"/>
      <c r="F118" s="103"/>
      <c r="G118" s="103"/>
      <c r="H118" s="45"/>
      <c r="I118" s="49"/>
      <c r="J118" s="48"/>
      <c r="K118" s="48"/>
      <c r="L118" s="103"/>
      <c r="M118" s="103"/>
      <c r="N118" s="478"/>
      <c r="O118" s="231" t="s">
        <v>2651</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6579</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51" t="s">
        <v>3218</v>
      </c>
      <c r="G122" s="4351"/>
      <c r="H122" s="4351"/>
      <c r="I122" s="4351"/>
      <c r="J122" s="4351" t="s">
        <v>3219</v>
      </c>
      <c r="K122" s="4351"/>
      <c r="L122" s="4351"/>
      <c r="M122" s="4351"/>
      <c r="N122" s="478"/>
      <c r="O122" s="4352" t="s">
        <v>3889</v>
      </c>
      <c r="P122" s="4353"/>
      <c r="Q122" s="110"/>
      <c r="R122" s="2437"/>
      <c r="S122" s="2437"/>
      <c r="T122" s="2437"/>
      <c r="U122" s="2437"/>
    </row>
    <row r="123" spans="1:21" s="43" customFormat="1" ht="12" customHeight="1">
      <c r="B123" s="2436"/>
      <c r="C123" s="2434" t="s">
        <v>6578</v>
      </c>
      <c r="E123" s="291"/>
      <c r="F123" s="4302">
        <v>33.61448</v>
      </c>
      <c r="G123" s="4303"/>
      <c r="H123" s="4266"/>
      <c r="I123" s="4267"/>
      <c r="J123" s="4302">
        <v>-84.516734999999997</v>
      </c>
      <c r="K123" s="4303"/>
      <c r="L123" s="4266"/>
      <c r="M123" s="4267"/>
      <c r="N123" s="478"/>
      <c r="Q123" s="110"/>
      <c r="R123" s="2437"/>
      <c r="S123" s="2437"/>
      <c r="T123" s="2437"/>
      <c r="U123" s="2437"/>
    </row>
    <row r="124" spans="1:21" s="43" customFormat="1" ht="12" customHeight="1">
      <c r="A124" s="2436"/>
      <c r="B124" s="2436"/>
      <c r="C124" s="2436"/>
      <c r="D124" s="414"/>
      <c r="E124" s="2435" t="s">
        <v>6153</v>
      </c>
      <c r="F124" s="4475">
        <v>33.614213999999997</v>
      </c>
      <c r="G124" s="4476"/>
      <c r="H124" s="4482"/>
      <c r="I124" s="4483"/>
      <c r="J124" s="4475">
        <v>-84.517270999999994</v>
      </c>
      <c r="K124" s="4476"/>
      <c r="L124" s="4482"/>
      <c r="M124" s="4483"/>
      <c r="N124" s="478"/>
      <c r="O124" s="1627">
        <v>0.04</v>
      </c>
      <c r="P124" s="1173"/>
      <c r="Q124" s="110"/>
      <c r="R124" s="2437"/>
      <c r="S124" s="2437"/>
      <c r="T124" s="2437"/>
      <c r="U124" s="2437"/>
    </row>
    <row r="125" spans="1:21" s="43" customFormat="1" ht="12" customHeight="1">
      <c r="A125" s="4488" t="s">
        <v>6689</v>
      </c>
      <c r="B125" s="4488"/>
      <c r="C125" s="2434" t="s">
        <v>6577</v>
      </c>
      <c r="E125" s="291"/>
      <c r="F125" s="4477"/>
      <c r="G125" s="4478"/>
      <c r="H125" s="4493"/>
      <c r="I125" s="4494"/>
      <c r="J125" s="4477"/>
      <c r="K125" s="4478"/>
      <c r="L125" s="4493"/>
      <c r="M125" s="4494"/>
      <c r="N125" s="478"/>
      <c r="O125" s="478"/>
      <c r="P125" s="478"/>
      <c r="Q125" s="110"/>
      <c r="R125" s="2437"/>
      <c r="S125" s="2437"/>
      <c r="T125" s="2437"/>
      <c r="U125" s="2437"/>
    </row>
    <row r="126" spans="1:21" s="43" customFormat="1" ht="12" customHeight="1">
      <c r="A126" s="4488"/>
      <c r="B126" s="4488"/>
      <c r="C126" s="414"/>
      <c r="D126" s="414"/>
      <c r="E126" s="2435" t="s">
        <v>3368</v>
      </c>
      <c r="F126" s="4348"/>
      <c r="G126" s="4349"/>
      <c r="H126" s="4480"/>
      <c r="I126" s="4481"/>
      <c r="J126" s="4348"/>
      <c r="K126" s="4349"/>
      <c r="L126" s="4480"/>
      <c r="M126" s="4481"/>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484" t="str">
        <f>IF(AND(O130&gt;0,O137&gt;0),"Pick A or B, not both!","")</f>
        <v/>
      </c>
      <c r="J128" s="4484"/>
      <c r="K128" s="4484" t="str">
        <f>IF(AND(P130&gt;0,P137&gt;0),"Pick A or B, not both!","")</f>
        <v/>
      </c>
      <c r="L128" s="4484"/>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6693</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t="s">
        <v>2654</v>
      </c>
      <c r="P131" s="551"/>
      <c r="Q131" s="110"/>
    </row>
    <row r="132" spans="1:21" s="436" customFormat="1" ht="25.5" customHeight="1">
      <c r="B132" s="462" t="s">
        <v>1845</v>
      </c>
      <c r="C132" s="4350" t="s">
        <v>6687</v>
      </c>
      <c r="D132" s="4350"/>
      <c r="E132" s="4350"/>
      <c r="F132" s="4350"/>
      <c r="G132" s="4350"/>
      <c r="H132" s="4350"/>
      <c r="I132" s="4350"/>
      <c r="J132" s="4350"/>
      <c r="K132" s="4350"/>
      <c r="L132" s="4350"/>
      <c r="M132" s="2454">
        <v>6</v>
      </c>
      <c r="N132" s="493" t="s">
        <v>1845</v>
      </c>
      <c r="O132" s="2580"/>
      <c r="P132" s="2581"/>
      <c r="Q132" s="1532"/>
      <c r="R132" s="1001" t="s">
        <v>4063</v>
      </c>
    </row>
    <row r="133" spans="1:21" s="436" customFormat="1" ht="12" customHeight="1">
      <c r="A133" s="595" t="s">
        <v>1276</v>
      </c>
      <c r="B133" s="462" t="s">
        <v>1847</v>
      </c>
      <c r="C133" s="4268" t="s">
        <v>6688</v>
      </c>
      <c r="D133" s="4268"/>
      <c r="E133" s="4268"/>
      <c r="F133" s="4268"/>
      <c r="G133" s="2572"/>
      <c r="J133" s="4354" t="s">
        <v>6684</v>
      </c>
      <c r="K133" s="4355"/>
      <c r="L133" s="4356"/>
      <c r="M133" s="598">
        <v>5</v>
      </c>
      <c r="N133" s="460" t="s">
        <v>1847</v>
      </c>
      <c r="O133" s="2596"/>
      <c r="P133" s="2597"/>
      <c r="Q133" s="2391" t="s">
        <v>6680</v>
      </c>
      <c r="R133" s="1492" t="s">
        <v>6271</v>
      </c>
      <c r="S133" s="1492" t="s">
        <v>6151</v>
      </c>
    </row>
    <row r="134" spans="1:21" s="436" customFormat="1" ht="12" customHeight="1">
      <c r="B134" s="462"/>
      <c r="C134" s="4268"/>
      <c r="D134" s="4268"/>
      <c r="E134" s="4268"/>
      <c r="F134" s="4268"/>
      <c r="G134" s="2572"/>
      <c r="H134" s="4227" t="s">
        <v>6682</v>
      </c>
      <c r="I134" s="4227"/>
      <c r="J134" s="4357"/>
      <c r="K134" s="4358"/>
      <c r="L134" s="4359"/>
      <c r="M134" s="4495" t="str">
        <f>IF(AND(O133&gt;0,O132&gt;0),"Pick A1 or A2!","")</f>
        <v/>
      </c>
      <c r="N134" s="4496"/>
      <c r="O134" s="4496"/>
      <c r="P134" s="4496"/>
      <c r="Q134" s="1004"/>
      <c r="R134" s="1983">
        <v>0.25</v>
      </c>
      <c r="S134" s="1983">
        <v>5</v>
      </c>
    </row>
    <row r="135" spans="1:21" s="436" customFormat="1" ht="12" customHeight="1">
      <c r="B135" s="462"/>
      <c r="C135" s="4268"/>
      <c r="D135" s="4268"/>
      <c r="E135" s="4268"/>
      <c r="F135" s="4268"/>
      <c r="G135" s="2572"/>
      <c r="H135" s="2326"/>
      <c r="I135" s="2574"/>
      <c r="J135" s="4357"/>
      <c r="K135" s="4358"/>
      <c r="L135" s="4359"/>
      <c r="Q135" s="1004"/>
      <c r="R135" s="1983">
        <v>0.5</v>
      </c>
      <c r="S135" s="1983">
        <v>4.5</v>
      </c>
    </row>
    <row r="136" spans="1:21" s="436" customFormat="1" ht="12" customHeight="1">
      <c r="B136" s="462"/>
      <c r="C136" s="4268"/>
      <c r="D136" s="4268"/>
      <c r="E136" s="4268"/>
      <c r="F136" s="4268"/>
      <c r="G136" s="2572"/>
      <c r="J136" s="4357"/>
      <c r="K136" s="4358"/>
      <c r="L136" s="4359"/>
      <c r="M136" s="103"/>
      <c r="N136" s="103"/>
      <c r="O136" s="103"/>
      <c r="P136" s="103"/>
      <c r="Q136" s="522"/>
      <c r="R136" s="1984">
        <v>1</v>
      </c>
      <c r="S136" s="1984">
        <v>4</v>
      </c>
    </row>
    <row r="137" spans="1:21" s="436" customFormat="1" ht="12" customHeight="1">
      <c r="A137" s="144" t="s">
        <v>1844</v>
      </c>
      <c r="B137" s="1146" t="s">
        <v>3240</v>
      </c>
      <c r="C137" s="649"/>
      <c r="D137" s="649"/>
      <c r="F137" s="2571" t="s">
        <v>6679</v>
      </c>
      <c r="J137" s="4279" t="s">
        <v>6969</v>
      </c>
      <c r="K137" s="4280"/>
      <c r="L137" s="2433" t="s">
        <v>6970</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6681</v>
      </c>
      <c r="R137" s="2575">
        <v>0.25</v>
      </c>
      <c r="S137" s="2575">
        <v>3</v>
      </c>
    </row>
    <row r="138" spans="1:21" s="43" customFormat="1" ht="12" customHeight="1">
      <c r="A138" s="154"/>
      <c r="B138" s="2132" t="s">
        <v>1845</v>
      </c>
      <c r="C138" s="4268" t="s">
        <v>6694</v>
      </c>
      <c r="D138" s="4268"/>
      <c r="E138" s="4268"/>
      <c r="F138" s="4268"/>
      <c r="G138" s="2572"/>
      <c r="H138" s="4227" t="s">
        <v>6683</v>
      </c>
      <c r="I138" s="4227"/>
      <c r="J138" s="4281" t="s">
        <v>6971</v>
      </c>
      <c r="K138" s="4282"/>
      <c r="L138" s="4283"/>
      <c r="M138" s="598">
        <v>3</v>
      </c>
      <c r="N138" s="460" t="s">
        <v>1845</v>
      </c>
      <c r="O138" s="4524">
        <v>3</v>
      </c>
      <c r="P138" s="4527"/>
      <c r="Q138" s="1004" t="str">
        <f>IF(OR($O140=$M140,$O140=0,$O140=""),"","*CHECK!*")</f>
        <v/>
      </c>
      <c r="R138" s="1983">
        <v>0.5</v>
      </c>
      <c r="S138" s="1983">
        <v>2</v>
      </c>
      <c r="U138" s="436"/>
    </row>
    <row r="139" spans="1:21" s="43" customFormat="1" ht="12" customHeight="1">
      <c r="A139" s="154"/>
      <c r="B139" s="2555"/>
      <c r="C139" s="4268"/>
      <c r="D139" s="4268"/>
      <c r="E139" s="4268"/>
      <c r="F139" s="4268"/>
      <c r="G139" s="103"/>
      <c r="H139" s="2326">
        <v>0.04</v>
      </c>
      <c r="I139" s="2574"/>
      <c r="J139" s="4511" t="s">
        <v>6967</v>
      </c>
      <c r="K139" s="4512"/>
      <c r="L139" s="4513"/>
      <c r="M139" s="103"/>
      <c r="O139" s="4525"/>
      <c r="P139" s="4528"/>
      <c r="Q139" s="110"/>
      <c r="R139" s="1984">
        <v>1</v>
      </c>
      <c r="S139" s="1984">
        <v>1</v>
      </c>
      <c r="U139" s="436"/>
    </row>
    <row r="140" spans="1:21" s="43" customFormat="1" ht="11.25" customHeight="1">
      <c r="A140" s="595" t="s">
        <v>1276</v>
      </c>
      <c r="B140" s="2132" t="s">
        <v>1847</v>
      </c>
      <c r="C140" s="4268" t="s">
        <v>6686</v>
      </c>
      <c r="D140" s="4268"/>
      <c r="E140" s="4268"/>
      <c r="F140" s="4268"/>
      <c r="G140" s="4268"/>
      <c r="H140" s="4268"/>
      <c r="I140" s="2573"/>
      <c r="J140" s="4514"/>
      <c r="K140" s="4515"/>
      <c r="L140" s="4516"/>
      <c r="M140" s="598">
        <v>1</v>
      </c>
      <c r="N140" s="460" t="s">
        <v>1847</v>
      </c>
      <c r="O140" s="4304"/>
      <c r="P140" s="4487"/>
      <c r="U140" s="436"/>
    </row>
    <row r="141" spans="1:21" s="43" customFormat="1" ht="11.25" customHeight="1">
      <c r="B141" s="2576"/>
      <c r="C141" s="4268"/>
      <c r="D141" s="4268"/>
      <c r="E141" s="4268"/>
      <c r="F141" s="4268"/>
      <c r="G141" s="4268"/>
      <c r="H141" s="4268"/>
      <c r="I141" s="2573"/>
      <c r="J141" s="4517"/>
      <c r="K141" s="4518"/>
      <c r="L141" s="4519"/>
      <c r="O141" s="4304"/>
      <c r="P141" s="4487"/>
      <c r="T141" s="436"/>
      <c r="U141" s="436"/>
    </row>
    <row r="142" spans="1:21" s="436" customFormat="1" ht="12" customHeight="1">
      <c r="A142" s="2131" t="s">
        <v>1276</v>
      </c>
      <c r="B142" s="2132" t="s">
        <v>2333</v>
      </c>
      <c r="C142" s="4268" t="s">
        <v>6685</v>
      </c>
      <c r="D142" s="4268"/>
      <c r="E142" s="4268"/>
      <c r="F142" s="4268"/>
      <c r="G142" s="4268"/>
      <c r="H142" s="4268"/>
      <c r="I142" s="4523"/>
      <c r="J142" s="4511" t="s">
        <v>6968</v>
      </c>
      <c r="K142" s="4512"/>
      <c r="L142" s="4513"/>
      <c r="M142" s="2454">
        <v>2</v>
      </c>
      <c r="N142" s="493" t="s">
        <v>2333</v>
      </c>
      <c r="O142" s="4485"/>
      <c r="P142" s="4300"/>
      <c r="Q142" s="1004"/>
      <c r="R142" s="1001"/>
    </row>
    <row r="143" spans="1:21" s="43" customFormat="1" ht="36.75" customHeight="1">
      <c r="C143" s="4268"/>
      <c r="D143" s="4268"/>
      <c r="E143" s="4268"/>
      <c r="F143" s="4268"/>
      <c r="G143" s="4268"/>
      <c r="H143" s="4268"/>
      <c r="I143" s="4523"/>
      <c r="J143" s="4520"/>
      <c r="K143" s="4521"/>
      <c r="L143" s="4522"/>
      <c r="O143" s="4486"/>
      <c r="P143" s="4301"/>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244" t="s">
        <v>7029</v>
      </c>
      <c r="B146" s="4245"/>
      <c r="C146" s="4245"/>
      <c r="D146" s="4245"/>
      <c r="E146" s="4245"/>
      <c r="F146" s="4245"/>
      <c r="G146" s="4245"/>
      <c r="H146" s="4245"/>
      <c r="I146" s="4245"/>
      <c r="J146" s="4245"/>
      <c r="K146" s="4245"/>
      <c r="L146" s="4245"/>
      <c r="M146" s="4245"/>
      <c r="N146" s="4245"/>
      <c r="O146" s="4245"/>
      <c r="P146" s="4246"/>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2"/>
      <c r="B148" s="4013"/>
      <c r="C148" s="4013"/>
      <c r="D148" s="4013"/>
      <c r="E148" s="4013"/>
      <c r="F148" s="4013"/>
      <c r="G148" s="4013"/>
      <c r="H148" s="4013"/>
      <c r="I148" s="4013"/>
      <c r="J148" s="4013"/>
      <c r="K148" s="4013"/>
      <c r="L148" s="4013"/>
      <c r="M148" s="4013"/>
      <c r="N148" s="4013"/>
      <c r="O148" s="4013"/>
      <c r="P148" s="4014"/>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Family</v>
      </c>
      <c r="M151" s="872">
        <v>3</v>
      </c>
      <c r="N151" s="74"/>
      <c r="O151" s="2102">
        <v>3</v>
      </c>
      <c r="P151" s="2103"/>
      <c r="Q151" s="1532" t="str">
        <f>IF(OR($O151&lt;=$M151,$O151=0,$O151=""),"","*CHECK!*")</f>
        <v/>
      </c>
      <c r="R151" s="2105" t="s">
        <v>416</v>
      </c>
      <c r="S151" s="1001" t="s">
        <v>4063</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508" t="s">
        <v>6635</v>
      </c>
      <c r="K153" s="4509"/>
      <c r="L153" s="4509"/>
      <c r="M153" s="4510"/>
    </row>
    <row r="154" spans="1:19" customFormat="1" ht="12.75" customHeight="1">
      <c r="B154" s="2139"/>
      <c r="C154" s="2139"/>
      <c r="D154" s="2139"/>
      <c r="F154" s="4497" t="s">
        <v>6636</v>
      </c>
      <c r="G154" s="4497"/>
      <c r="H154" s="4497" t="s">
        <v>6277</v>
      </c>
      <c r="I154" s="4497"/>
      <c r="J154" s="4499" t="s">
        <v>6637</v>
      </c>
      <c r="K154" s="4500"/>
      <c r="L154" s="4497" t="s">
        <v>6638</v>
      </c>
      <c r="M154" s="4502"/>
      <c r="N154" s="1641"/>
      <c r="O154" s="2487"/>
      <c r="P154" s="2488"/>
    </row>
    <row r="155" spans="1:19" customFormat="1" ht="30.75" customHeight="1">
      <c r="B155" s="2139"/>
      <c r="C155" s="2139"/>
      <c r="D155" s="2139"/>
      <c r="F155" s="4497"/>
      <c r="G155" s="4497"/>
      <c r="H155" s="4497"/>
      <c r="I155" s="4497"/>
      <c r="J155" s="4501"/>
      <c r="K155" s="4500"/>
      <c r="L155" s="4500"/>
      <c r="M155" s="4502"/>
      <c r="N155" s="1641"/>
      <c r="O155" s="2489"/>
      <c r="P155" s="2488"/>
    </row>
    <row r="156" spans="1:19" customFormat="1" ht="12" customHeight="1">
      <c r="B156" s="2325" t="s">
        <v>6639</v>
      </c>
      <c r="C156" s="2141"/>
      <c r="D156" s="2138"/>
      <c r="F156" s="4498"/>
      <c r="G156" s="4498"/>
      <c r="H156" s="4498"/>
      <c r="I156" s="4498"/>
      <c r="J156" s="4501"/>
      <c r="K156" s="4500"/>
      <c r="L156" s="4500"/>
      <c r="M156" s="4502"/>
      <c r="N156" s="1641"/>
      <c r="O156" s="2489"/>
      <c r="P156" s="2488"/>
    </row>
    <row r="157" spans="1:19" customFormat="1">
      <c r="B157" s="4503" t="s">
        <v>6963</v>
      </c>
      <c r="C157" s="4504"/>
      <c r="D157" s="4504"/>
      <c r="E157" s="4505"/>
      <c r="F157" s="4503" t="s">
        <v>2654</v>
      </c>
      <c r="G157" s="4505"/>
      <c r="H157" s="4503" t="s">
        <v>2651</v>
      </c>
      <c r="I157" s="4505"/>
      <c r="J157" s="4506" t="s">
        <v>2651</v>
      </c>
      <c r="K157" s="4507"/>
      <c r="L157" s="4506" t="s">
        <v>2651</v>
      </c>
      <c r="M157" s="4507"/>
      <c r="N157" s="4545"/>
      <c r="O157" s="4546"/>
      <c r="P157" s="2490"/>
    </row>
    <row r="158" spans="1:19" customFormat="1">
      <c r="B158" s="4329" t="s">
        <v>6965</v>
      </c>
      <c r="C158" s="4330"/>
      <c r="D158" s="4330"/>
      <c r="E158" s="4331"/>
      <c r="F158" s="4329" t="s">
        <v>2654</v>
      </c>
      <c r="G158" s="4331"/>
      <c r="H158" s="4329" t="s">
        <v>2651</v>
      </c>
      <c r="I158" s="4331"/>
      <c r="J158" s="4489" t="s">
        <v>2651</v>
      </c>
      <c r="K158" s="4490"/>
      <c r="L158" s="4489" t="s">
        <v>2651</v>
      </c>
      <c r="M158" s="4490"/>
      <c r="N158" s="4364"/>
      <c r="O158" s="4365"/>
      <c r="P158" s="2490"/>
    </row>
    <row r="159" spans="1:19" customFormat="1">
      <c r="B159" s="4329" t="s">
        <v>6964</v>
      </c>
      <c r="C159" s="4330"/>
      <c r="D159" s="4330"/>
      <c r="E159" s="4331"/>
      <c r="F159" s="4329" t="s">
        <v>2654</v>
      </c>
      <c r="G159" s="4331"/>
      <c r="H159" s="4329" t="s">
        <v>2654</v>
      </c>
      <c r="I159" s="4331"/>
      <c r="J159" s="4489" t="s">
        <v>2651</v>
      </c>
      <c r="K159" s="4490"/>
      <c r="L159" s="4489" t="s">
        <v>2651</v>
      </c>
      <c r="M159" s="4490"/>
      <c r="N159" s="4364"/>
      <c r="O159" s="4365"/>
      <c r="P159" s="2490"/>
    </row>
    <row r="160" spans="1:19" customFormat="1">
      <c r="B160" s="4329"/>
      <c r="C160" s="4330"/>
      <c r="D160" s="4330"/>
      <c r="E160" s="4331"/>
      <c r="F160" s="4329"/>
      <c r="G160" s="4331"/>
      <c r="H160" s="4329"/>
      <c r="I160" s="4331"/>
      <c r="J160" s="4489"/>
      <c r="K160" s="4490"/>
      <c r="L160" s="4489"/>
      <c r="M160" s="4490"/>
      <c r="N160" s="4364"/>
      <c r="O160" s="4365"/>
      <c r="P160" s="2490"/>
    </row>
    <row r="161" spans="1:26" customFormat="1">
      <c r="B161" s="4329"/>
      <c r="C161" s="4330"/>
      <c r="D161" s="4330"/>
      <c r="E161" s="4331"/>
      <c r="F161" s="4329"/>
      <c r="G161" s="4331"/>
      <c r="H161" s="4329"/>
      <c r="I161" s="4331"/>
      <c r="J161" s="4489"/>
      <c r="K161" s="4490"/>
      <c r="L161" s="4489"/>
      <c r="M161" s="4490"/>
      <c r="N161" s="4364"/>
      <c r="O161" s="4365"/>
      <c r="P161" s="2490"/>
    </row>
    <row r="162" spans="1:26" customFormat="1">
      <c r="B162" s="4538"/>
      <c r="C162" s="4539"/>
      <c r="D162" s="4539"/>
      <c r="E162" s="4540"/>
      <c r="F162" s="4538"/>
      <c r="G162" s="4540"/>
      <c r="H162" s="4538"/>
      <c r="I162" s="4540"/>
      <c r="J162" s="4541"/>
      <c r="K162" s="4542"/>
      <c r="L162" s="4541"/>
      <c r="M162" s="4542"/>
      <c r="N162" s="4543"/>
      <c r="O162" s="4544"/>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60" customHeight="1" thickTop="1" thickBot="1">
      <c r="A164" s="4244" t="s">
        <v>6966</v>
      </c>
      <c r="B164" s="4245"/>
      <c r="C164" s="4245"/>
      <c r="D164" s="4245"/>
      <c r="E164" s="4245"/>
      <c r="F164" s="4245"/>
      <c r="G164" s="4245"/>
      <c r="H164" s="4245"/>
      <c r="I164" s="4245"/>
      <c r="J164" s="4245"/>
      <c r="K164" s="4245"/>
      <c r="L164" s="4245"/>
      <c r="M164" s="4245"/>
      <c r="N164" s="4245"/>
      <c r="O164" s="4245"/>
      <c r="P164" s="4246"/>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40"/>
      <c r="B166" s="4041"/>
      <c r="C166" s="4041"/>
      <c r="D166" s="4041"/>
      <c r="E166" s="4041"/>
      <c r="F166" s="4041"/>
      <c r="G166" s="4041"/>
      <c r="H166" s="4041"/>
      <c r="I166" s="4041"/>
      <c r="J166" s="4041"/>
      <c r="K166" s="4041"/>
      <c r="L166" s="4041"/>
      <c r="M166" s="4041"/>
      <c r="N166" s="4041"/>
      <c r="O166" s="4041"/>
      <c r="P166" s="4042"/>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265" t="s">
        <v>6690</v>
      </c>
      <c r="D172" s="4265"/>
      <c r="E172" s="4265"/>
      <c r="F172" s="4265"/>
      <c r="G172" s="4265"/>
      <c r="H172" s="4265"/>
      <c r="I172" s="4265"/>
      <c r="J172" s="4265"/>
      <c r="K172" s="4265"/>
      <c r="L172" s="1012"/>
      <c r="M172" s="4479" t="s">
        <v>6095</v>
      </c>
      <c r="N172" s="4479"/>
      <c r="O172" s="4479"/>
      <c r="P172" s="4479"/>
      <c r="S172" s="2128"/>
      <c r="T172" s="2128"/>
      <c r="U172" s="2128"/>
      <c r="V172" s="1687"/>
      <c r="W172" s="1687"/>
      <c r="X172" s="1687"/>
      <c r="Y172" s="1687"/>
      <c r="Z172" s="1687"/>
    </row>
    <row r="173" spans="1:26" s="43" customFormat="1" ht="12.75" customHeight="1">
      <c r="A173" s="398"/>
      <c r="B173" s="400"/>
      <c r="C173" s="4265"/>
      <c r="D173" s="4265"/>
      <c r="E173" s="4265"/>
      <c r="F173" s="4265"/>
      <c r="G173" s="4265"/>
      <c r="H173" s="4265"/>
      <c r="I173" s="4265"/>
      <c r="J173" s="4265"/>
      <c r="K173" s="4265"/>
      <c r="L173" s="1012" t="s">
        <v>2241</v>
      </c>
      <c r="M173" s="4471" t="s">
        <v>3288</v>
      </c>
      <c r="N173" s="4472"/>
      <c r="O173" s="4472"/>
      <c r="P173" s="4473"/>
      <c r="S173" s="2128"/>
      <c r="T173" s="2128"/>
      <c r="U173" s="2128"/>
    </row>
    <row r="174" spans="1:26" s="33" customFormat="1" ht="12.75" customHeight="1">
      <c r="B174" s="400" t="s">
        <v>2242</v>
      </c>
      <c r="C174" s="135" t="s">
        <v>3961</v>
      </c>
      <c r="D174" s="504"/>
      <c r="E174" s="504"/>
      <c r="F174" s="504"/>
      <c r="G174" s="504"/>
      <c r="H174" s="504"/>
      <c r="L174" s="400" t="s">
        <v>2242</v>
      </c>
      <c r="M174" s="4361" t="s">
        <v>3288</v>
      </c>
      <c r="N174" s="4362"/>
      <c r="O174" s="4362"/>
      <c r="P174" s="4363"/>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61" t="s">
        <v>3288</v>
      </c>
      <c r="N175" s="4362"/>
      <c r="O175" s="4362"/>
      <c r="P175" s="4363"/>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425" t="s">
        <v>3288</v>
      </c>
      <c r="N176" s="4426"/>
      <c r="O176" s="4426"/>
      <c r="P176" s="4427"/>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c r="A179" s="521"/>
      <c r="B179" s="1012" t="s">
        <v>2241</v>
      </c>
      <c r="C179" s="4360" t="s">
        <v>6186</v>
      </c>
      <c r="D179" s="4360"/>
      <c r="E179" s="4360"/>
      <c r="F179" s="4360"/>
      <c r="G179" s="4360"/>
      <c r="H179" s="4360"/>
      <c r="I179" s="4360"/>
      <c r="J179" s="4360"/>
      <c r="K179" s="4360"/>
      <c r="L179" s="4360"/>
      <c r="M179" s="2453">
        <v>1</v>
      </c>
      <c r="N179" s="1012" t="s">
        <v>4081</v>
      </c>
      <c r="O179" s="2144"/>
      <c r="P179" s="2160"/>
      <c r="Q179" s="1532" t="str">
        <f>IF(OR($O179=$M179,$O179=0,$O179=""),"","*CHECK!*")</f>
        <v/>
      </c>
      <c r="R179" s="1001" t="s">
        <v>4063</v>
      </c>
    </row>
    <row r="180" spans="1:21" ht="36.75" customHeight="1">
      <c r="A180" s="521"/>
      <c r="B180" s="413" t="s">
        <v>2242</v>
      </c>
      <c r="C180" s="4360" t="s">
        <v>6187</v>
      </c>
      <c r="D180" s="4360"/>
      <c r="E180" s="4360"/>
      <c r="F180" s="4360"/>
      <c r="G180" s="4360"/>
      <c r="H180" s="4360"/>
      <c r="I180" s="4360"/>
      <c r="J180" s="4360"/>
      <c r="K180" s="4360"/>
      <c r="L180" s="4360"/>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4" t="s">
        <v>6951</v>
      </c>
      <c r="B185" s="4245"/>
      <c r="C185" s="4245"/>
      <c r="D185" s="4245"/>
      <c r="E185" s="4245"/>
      <c r="F185" s="4245"/>
      <c r="G185" s="4245"/>
      <c r="H185" s="4245"/>
      <c r="I185" s="4245"/>
      <c r="J185" s="4245"/>
      <c r="K185" s="4245"/>
      <c r="L185" s="4245"/>
      <c r="M185" s="4245"/>
      <c r="N185" s="4245"/>
      <c r="O185" s="4245"/>
      <c r="P185" s="4246"/>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40"/>
      <c r="B187" s="4041"/>
      <c r="C187" s="4041"/>
      <c r="D187" s="4041"/>
      <c r="E187" s="4041"/>
      <c r="F187" s="4041"/>
      <c r="G187" s="4041"/>
      <c r="H187" s="4041"/>
      <c r="I187" s="4041"/>
      <c r="J187" s="4041"/>
      <c r="K187" s="4041"/>
      <c r="L187" s="4041"/>
      <c r="M187" s="4041"/>
      <c r="N187" s="4041"/>
      <c r="O187" s="4041"/>
      <c r="P187" s="4042"/>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t="s">
        <v>2654</v>
      </c>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1845</v>
      </c>
      <c r="C193" s="4265" t="s">
        <v>6215</v>
      </c>
      <c r="D193" s="4265"/>
      <c r="E193" s="4265"/>
      <c r="F193" s="4265"/>
      <c r="G193" s="4265"/>
      <c r="H193" s="4265"/>
      <c r="I193" s="4265"/>
      <c r="J193" s="4265"/>
      <c r="K193" s="4265"/>
      <c r="L193" s="4265"/>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60" t="s">
        <v>6219</v>
      </c>
      <c r="D195" s="4360"/>
      <c r="E195" s="4360"/>
      <c r="F195" s="4360"/>
      <c r="G195" s="4360"/>
      <c r="H195" s="4360"/>
      <c r="I195" s="4360"/>
      <c r="J195" s="4360"/>
      <c r="K195" s="4360"/>
      <c r="L195" s="4360"/>
      <c r="M195" s="1008"/>
      <c r="N195" s="415" t="s">
        <v>2333</v>
      </c>
      <c r="O195" s="2127"/>
      <c r="P195" s="2126"/>
      <c r="Q195" s="1010"/>
      <c r="V195" s="1209"/>
      <c r="W195" s="1209"/>
    </row>
    <row r="196" spans="1:24" ht="11.45" customHeight="1">
      <c r="A196" s="139" t="s">
        <v>1963</v>
      </c>
      <c r="B196" s="190" t="s">
        <v>6217</v>
      </c>
      <c r="D196" s="33"/>
      <c r="G196" s="488"/>
      <c r="N196" s="27"/>
      <c r="O196" s="527"/>
      <c r="P196" s="527"/>
      <c r="Q196" s="1009"/>
    </row>
    <row r="197" spans="1:24" s="1684" customFormat="1" ht="23.25" customHeight="1">
      <c r="B197" s="462" t="s">
        <v>1845</v>
      </c>
      <c r="C197" s="4265" t="s">
        <v>6220</v>
      </c>
      <c r="D197" s="4265"/>
      <c r="E197" s="4265"/>
      <c r="F197" s="4265"/>
      <c r="G197" s="4265"/>
      <c r="H197" s="4265"/>
      <c r="I197" s="4265"/>
      <c r="J197" s="4265"/>
      <c r="K197" s="4265"/>
      <c r="L197" s="4265"/>
      <c r="M197" s="1125" t="s">
        <v>1963</v>
      </c>
      <c r="N197" s="415" t="s">
        <v>1845</v>
      </c>
      <c r="O197" s="1158"/>
      <c r="P197" s="1157"/>
      <c r="Q197" s="1214"/>
      <c r="V197" s="2070"/>
      <c r="W197" s="2070"/>
    </row>
    <row r="198" spans="1:24" s="33" customFormat="1" ht="23.25" customHeight="1">
      <c r="A198" s="521"/>
      <c r="B198" s="462" t="s">
        <v>1847</v>
      </c>
      <c r="C198" s="4360" t="s">
        <v>6261</v>
      </c>
      <c r="D198" s="4360"/>
      <c r="E198" s="4360"/>
      <c r="F198" s="4360"/>
      <c r="G198" s="4360"/>
      <c r="H198" s="4360"/>
      <c r="I198" s="4360"/>
      <c r="J198" s="4360"/>
      <c r="K198" s="4360"/>
      <c r="L198" s="4360"/>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4" t="s">
        <v>6952</v>
      </c>
      <c r="B200" s="4405"/>
      <c r="C200" s="4405"/>
      <c r="D200" s="4405"/>
      <c r="E200" s="4405"/>
      <c r="F200" s="4405"/>
      <c r="G200" s="4405"/>
      <c r="H200" s="4405"/>
      <c r="I200" s="4405"/>
      <c r="J200" s="4405"/>
      <c r="K200" s="4405"/>
      <c r="L200" s="4405"/>
      <c r="M200" s="4405"/>
      <c r="N200" s="4405"/>
      <c r="O200" s="4405"/>
      <c r="P200" s="440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5"/>
      <c r="B202" s="4306"/>
      <c r="C202" s="4306"/>
      <c r="D202" s="4306"/>
      <c r="E202" s="4306"/>
      <c r="F202" s="4306"/>
      <c r="G202" s="4306"/>
      <c r="H202" s="4306"/>
      <c r="I202" s="4306"/>
      <c r="J202" s="4306"/>
      <c r="K202" s="4306"/>
      <c r="L202" s="4306"/>
      <c r="M202" s="4306"/>
      <c r="N202" s="4306"/>
      <c r="O202" s="4306"/>
      <c r="P202" s="430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2</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v>1</v>
      </c>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450" t="s">
        <v>6953</v>
      </c>
      <c r="K207" s="4451"/>
      <c r="L207" s="4452"/>
      <c r="M207" s="4453"/>
      <c r="N207" s="2150"/>
      <c r="O207" s="1202"/>
      <c r="P207" s="2121"/>
      <c r="Q207" s="27"/>
      <c r="R207" s="2151"/>
      <c r="S207" s="2148"/>
    </row>
    <row r="208" spans="1:24" customFormat="1" ht="12.75" customHeight="1">
      <c r="C208" s="2152" t="s">
        <v>6263</v>
      </c>
      <c r="D208" s="1641"/>
      <c r="J208" s="4422"/>
      <c r="K208" s="4423"/>
      <c r="L208" s="4423"/>
      <c r="M208" s="4424"/>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v>1</v>
      </c>
      <c r="P210" s="847"/>
      <c r="Q210" s="1532" t="str">
        <f>IF(O210&lt;=M210,"","*CHECK!*")</f>
        <v/>
      </c>
      <c r="R210" s="1001" t="s">
        <v>4063</v>
      </c>
      <c r="S210" s="2130"/>
      <c r="T210" s="2130"/>
      <c r="U210" s="2130"/>
    </row>
    <row r="211" spans="1:37" customFormat="1">
      <c r="C211" s="2154" t="s">
        <v>6227</v>
      </c>
      <c r="D211" s="27"/>
      <c r="E211" s="4247" t="s">
        <v>6226</v>
      </c>
      <c r="F211" s="4247"/>
      <c r="G211" s="4247"/>
      <c r="H211" s="4247"/>
      <c r="I211" s="2085" t="s">
        <v>6253</v>
      </c>
      <c r="J211" s="4247" t="s">
        <v>6226</v>
      </c>
      <c r="K211" s="4247"/>
      <c r="L211" s="4247"/>
      <c r="M211" s="4247"/>
      <c r="R211" s="27"/>
      <c r="S211" s="27"/>
      <c r="T211" s="27"/>
      <c r="U211" s="27"/>
      <c r="V211" s="27"/>
      <c r="W211" s="27"/>
      <c r="X211" s="27"/>
      <c r="Y211" s="27"/>
      <c r="AH211" s="27"/>
      <c r="AI211" s="27"/>
      <c r="AJ211" s="27"/>
      <c r="AK211" s="27"/>
    </row>
    <row r="212" spans="1:37" customFormat="1" ht="13.5" customHeight="1">
      <c r="B212" s="2155"/>
      <c r="C212" s="2140" t="s">
        <v>6224</v>
      </c>
      <c r="D212" s="27"/>
      <c r="E212" s="4248" t="s">
        <v>6940</v>
      </c>
      <c r="F212" s="4249"/>
      <c r="G212" s="4249"/>
      <c r="H212" s="4250"/>
      <c r="I212" s="2491" t="s">
        <v>907</v>
      </c>
      <c r="J212" s="4419"/>
      <c r="K212" s="4420"/>
      <c r="L212" s="4420"/>
      <c r="M212" s="4421"/>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366" t="s">
        <v>6992</v>
      </c>
      <c r="F213" s="4367"/>
      <c r="G213" s="4367"/>
      <c r="H213" s="4368"/>
      <c r="I213" s="2578"/>
      <c r="J213" s="4241"/>
      <c r="K213" s="4242"/>
      <c r="L213" s="4242"/>
      <c r="M213" s="4243"/>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366" t="s">
        <v>6992</v>
      </c>
      <c r="F214" s="4367"/>
      <c r="G214" s="4367"/>
      <c r="H214" s="4368"/>
      <c r="I214" s="2578"/>
      <c r="J214" s="4241"/>
      <c r="K214" s="4242"/>
      <c r="L214" s="4242"/>
      <c r="M214" s="4243"/>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10" t="s">
        <v>6992</v>
      </c>
      <c r="F215" s="4411"/>
      <c r="G215" s="4411"/>
      <c r="H215" s="4412"/>
      <c r="I215" s="2579"/>
      <c r="J215" s="4416"/>
      <c r="K215" s="4417"/>
      <c r="L215" s="4417"/>
      <c r="M215" s="4418"/>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60" customHeight="1" thickTop="1" thickBot="1">
      <c r="A219" s="4244" t="s">
        <v>7040</v>
      </c>
      <c r="B219" s="4245"/>
      <c r="C219" s="4245"/>
      <c r="D219" s="4245"/>
      <c r="E219" s="4245"/>
      <c r="F219" s="4245"/>
      <c r="G219" s="4245"/>
      <c r="H219" s="4245"/>
      <c r="I219" s="4245"/>
      <c r="J219" s="4245"/>
      <c r="K219" s="4245"/>
      <c r="L219" s="4245"/>
      <c r="M219" s="4245"/>
      <c r="N219" s="4245"/>
      <c r="O219" s="4245"/>
      <c r="P219" s="4246"/>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5"/>
      <c r="B222" s="4306"/>
      <c r="C222" s="4306"/>
      <c r="D222" s="4306"/>
      <c r="E222" s="4306"/>
      <c r="F222" s="4306"/>
      <c r="G222" s="4306"/>
      <c r="H222" s="4306"/>
      <c r="I222" s="4306"/>
      <c r="J222" s="4306"/>
      <c r="K222" s="4306"/>
      <c r="L222" s="4306"/>
      <c r="M222" s="4306"/>
      <c r="N222" s="4306"/>
      <c r="O222" s="4306"/>
      <c r="P222" s="430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445" t="str">
        <f>M54</f>
        <v>New Supply</v>
      </c>
      <c r="L224" s="4446"/>
      <c r="M224" s="152">
        <v>1</v>
      </c>
      <c r="N224" s="1123"/>
      <c r="O224" s="1104">
        <f>IF(O226+O227&gt;$M$224,"Choose",MIN($M$224,SUM(O226:O227)))</f>
        <v>0</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0.1111111111111111</v>
      </c>
      <c r="J225" s="488" t="s">
        <v>3964</v>
      </c>
      <c r="K225" s="4414" t="str">
        <f>'Part V-Revenues &amp; Expenses'!$O$53</f>
        <v>40% of Units at 60% of AMI</v>
      </c>
      <c r="L225" s="4415"/>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5"/>
      <c r="B230" s="4306"/>
      <c r="C230" s="4306"/>
      <c r="D230" s="4306"/>
      <c r="E230" s="4306"/>
      <c r="F230" s="4306"/>
      <c r="G230" s="4306"/>
      <c r="H230" s="4306"/>
      <c r="I230" s="4306"/>
      <c r="J230" s="4306"/>
      <c r="K230" s="4306"/>
      <c r="L230" s="4306"/>
      <c r="M230" s="4306"/>
      <c r="N230" s="4306"/>
      <c r="O230" s="4306"/>
      <c r="P230" s="430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8"/>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4" t="s">
        <v>6962</v>
      </c>
      <c r="B237" s="4245"/>
      <c r="C237" s="4245"/>
      <c r="D237" s="4245"/>
      <c r="E237" s="4245"/>
      <c r="F237" s="4245"/>
      <c r="G237" s="4245"/>
      <c r="H237" s="4245"/>
      <c r="I237" s="4245"/>
      <c r="J237" s="4245"/>
      <c r="K237" s="4245"/>
      <c r="L237" s="4245"/>
      <c r="M237" s="4245"/>
      <c r="N237" s="4245"/>
      <c r="O237" s="4245"/>
      <c r="P237" s="4246"/>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5"/>
      <c r="B239" s="4306"/>
      <c r="C239" s="4306"/>
      <c r="D239" s="4306"/>
      <c r="E239" s="4306"/>
      <c r="F239" s="4306"/>
      <c r="G239" s="4306"/>
      <c r="H239" s="4306"/>
      <c r="I239" s="4306"/>
      <c r="J239" s="4306"/>
      <c r="K239" s="4306"/>
      <c r="L239" s="4306"/>
      <c r="M239" s="4306"/>
      <c r="N239" s="4306"/>
      <c r="O239" s="4306"/>
      <c r="P239" s="430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3312</v>
      </c>
      <c r="G243" s="2164"/>
      <c r="H243" s="412" t="s">
        <v>574</v>
      </c>
      <c r="I243" s="4274"/>
      <c r="J243" s="4274"/>
      <c r="L243" s="2187" t="s">
        <v>6267</v>
      </c>
      <c r="M243" s="4275"/>
      <c r="N243" s="4275"/>
    </row>
    <row r="244" spans="1:27" s="118" customFormat="1" ht="11.25" customHeight="1">
      <c r="A244" s="399"/>
      <c r="B244" s="462" t="s">
        <v>1847</v>
      </c>
      <c r="C244" s="2140" t="s">
        <v>6266</v>
      </c>
      <c r="E244" s="458" t="s">
        <v>3312</v>
      </c>
      <c r="G244" s="2165"/>
      <c r="H244" s="412" t="s">
        <v>574</v>
      </c>
      <c r="I244" s="4409"/>
      <c r="J244" s="4409"/>
      <c r="L244" s="2187" t="s">
        <v>6267</v>
      </c>
      <c r="M244" s="4413"/>
      <c r="N244" s="4413"/>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4" t="s">
        <v>6961</v>
      </c>
      <c r="B247" s="4245"/>
      <c r="C247" s="4245"/>
      <c r="D247" s="4245"/>
      <c r="E247" s="4245"/>
      <c r="F247" s="4245"/>
      <c r="G247" s="4245"/>
      <c r="H247" s="4245"/>
      <c r="I247" s="4245"/>
      <c r="J247" s="4245"/>
      <c r="K247" s="4245"/>
      <c r="L247" s="4245"/>
      <c r="M247" s="4245"/>
      <c r="N247" s="4245"/>
      <c r="O247" s="4245"/>
      <c r="P247" s="4246"/>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40"/>
      <c r="B249" s="4041"/>
      <c r="C249" s="4041"/>
      <c r="D249" s="4041"/>
      <c r="E249" s="4041"/>
      <c r="F249" s="4041"/>
      <c r="G249" s="4041"/>
      <c r="H249" s="4041"/>
      <c r="I249" s="4041"/>
      <c r="J249" s="4041"/>
      <c r="K249" s="4041"/>
      <c r="L249" s="4041"/>
      <c r="M249" s="4041"/>
      <c r="N249" s="4041"/>
      <c r="O249" s="4041"/>
      <c r="P249" s="4042"/>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v>3</v>
      </c>
      <c r="P253" s="544"/>
      <c r="Q253" s="1004" t="str">
        <f t="shared" ref="Q253:Q254" si="3">IF(OR($O253=$M253,$O253=$M253-1,$O253=0,$O253=""),"","*CHECK!*")</f>
        <v/>
      </c>
      <c r="R253" s="1001" t="s">
        <v>4063</v>
      </c>
    </row>
    <row r="254" spans="1:27">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33.75" customHeight="1" thickTop="1" thickBot="1">
      <c r="A256" s="4244" t="s">
        <v>6960</v>
      </c>
      <c r="B256" s="4245"/>
      <c r="C256" s="4245"/>
      <c r="D256" s="4245"/>
      <c r="E256" s="4245"/>
      <c r="F256" s="4245"/>
      <c r="G256" s="4245"/>
      <c r="H256" s="4245"/>
      <c r="I256" s="4245"/>
      <c r="J256" s="4245"/>
      <c r="K256" s="4245"/>
      <c r="L256" s="4245"/>
      <c r="M256" s="4245"/>
      <c r="N256" s="4245"/>
      <c r="O256" s="4245"/>
      <c r="P256" s="4246"/>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40"/>
      <c r="B258" s="4041"/>
      <c r="C258" s="4041"/>
      <c r="D258" s="4041"/>
      <c r="E258" s="4041"/>
      <c r="F258" s="4041"/>
      <c r="G258" s="4041"/>
      <c r="H258" s="4041"/>
      <c r="I258" s="4041"/>
      <c r="J258" s="4041"/>
      <c r="K258" s="4041"/>
      <c r="L258" s="4041"/>
      <c r="M258" s="4041"/>
      <c r="N258" s="4041"/>
      <c r="O258" s="4041"/>
      <c r="P258" s="4042"/>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6620</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6621</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6622</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3" t="s">
        <v>6623</v>
      </c>
      <c r="C266" s="4023"/>
      <c r="D266" s="4023"/>
      <c r="E266" s="4023"/>
      <c r="F266" s="4023"/>
      <c r="G266" s="4023"/>
      <c r="H266" s="4023"/>
      <c r="I266" s="4023"/>
      <c r="J266" s="4023"/>
      <c r="K266" s="4023"/>
      <c r="L266" s="4023"/>
      <c r="M266" s="7"/>
      <c r="N266" s="478"/>
      <c r="O266" s="1198" t="s">
        <v>2654</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5" t="s">
        <v>6624</v>
      </c>
      <c r="C268" s="4005"/>
      <c r="D268" s="4005"/>
      <c r="E268" s="4005"/>
      <c r="F268" s="4005"/>
      <c r="G268" s="4005"/>
      <c r="H268" s="4005"/>
      <c r="I268" s="4005"/>
      <c r="J268" s="4005"/>
      <c r="K268" s="4005"/>
      <c r="L268" s="4005"/>
      <c r="M268" s="7"/>
      <c r="N268" s="478"/>
      <c r="O268" s="1174" t="s">
        <v>2651</v>
      </c>
      <c r="P268" s="1175"/>
      <c r="Q268" s="414"/>
      <c r="R268" s="401"/>
      <c r="T268" s="1077"/>
      <c r="U268" s="1077"/>
    </row>
    <row r="269" spans="1:21" s="43" customFormat="1" ht="22.5" customHeight="1">
      <c r="B269" s="4005" t="s">
        <v>6238</v>
      </c>
      <c r="C269" s="4005"/>
      <c r="D269" s="4005"/>
      <c r="E269" s="4005"/>
      <c r="F269" s="4005"/>
      <c r="G269" s="4005"/>
      <c r="H269" s="4005"/>
      <c r="I269" s="4005"/>
      <c r="J269" s="4005"/>
      <c r="K269" s="4005"/>
      <c r="L269" s="4005"/>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40"/>
      <c r="B271" s="4041"/>
      <c r="C271" s="4041"/>
      <c r="D271" s="4041"/>
      <c r="E271" s="4041"/>
      <c r="F271" s="4041"/>
      <c r="G271" s="4041"/>
      <c r="H271" s="4041"/>
      <c r="I271" s="4041"/>
      <c r="J271" s="4041"/>
      <c r="K271" s="4041"/>
      <c r="L271" s="4041"/>
      <c r="M271" s="4041"/>
      <c r="N271" s="4041"/>
      <c r="O271" s="4041"/>
      <c r="P271" s="4042"/>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6580</v>
      </c>
      <c r="C273" s="92"/>
      <c r="D273" s="59"/>
      <c r="E273" s="59"/>
      <c r="G273" s="2117"/>
      <c r="H273" s="185"/>
      <c r="I273" s="2112" t="s">
        <v>6146</v>
      </c>
      <c r="J273" s="2657" t="str">
        <f>M59</f>
        <v>Atlanta Metro</v>
      </c>
      <c r="K273" s="185"/>
      <c r="L273" s="1482" t="str">
        <f>IF(NOT(J273="Atlanta Metro"),"Atlanta Metro Pool not selected!",IF(AND(O275="Yes",O276="Yes"),"Choose A or B!",""))</f>
        <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6581</v>
      </c>
      <c r="D275" s="634"/>
      <c r="E275" s="634"/>
      <c r="F275" s="634"/>
      <c r="G275" s="634"/>
      <c r="H275" s="634"/>
      <c r="L275" s="1013"/>
      <c r="M275" s="2327">
        <v>1</v>
      </c>
      <c r="N275" s="478" t="s">
        <v>1842</v>
      </c>
      <c r="O275" s="230" t="s">
        <v>2654</v>
      </c>
      <c r="P275" s="549"/>
      <c r="Q275" s="1023">
        <f>IF(L275="Yes",1,0)</f>
        <v>0</v>
      </c>
      <c r="R275" s="2130"/>
      <c r="S275" s="2130"/>
      <c r="T275" s="2130"/>
      <c r="U275" s="2130"/>
      <c r="V275" s="2130"/>
    </row>
    <row r="276" spans="1:24" ht="11.25" customHeight="1">
      <c r="A276" s="1675" t="s">
        <v>1844</v>
      </c>
      <c r="B276" s="1128" t="s">
        <v>6582</v>
      </c>
      <c r="D276" s="634"/>
      <c r="L276" s="1013"/>
      <c r="M276" s="2327">
        <v>2</v>
      </c>
      <c r="N276" s="478" t="s">
        <v>1844</v>
      </c>
      <c r="O276" s="2423" t="s">
        <v>2654</v>
      </c>
      <c r="P276" s="551"/>
      <c r="Q276" s="1023">
        <f>IF(L276="Yes",1,0)</f>
        <v>0</v>
      </c>
      <c r="R276" s="2130"/>
      <c r="S276" s="2130"/>
      <c r="T276" s="2130"/>
      <c r="U276" s="2130"/>
      <c r="V276" s="2130"/>
    </row>
    <row r="277" spans="1:24" ht="11.25" customHeight="1">
      <c r="B277" s="2217" t="s">
        <v>6692</v>
      </c>
      <c r="D277" s="634"/>
      <c r="L277" s="1013"/>
      <c r="M277" s="2482"/>
      <c r="N277" s="2482"/>
      <c r="O277" s="2482"/>
      <c r="P277" s="2482"/>
      <c r="Q277" s="1023"/>
      <c r="R277" s="2130"/>
      <c r="S277" s="2130"/>
      <c r="T277" s="2130"/>
      <c r="U277" s="2130"/>
      <c r="V277" s="2130"/>
    </row>
    <row r="278" spans="1:24" ht="38.25" customHeight="1">
      <c r="B278" s="4430"/>
      <c r="C278" s="4431"/>
      <c r="D278" s="4431"/>
      <c r="E278" s="4431"/>
      <c r="F278" s="4431"/>
      <c r="G278" s="4431"/>
      <c r="H278" s="4431"/>
      <c r="I278" s="4431"/>
      <c r="J278" s="4431"/>
      <c r="K278" s="4431"/>
      <c r="L278" s="4431"/>
      <c r="M278" s="4431"/>
      <c r="N278" s="4431"/>
      <c r="O278" s="4431"/>
      <c r="P278" s="4432"/>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4" t="s">
        <v>7030</v>
      </c>
      <c r="B280" s="4245"/>
      <c r="C280" s="4245"/>
      <c r="D280" s="4245"/>
      <c r="E280" s="4245"/>
      <c r="F280" s="4245"/>
      <c r="G280" s="4245"/>
      <c r="H280" s="4245"/>
      <c r="I280" s="4245"/>
      <c r="J280" s="4245"/>
      <c r="K280" s="4245"/>
      <c r="L280" s="4245"/>
      <c r="M280" s="4245"/>
      <c r="N280" s="4245"/>
      <c r="O280" s="4245"/>
      <c r="P280" s="4246"/>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5"/>
      <c r="B282" s="4306"/>
      <c r="C282" s="4306"/>
      <c r="D282" s="4306"/>
      <c r="E282" s="4306"/>
      <c r="F282" s="4306"/>
      <c r="G282" s="4306"/>
      <c r="H282" s="4306"/>
      <c r="I282" s="4306"/>
      <c r="J282" s="4306"/>
      <c r="K282" s="4306"/>
      <c r="L282" s="4306"/>
      <c r="M282" s="4306"/>
      <c r="N282" s="4306"/>
      <c r="O282" s="4306"/>
      <c r="P282" s="430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6585</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6702</v>
      </c>
      <c r="G286" s="185"/>
      <c r="I286" s="4459" t="s">
        <v>2854</v>
      </c>
      <c r="J286" s="4460"/>
      <c r="K286" s="4461"/>
      <c r="L286" s="4462"/>
      <c r="M286" s="595"/>
      <c r="O286" s="2589"/>
      <c r="P286" s="2590"/>
      <c r="Q286" s="110"/>
      <c r="R286" s="2130"/>
      <c r="S286" s="2130"/>
      <c r="T286" s="2130"/>
      <c r="U286" s="2130"/>
      <c r="V286" s="2130"/>
      <c r="W286" s="43"/>
      <c r="X286" s="43"/>
    </row>
    <row r="287" spans="1:24" s="103" customFormat="1" ht="11.25" customHeight="1">
      <c r="A287" s="154"/>
      <c r="C287" s="36" t="s">
        <v>6701</v>
      </c>
      <c r="G287" s="185"/>
      <c r="I287" s="4463" t="s">
        <v>2854</v>
      </c>
      <c r="J287" s="4464"/>
      <c r="M287" s="595"/>
      <c r="O287" s="2589"/>
      <c r="P287" s="2590"/>
      <c r="Q287" s="110"/>
      <c r="R287" s="2130"/>
      <c r="S287" s="2130"/>
      <c r="T287" s="2130"/>
      <c r="U287" s="2130"/>
      <c r="V287" s="2130"/>
      <c r="W287" s="43"/>
      <c r="X287" s="43"/>
    </row>
    <row r="288" spans="1:24" s="103" customFormat="1" ht="11.25" customHeight="1">
      <c r="A288" s="154"/>
      <c r="C288" s="36" t="s">
        <v>6703</v>
      </c>
      <c r="G288" s="185"/>
      <c r="I288" s="4465" t="s">
        <v>6954</v>
      </c>
      <c r="J288" s="4466"/>
      <c r="K288" s="4467"/>
      <c r="L288" s="4468"/>
      <c r="M288" s="595"/>
      <c r="O288" s="4469" t="s">
        <v>3152</v>
      </c>
      <c r="P288" s="4469" t="s">
        <v>3153</v>
      </c>
      <c r="Q288" s="110"/>
      <c r="R288" s="2130"/>
      <c r="S288" s="2130"/>
      <c r="T288" s="2130"/>
      <c r="U288" s="2130"/>
      <c r="V288" s="2130"/>
      <c r="W288" s="43"/>
      <c r="X288" s="43"/>
    </row>
    <row r="289" spans="1:22" s="43" customFormat="1" ht="11.25" customHeight="1">
      <c r="A289" s="154"/>
      <c r="B289" s="36" t="s">
        <v>6589</v>
      </c>
      <c r="D289" s="41"/>
      <c r="H289" s="177"/>
      <c r="M289" s="2419"/>
      <c r="N289" s="478"/>
      <c r="O289" s="4470"/>
      <c r="P289" s="4470"/>
      <c r="Q289" s="110"/>
      <c r="R289" s="2437"/>
      <c r="S289" s="2437"/>
      <c r="T289" s="2437"/>
      <c r="U289" s="2437"/>
    </row>
    <row r="290" spans="1:22" s="43" customFormat="1" ht="11.25" customHeight="1">
      <c r="A290" s="2588"/>
      <c r="B290" s="1012" t="s">
        <v>2241</v>
      </c>
      <c r="C290" s="36" t="s">
        <v>6588</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6709</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6590</v>
      </c>
      <c r="D292" s="1120"/>
      <c r="E292" s="103"/>
      <c r="F292" s="103"/>
      <c r="G292" s="103"/>
      <c r="H292" s="45"/>
      <c r="I292" s="49"/>
      <c r="J292" s="48"/>
      <c r="K292" s="48"/>
      <c r="L292" s="103"/>
      <c r="M292" s="103"/>
      <c r="N292" s="400" t="s">
        <v>2243</v>
      </c>
      <c r="O292" s="2423" t="s">
        <v>6930</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6586</v>
      </c>
      <c r="D294" s="634"/>
      <c r="E294" s="634"/>
      <c r="G294" s="634" t="s">
        <v>6594</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00" t="s">
        <v>6595</v>
      </c>
      <c r="D295" s="4000"/>
      <c r="E295" s="4000"/>
      <c r="F295" s="4000"/>
      <c r="G295" s="4000"/>
      <c r="H295" s="4000"/>
      <c r="I295" s="4000"/>
      <c r="J295" s="4000"/>
      <c r="K295" s="4000"/>
      <c r="L295" s="4000"/>
      <c r="M295" s="4000"/>
      <c r="N295" s="187" t="s">
        <v>1845</v>
      </c>
      <c r="O295" s="2362" t="s">
        <v>2651</v>
      </c>
      <c r="P295" s="1623"/>
      <c r="Q295" s="2092"/>
      <c r="R295" s="2439"/>
      <c r="S295" s="2439"/>
      <c r="T295" s="2439"/>
      <c r="U295" s="2439"/>
    </row>
    <row r="296" spans="1:22" s="436" customFormat="1" ht="21.75" customHeight="1" thickBot="1">
      <c r="A296" s="2091"/>
      <c r="B296" s="462" t="s">
        <v>1847</v>
      </c>
      <c r="C296" s="4000" t="s">
        <v>6596</v>
      </c>
      <c r="D296" s="4000"/>
      <c r="E296" s="4000"/>
      <c r="F296" s="4000"/>
      <c r="G296" s="4000"/>
      <c r="H296" s="4000"/>
      <c r="I296" s="4000"/>
      <c r="J296" s="4000"/>
      <c r="K296" s="4000"/>
      <c r="L296" s="4000"/>
      <c r="M296" s="4000"/>
      <c r="N296" s="2440" t="s">
        <v>1847</v>
      </c>
      <c r="O296" s="2431" t="s">
        <v>2651</v>
      </c>
      <c r="P296" s="2430"/>
      <c r="Q296" s="2092"/>
      <c r="R296" s="2439"/>
      <c r="S296" s="2439"/>
      <c r="T296" s="2439"/>
      <c r="U296" s="2439"/>
    </row>
    <row r="297" spans="1:22" ht="11.25" customHeight="1" thickBot="1">
      <c r="A297" s="1675" t="s">
        <v>1844</v>
      </c>
      <c r="B297" s="1128" t="s">
        <v>6587</v>
      </c>
      <c r="D297" s="634"/>
      <c r="G297" s="457" t="s">
        <v>6597</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00" t="s">
        <v>6598</v>
      </c>
      <c r="D298" s="4000"/>
      <c r="E298" s="4000"/>
      <c r="F298" s="4000"/>
      <c r="G298" s="4000"/>
      <c r="H298" s="4000"/>
      <c r="I298" s="4000"/>
      <c r="J298" s="4000"/>
      <c r="K298" s="4000"/>
      <c r="L298" s="4000"/>
      <c r="M298" s="4000"/>
      <c r="N298" s="187" t="s">
        <v>1845</v>
      </c>
      <c r="O298" s="2362"/>
      <c r="P298" s="1623"/>
      <c r="Q298" s="2092"/>
      <c r="R298" s="2439"/>
      <c r="S298" s="2439"/>
      <c r="T298" s="2439"/>
      <c r="U298" s="2439"/>
    </row>
    <row r="299" spans="1:22" s="436" customFormat="1" ht="10.5" customHeight="1">
      <c r="A299" s="2091"/>
      <c r="B299" s="462" t="s">
        <v>1847</v>
      </c>
      <c r="C299" s="4000" t="s">
        <v>6599</v>
      </c>
      <c r="D299" s="4000"/>
      <c r="E299" s="4000"/>
      <c r="F299" s="4000"/>
      <c r="G299" s="4000"/>
      <c r="H299" s="4000"/>
      <c r="I299" s="4000"/>
      <c r="J299" s="4000"/>
      <c r="K299" s="4000"/>
      <c r="L299" s="4000"/>
      <c r="M299" s="4000"/>
      <c r="N299" s="2440" t="s">
        <v>1847</v>
      </c>
      <c r="O299" s="2431"/>
      <c r="P299" s="2430"/>
      <c r="Q299" s="2092"/>
      <c r="R299" s="2439"/>
      <c r="S299" s="2439"/>
      <c r="T299" s="2439"/>
      <c r="U299" s="2439"/>
    </row>
    <row r="300" spans="1:22" s="436" customFormat="1" ht="10.5" customHeight="1">
      <c r="A300" s="2091"/>
      <c r="B300" s="462" t="s">
        <v>2333</v>
      </c>
      <c r="C300" s="876" t="s">
        <v>6705</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6600</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6601</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00" t="s">
        <v>6602</v>
      </c>
      <c r="D303" s="4000"/>
      <c r="E303" s="4000"/>
      <c r="F303" s="4000"/>
      <c r="G303" s="4000"/>
      <c r="H303" s="4000"/>
      <c r="I303" s="4000"/>
      <c r="J303" s="4000"/>
      <c r="K303" s="4000"/>
      <c r="L303" s="4000"/>
      <c r="M303" s="4000"/>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4" t="s">
        <v>6993</v>
      </c>
      <c r="B305" s="4245"/>
      <c r="C305" s="4245"/>
      <c r="D305" s="4245"/>
      <c r="E305" s="4245"/>
      <c r="F305" s="4245"/>
      <c r="G305" s="4245"/>
      <c r="H305" s="4245"/>
      <c r="I305" s="4245"/>
      <c r="J305" s="4245"/>
      <c r="K305" s="4245"/>
      <c r="L305" s="4245"/>
      <c r="M305" s="4245"/>
      <c r="N305" s="4245"/>
      <c r="O305" s="4245"/>
      <c r="P305" s="4246"/>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5"/>
      <c r="B307" s="4306"/>
      <c r="C307" s="4306"/>
      <c r="D307" s="4306"/>
      <c r="E307" s="4306"/>
      <c r="F307" s="4306"/>
      <c r="G307" s="4306"/>
      <c r="H307" s="4306"/>
      <c r="I307" s="4306"/>
      <c r="J307" s="4306"/>
      <c r="K307" s="4306"/>
      <c r="L307" s="4306"/>
      <c r="M307" s="4306"/>
      <c r="N307" s="4306"/>
      <c r="O307" s="4306"/>
      <c r="P307" s="430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6591</v>
      </c>
      <c r="C309" s="92"/>
      <c r="D309" s="59"/>
      <c r="E309" s="59"/>
      <c r="G309" s="2117"/>
      <c r="H309" s="185"/>
      <c r="I309" s="185"/>
      <c r="J309" s="185"/>
      <c r="K309" s="185"/>
      <c r="L309" s="185"/>
      <c r="M309" s="2419">
        <v>2</v>
      </c>
      <c r="N309" s="7"/>
      <c r="O309" s="1104">
        <f>IF(OR(O310=$M310,O311=$M311),$M$309,0)</f>
        <v>0</v>
      </c>
      <c r="P309" s="1104">
        <f>IF(OR(P310=$M310,P311=$M311),$M$309,0)</f>
        <v>0</v>
      </c>
      <c r="Q309" s="110" t="s">
        <v>416</v>
      </c>
      <c r="R309" s="2130"/>
      <c r="S309" s="2130"/>
      <c r="T309" s="2130"/>
      <c r="U309" s="2130"/>
      <c r="V309" s="2130"/>
    </row>
    <row r="310" spans="1:22" ht="11.25" customHeight="1">
      <c r="A310" s="1675" t="s">
        <v>1842</v>
      </c>
      <c r="B310" s="1128" t="s">
        <v>6592</v>
      </c>
      <c r="D310" s="634"/>
      <c r="E310" s="634" t="s">
        <v>6603</v>
      </c>
      <c r="F310" s="634"/>
      <c r="G310" s="634"/>
      <c r="H310" s="634"/>
      <c r="I310" s="4271"/>
      <c r="J310" s="4272"/>
      <c r="K310" s="4272"/>
      <c r="L310" s="4273"/>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6593</v>
      </c>
      <c r="D311" s="634"/>
      <c r="L311" s="1013"/>
      <c r="M311" s="2327">
        <v>2</v>
      </c>
      <c r="N311" s="478" t="s">
        <v>1844</v>
      </c>
      <c r="O311" s="535"/>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4" t="s">
        <v>7034</v>
      </c>
      <c r="B313" s="4245"/>
      <c r="C313" s="4245"/>
      <c r="D313" s="4245"/>
      <c r="E313" s="4245"/>
      <c r="F313" s="4245"/>
      <c r="G313" s="4245"/>
      <c r="H313" s="4245"/>
      <c r="I313" s="4245"/>
      <c r="J313" s="4245"/>
      <c r="K313" s="4245"/>
      <c r="L313" s="4245"/>
      <c r="M313" s="4245"/>
      <c r="N313" s="4245"/>
      <c r="O313" s="4245"/>
      <c r="P313" s="4246"/>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5"/>
      <c r="B315" s="4306"/>
      <c r="C315" s="4306"/>
      <c r="D315" s="4306"/>
      <c r="E315" s="4306"/>
      <c r="F315" s="4306"/>
      <c r="G315" s="4306"/>
      <c r="H315" s="4306"/>
      <c r="I315" s="4306"/>
      <c r="J315" s="4306"/>
      <c r="K315" s="4306"/>
      <c r="L315" s="4306"/>
      <c r="M315" s="4306"/>
      <c r="N315" s="4306"/>
      <c r="O315" s="4306"/>
      <c r="P315" s="430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6583</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6584</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40"/>
      <c r="B331" s="4041"/>
      <c r="C331" s="4041"/>
      <c r="D331" s="4041"/>
      <c r="E331" s="4041"/>
      <c r="F331" s="4041"/>
      <c r="G331" s="4041"/>
      <c r="H331" s="4041"/>
      <c r="I331" s="4041"/>
      <c r="J331" s="4041"/>
      <c r="K331" s="4041"/>
      <c r="L331" s="4041"/>
      <c r="M331" s="4041"/>
      <c r="N331" s="4041"/>
      <c r="O331" s="4041"/>
      <c r="P331" s="4042"/>
      <c r="Q331" s="466"/>
    </row>
    <row r="332" spans="1:19" ht="2.25" customHeight="1" thickBot="1"/>
    <row r="333" spans="1:19" s="43" customFormat="1" ht="13.5" customHeight="1" thickBot="1">
      <c r="A333" s="155" t="s">
        <v>3375</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58" t="s">
        <v>6064</v>
      </c>
      <c r="J334" s="3859"/>
      <c r="K334" s="3859"/>
      <c r="L334" s="3860"/>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4" t="s">
        <v>6955</v>
      </c>
      <c r="B337" s="4245"/>
      <c r="C337" s="4245"/>
      <c r="D337" s="4245"/>
      <c r="E337" s="4245"/>
      <c r="F337" s="4245"/>
      <c r="G337" s="4245"/>
      <c r="H337" s="4245"/>
      <c r="I337" s="4245"/>
      <c r="J337" s="4245"/>
      <c r="K337" s="4245"/>
      <c r="L337" s="4245"/>
      <c r="M337" s="4245"/>
      <c r="N337" s="4245"/>
      <c r="O337" s="4245"/>
      <c r="P337" s="4246"/>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40"/>
      <c r="B339" s="4041"/>
      <c r="C339" s="4041"/>
      <c r="D339" s="4041"/>
      <c r="E339" s="4041"/>
      <c r="F339" s="4041"/>
      <c r="G339" s="4041"/>
      <c r="H339" s="4041"/>
      <c r="I339" s="4041"/>
      <c r="J339" s="4041"/>
      <c r="K339" s="4041"/>
      <c r="L339" s="4041"/>
      <c r="M339" s="4041"/>
      <c r="N339" s="4041"/>
      <c r="O339" s="4041"/>
      <c r="P339" s="4042"/>
      <c r="Q339" s="466"/>
    </row>
    <row r="340" spans="1:20" ht="3" customHeight="1" thickBot="1"/>
    <row r="341" spans="1:20" s="43" customFormat="1" ht="13.5" customHeight="1" thickBot="1">
      <c r="A341" s="154" t="s">
        <v>3378</v>
      </c>
      <c r="B341" s="106" t="s">
        <v>3349</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6605</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7" t="str">
        <f>IF(OR(O343="No",O343="",O344="No",O344="",O345="No",O345="",O346="No",O346=""),"Unmet criterion results in no points!","")</f>
        <v/>
      </c>
      <c r="M343" s="4407"/>
      <c r="N343" s="400" t="s">
        <v>2241</v>
      </c>
      <c r="O343" s="230" t="s">
        <v>6930</v>
      </c>
      <c r="P343" s="549"/>
      <c r="R343" s="4403" t="str">
        <f>IF(OR(P343="No",P343="",P344="No",P344="",P345="No",P345="",P346="No",P346=""),"Unmet criterion results in no points!","")</f>
        <v>Unmet criterion results in no points!</v>
      </c>
      <c r="S343" s="4403" t="e">
        <f>IF(OR(V343="No",V343="",V344="No",V344="",V345="No",V345="",V346="No",V346="",#REF!="No",#REF!="",#REF!="No",#REF!=""),"Unmet criterion results in no points!","")</f>
        <v>#REF!</v>
      </c>
    </row>
    <row r="344" spans="1:20" s="101" customFormat="1" ht="12.75" customHeight="1">
      <c r="B344" s="400" t="s">
        <v>2242</v>
      </c>
      <c r="C344" s="135" t="s">
        <v>3276</v>
      </c>
      <c r="L344" s="4407"/>
      <c r="M344" s="4407"/>
      <c r="N344" s="400" t="s">
        <v>2242</v>
      </c>
      <c r="O344" s="389" t="s">
        <v>6930</v>
      </c>
      <c r="P344" s="550"/>
      <c r="R344" s="4403"/>
      <c r="S344" s="4403"/>
    </row>
    <row r="345" spans="1:20" s="101" customFormat="1" ht="12.75" customHeight="1">
      <c r="B345" s="400" t="s">
        <v>2243</v>
      </c>
      <c r="C345" s="135" t="s">
        <v>3275</v>
      </c>
      <c r="L345" s="4407"/>
      <c r="M345" s="4407"/>
      <c r="N345" s="400" t="s">
        <v>2243</v>
      </c>
      <c r="O345" s="389" t="s">
        <v>6930</v>
      </c>
      <c r="P345" s="550"/>
      <c r="R345" s="4403"/>
      <c r="S345" s="4403"/>
    </row>
    <row r="346" spans="1:20" s="101" customFormat="1" ht="33.75" customHeight="1">
      <c r="B346" s="413" t="s">
        <v>2244</v>
      </c>
      <c r="C346" s="4360" t="s">
        <v>6604</v>
      </c>
      <c r="D346" s="4360"/>
      <c r="E346" s="4360"/>
      <c r="F346" s="4360"/>
      <c r="G346" s="4360"/>
      <c r="H346" s="4360"/>
      <c r="I346" s="4360"/>
      <c r="J346" s="4360"/>
      <c r="K346" s="4360"/>
      <c r="L346" s="4360"/>
      <c r="M346" s="4360"/>
      <c r="N346" s="413" t="s">
        <v>2244</v>
      </c>
      <c r="O346" s="1174" t="s">
        <v>6930</v>
      </c>
      <c r="P346" s="1175"/>
    </row>
    <row r="347" spans="1:20" ht="3" customHeight="1" thickBot="1">
      <c r="C347" s="4360"/>
      <c r="D347" s="4360"/>
      <c r="E347" s="4360"/>
      <c r="F347" s="4360"/>
      <c r="G347" s="4360"/>
      <c r="H347" s="4360"/>
      <c r="I347" s="4360"/>
      <c r="J347" s="4360"/>
      <c r="K347" s="4360"/>
      <c r="L347" s="4360"/>
      <c r="M347" s="4360"/>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6721</v>
      </c>
      <c r="C349" s="1007"/>
      <c r="D349" s="1007"/>
      <c r="E349" s="1007"/>
      <c r="F349" s="1007"/>
      <c r="G349" s="1007"/>
      <c r="H349" s="1007"/>
      <c r="I349" s="1007"/>
      <c r="N349" s="27"/>
      <c r="O349" s="2049" t="s">
        <v>6930</v>
      </c>
      <c r="P349" s="2107"/>
      <c r="R349" s="1076"/>
      <c r="S349" s="1076"/>
      <c r="T349" s="1819"/>
    </row>
    <row r="350" spans="1:20" ht="12.75" customHeight="1">
      <c r="A350" s="1020"/>
      <c r="B350" s="2622" t="s">
        <v>6720</v>
      </c>
      <c r="C350" s="1007"/>
      <c r="D350" s="1007"/>
      <c r="E350" s="1007"/>
      <c r="F350" s="1007"/>
      <c r="G350" s="1007"/>
      <c r="H350" s="1007"/>
      <c r="I350" s="1007"/>
      <c r="J350" s="4347" t="s">
        <v>1849</v>
      </c>
      <c r="K350" s="4347"/>
      <c r="M350" s="4347" t="s">
        <v>1849</v>
      </c>
      <c r="N350" s="4347"/>
      <c r="O350" s="4347"/>
      <c r="P350" s="4347"/>
      <c r="R350" s="2432"/>
      <c r="S350" s="2432"/>
      <c r="T350" s="1819"/>
    </row>
    <row r="351" spans="1:20" s="43" customFormat="1" ht="12.75" customHeight="1">
      <c r="A351" s="188"/>
      <c r="B351" s="2440" t="s">
        <v>6606</v>
      </c>
      <c r="C351" s="36" t="s">
        <v>1389</v>
      </c>
      <c r="I351" s="400" t="s">
        <v>2241</v>
      </c>
      <c r="J351" s="4337"/>
      <c r="K351" s="4338"/>
      <c r="L351" s="400" t="s">
        <v>2241</v>
      </c>
      <c r="M351" s="4447"/>
      <c r="N351" s="4448"/>
      <c r="O351" s="4448"/>
      <c r="P351" s="4449"/>
      <c r="R351" s="401"/>
    </row>
    <row r="352" spans="1:20" ht="12.75" customHeight="1">
      <c r="A352" s="189"/>
      <c r="B352" s="413" t="s">
        <v>2242</v>
      </c>
      <c r="C352" s="36" t="s">
        <v>3158</v>
      </c>
      <c r="I352" s="413" t="s">
        <v>2242</v>
      </c>
      <c r="J352" s="4342"/>
      <c r="K352" s="4343"/>
      <c r="L352" s="413" t="s">
        <v>2242</v>
      </c>
      <c r="M352" s="4344"/>
      <c r="N352" s="4345"/>
      <c r="O352" s="4345"/>
      <c r="P352" s="4346"/>
      <c r="R352" s="401"/>
    </row>
    <row r="353" spans="1:22" ht="12.75" customHeight="1">
      <c r="B353" s="400" t="s">
        <v>2243</v>
      </c>
      <c r="C353" s="36" t="s">
        <v>3958</v>
      </c>
      <c r="I353" s="400" t="s">
        <v>2243</v>
      </c>
      <c r="J353" s="4342"/>
      <c r="K353" s="4343"/>
      <c r="L353" s="400" t="s">
        <v>2243</v>
      </c>
      <c r="M353" s="4344"/>
      <c r="N353" s="4345"/>
      <c r="O353" s="4345"/>
      <c r="P353" s="4346"/>
      <c r="R353" s="401"/>
    </row>
    <row r="354" spans="1:22" ht="12.75" customHeight="1">
      <c r="A354" s="189"/>
      <c r="B354" s="400" t="s">
        <v>2244</v>
      </c>
      <c r="C354" s="36" t="s">
        <v>3074</v>
      </c>
      <c r="I354" s="400" t="s">
        <v>2244</v>
      </c>
      <c r="J354" s="4342"/>
      <c r="K354" s="4343"/>
      <c r="L354" s="400" t="s">
        <v>2244</v>
      </c>
      <c r="M354" s="4344"/>
      <c r="N354" s="4345"/>
      <c r="O354" s="4345"/>
      <c r="P354" s="4346"/>
      <c r="R354" s="401"/>
    </row>
    <row r="355" spans="1:22" s="43" customFormat="1" ht="12.75" customHeight="1">
      <c r="A355" s="188"/>
      <c r="B355" s="413" t="s">
        <v>2245</v>
      </c>
      <c r="C355" s="36" t="s">
        <v>2474</v>
      </c>
      <c r="I355" s="413" t="s">
        <v>2245</v>
      </c>
      <c r="J355" s="4342"/>
      <c r="K355" s="4343"/>
      <c r="L355" s="413" t="s">
        <v>2245</v>
      </c>
      <c r="M355" s="4344"/>
      <c r="N355" s="4345"/>
      <c r="O355" s="4345"/>
      <c r="P355" s="4346"/>
      <c r="R355" s="401"/>
    </row>
    <row r="356" spans="1:22" ht="12.75" customHeight="1">
      <c r="B356" s="400" t="s">
        <v>2261</v>
      </c>
      <c r="C356" s="36" t="s">
        <v>1388</v>
      </c>
      <c r="I356" s="400" t="s">
        <v>2261</v>
      </c>
      <c r="J356" s="4342"/>
      <c r="K356" s="4343"/>
      <c r="L356" s="400" t="s">
        <v>2261</v>
      </c>
      <c r="M356" s="4344"/>
      <c r="N356" s="4345"/>
      <c r="O356" s="4345"/>
      <c r="P356" s="4346"/>
      <c r="R356" s="401"/>
    </row>
    <row r="357" spans="1:22" ht="12.75" customHeight="1">
      <c r="B357" s="400" t="s">
        <v>2262</v>
      </c>
      <c r="C357" s="36" t="s">
        <v>6240</v>
      </c>
      <c r="I357" s="400" t="s">
        <v>2262</v>
      </c>
      <c r="J357" s="4342"/>
      <c r="K357" s="4343"/>
      <c r="L357" s="400" t="s">
        <v>2262</v>
      </c>
      <c r="M357" s="2082"/>
      <c r="N357" s="2083"/>
      <c r="O357" s="2083"/>
      <c r="P357" s="2084"/>
      <c r="R357" s="401"/>
    </row>
    <row r="358" spans="1:22" ht="12.75" customHeight="1">
      <c r="A358" s="189"/>
      <c r="B358" s="412" t="s">
        <v>2263</v>
      </c>
      <c r="C358" s="36" t="s">
        <v>3157</v>
      </c>
      <c r="I358" s="412" t="s">
        <v>2263</v>
      </c>
      <c r="J358" s="4342"/>
      <c r="K358" s="4343"/>
      <c r="L358" s="412" t="s">
        <v>2263</v>
      </c>
      <c r="M358" s="4344"/>
      <c r="N358" s="4345"/>
      <c r="O358" s="4345"/>
      <c r="P358" s="4346"/>
      <c r="R358" s="401"/>
    </row>
    <row r="359" spans="1:22" ht="12.75" customHeight="1">
      <c r="B359" s="412" t="s">
        <v>2264</v>
      </c>
      <c r="C359" s="36" t="s">
        <v>6607</v>
      </c>
      <c r="I359" s="412" t="s">
        <v>2264</v>
      </c>
      <c r="J359" s="4342"/>
      <c r="K359" s="4343"/>
      <c r="L359" s="412" t="s">
        <v>2264</v>
      </c>
      <c r="M359" s="4344"/>
      <c r="N359" s="4345"/>
      <c r="O359" s="4345"/>
      <c r="P359" s="4346"/>
      <c r="R359" s="401"/>
    </row>
    <row r="360" spans="1:22" ht="12.75" customHeight="1">
      <c r="B360" s="412" t="s">
        <v>3159</v>
      </c>
      <c r="C360" s="36" t="s">
        <v>3830</v>
      </c>
      <c r="I360" s="412" t="s">
        <v>3159</v>
      </c>
      <c r="J360" s="4342"/>
      <c r="K360" s="4343"/>
      <c r="L360" s="412" t="s">
        <v>3159</v>
      </c>
      <c r="M360" s="4344"/>
      <c r="N360" s="4345"/>
      <c r="O360" s="4345"/>
      <c r="P360" s="4346"/>
      <c r="R360" s="401"/>
    </row>
    <row r="361" spans="1:22" ht="12.75" customHeight="1" thickBot="1">
      <c r="B361" s="412" t="s">
        <v>6241</v>
      </c>
      <c r="C361" s="36" t="s">
        <v>6242</v>
      </c>
      <c r="I361" s="412" t="s">
        <v>6241</v>
      </c>
      <c r="J361" s="4342"/>
      <c r="K361" s="4343"/>
      <c r="L361" s="412" t="s">
        <v>6241</v>
      </c>
      <c r="M361" s="4438"/>
      <c r="N361" s="4439"/>
      <c r="O361" s="4439"/>
      <c r="P361" s="4440"/>
      <c r="R361" s="401"/>
    </row>
    <row r="362" spans="1:22" ht="12.75" customHeight="1" thickBot="1">
      <c r="B362" s="1178" t="s">
        <v>6608</v>
      </c>
      <c r="H362" s="1196" t="s">
        <v>2414</v>
      </c>
      <c r="J362" s="4333">
        <f>SUM(J351:K361)</f>
        <v>0</v>
      </c>
      <c r="K362" s="4334"/>
      <c r="M362" s="4333">
        <f>SUM($M351:$M361)</f>
        <v>0</v>
      </c>
      <c r="N362" s="4336"/>
      <c r="O362" s="4336"/>
      <c r="P362" s="4334"/>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457">
        <f>'Part V-Revenues &amp; Expenses'!$P$67</f>
        <v>72</v>
      </c>
      <c r="K364" s="4458"/>
      <c r="L364" s="560"/>
      <c r="M364" s="516"/>
      <c r="N364" s="516"/>
      <c r="O364" s="1121"/>
      <c r="P364" s="516"/>
    </row>
    <row r="365" spans="1:22" ht="13.5" customHeight="1">
      <c r="C365" s="1006"/>
      <c r="D365" s="1006"/>
      <c r="E365" s="1006"/>
      <c r="F365" s="461" t="s">
        <v>6244</v>
      </c>
      <c r="J365" s="4455">
        <f>IF(J364=0,0,J362/J364)</f>
        <v>0</v>
      </c>
      <c r="K365" s="4456"/>
      <c r="M365" s="4339">
        <f>IF($J364=0,0,$M362/$J364)</f>
        <v>0</v>
      </c>
      <c r="N365" s="4340"/>
      <c r="O365" s="4340"/>
      <c r="P365" s="4341"/>
    </row>
    <row r="366" spans="1:22" s="43" customFormat="1" ht="12.75" customHeight="1">
      <c r="C366" s="1006"/>
      <c r="D366" s="1006"/>
      <c r="E366" s="1006"/>
      <c r="F366" s="1064" t="s">
        <v>6245</v>
      </c>
      <c r="I366" s="27"/>
      <c r="J366" s="4428">
        <f>IF(L343="", IF($J365&gt;=30000, 3,IF($J365&gt;=20000, 2,IF($J365&gt;=10000,1,0))),0)</f>
        <v>0</v>
      </c>
      <c r="K366" s="4429"/>
      <c r="L366" s="524"/>
      <c r="M366" s="4428">
        <f>IF(R343="", IF($M365&gt;=30000, 3,IF($M365&gt;=20000, 2,IF($M365&gt;=10000,1,0))),0)</f>
        <v>0</v>
      </c>
      <c r="N366" s="4454"/>
      <c r="O366" s="4454"/>
      <c r="P366" s="4429"/>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5" t="s">
        <v>6609</v>
      </c>
      <c r="D369" s="4005"/>
      <c r="E369" s="4005"/>
      <c r="F369" s="4005"/>
      <c r="G369" s="4005"/>
      <c r="H369" s="4005"/>
      <c r="I369" s="4005"/>
      <c r="J369" s="4005"/>
      <c r="K369" s="4005"/>
      <c r="L369" s="4005"/>
      <c r="M369" s="4005"/>
      <c r="N369" s="2190" t="s">
        <v>1845</v>
      </c>
      <c r="O369" s="2125" t="s">
        <v>2654</v>
      </c>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t="s">
        <v>6930</v>
      </c>
      <c r="P370" s="550"/>
      <c r="V370" s="1077"/>
    </row>
    <row r="371" spans="1:22" ht="12.75" customHeight="1">
      <c r="B371" s="399" t="s">
        <v>2333</v>
      </c>
      <c r="C371" s="457" t="s">
        <v>3831</v>
      </c>
      <c r="N371" s="874" t="s">
        <v>2333</v>
      </c>
      <c r="O371" s="2423" t="s">
        <v>6930</v>
      </c>
      <c r="P371" s="551"/>
    </row>
    <row r="372" spans="1:22" ht="12" customHeight="1" thickBot="1">
      <c r="B372" s="1197" t="s">
        <v>3242</v>
      </c>
    </row>
    <row r="373" spans="1:22" s="43" customFormat="1" ht="21.75" customHeight="1" thickTop="1" thickBot="1">
      <c r="A373" s="4244" t="s">
        <v>6957</v>
      </c>
      <c r="B373" s="4245"/>
      <c r="C373" s="4245"/>
      <c r="D373" s="4245"/>
      <c r="E373" s="4245"/>
      <c r="F373" s="4245"/>
      <c r="G373" s="4245"/>
      <c r="H373" s="4245"/>
      <c r="I373" s="4245"/>
      <c r="J373" s="4245"/>
      <c r="K373" s="4245"/>
      <c r="L373" s="4245"/>
      <c r="M373" s="4245"/>
      <c r="N373" s="4245"/>
      <c r="O373" s="4245"/>
      <c r="P373" s="4246"/>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40"/>
      <c r="B375" s="4041"/>
      <c r="C375" s="4041"/>
      <c r="D375" s="4041"/>
      <c r="E375" s="4041"/>
      <c r="F375" s="4041"/>
      <c r="G375" s="4041"/>
      <c r="H375" s="4041"/>
      <c r="I375" s="4041"/>
      <c r="J375" s="4041"/>
      <c r="K375" s="4041"/>
      <c r="L375" s="4041"/>
      <c r="M375" s="4041"/>
      <c r="N375" s="4041"/>
      <c r="O375" s="4041"/>
      <c r="P375" s="4042"/>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8" t="s">
        <v>3890</v>
      </c>
      <c r="E379" s="3859"/>
      <c r="F379" s="3859"/>
      <c r="G379" s="3859"/>
      <c r="H379" s="3859"/>
      <c r="I379" s="3860"/>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433" t="s">
        <v>6610</v>
      </c>
      <c r="C382" s="4433"/>
      <c r="D382" s="4433"/>
      <c r="E382" s="4433"/>
      <c r="F382" s="4433"/>
      <c r="G382" s="4433"/>
      <c r="H382" s="4433"/>
      <c r="I382" s="4433"/>
      <c r="J382" s="4433"/>
      <c r="K382" s="4433"/>
      <c r="L382" s="4433"/>
      <c r="M382" s="4437" t="s">
        <v>3891</v>
      </c>
      <c r="N382" s="4437"/>
      <c r="Q382" s="185"/>
    </row>
    <row r="383" spans="1:22" s="436" customFormat="1" ht="12" customHeight="1">
      <c r="B383" s="4433"/>
      <c r="C383" s="4433"/>
      <c r="D383" s="4433"/>
      <c r="E383" s="4433"/>
      <c r="F383" s="4433"/>
      <c r="G383" s="4433"/>
      <c r="H383" s="4433"/>
      <c r="I383" s="4433"/>
      <c r="J383" s="4433"/>
      <c r="K383" s="4433"/>
      <c r="L383" s="4433"/>
      <c r="M383" s="4437"/>
      <c r="N383" s="4437"/>
      <c r="O383" s="4443">
        <f>'Part V-Revenues &amp; Expenses'!$P$123</f>
        <v>0</v>
      </c>
      <c r="P383" s="4444"/>
      <c r="Q383" s="185"/>
    </row>
    <row r="384" spans="1:22" s="436" customFormat="1" ht="12" customHeight="1">
      <c r="B384" s="4433"/>
      <c r="C384" s="4433"/>
      <c r="D384" s="4433"/>
      <c r="E384" s="4433"/>
      <c r="F384" s="4433"/>
      <c r="G384" s="4433"/>
      <c r="H384" s="4433"/>
      <c r="I384" s="4433"/>
      <c r="J384" s="4433"/>
      <c r="K384" s="4433"/>
      <c r="L384" s="4433"/>
      <c r="M384" s="1009" t="s">
        <v>2519</v>
      </c>
      <c r="N384" s="437"/>
      <c r="O384" s="4441">
        <f>'Part V-Revenues &amp; Expenses'!$P$67</f>
        <v>72</v>
      </c>
      <c r="P384" s="4442"/>
      <c r="Q384" s="185"/>
    </row>
    <row r="385" spans="1:19" s="436" customFormat="1" ht="12" customHeight="1">
      <c r="B385" s="4434"/>
      <c r="C385" s="4434"/>
      <c r="D385" s="4434"/>
      <c r="E385" s="4434"/>
      <c r="F385" s="4434"/>
      <c r="G385" s="4434"/>
      <c r="H385" s="4434"/>
      <c r="I385" s="4434"/>
      <c r="J385" s="4434"/>
      <c r="K385" s="4434"/>
      <c r="L385" s="4434"/>
      <c r="M385" s="1513" t="s">
        <v>2520</v>
      </c>
      <c r="N385" s="437"/>
      <c r="O385" s="4435">
        <f>IF(O384=0,0,O383/O384)</f>
        <v>0</v>
      </c>
      <c r="P385" s="4436"/>
      <c r="Q385" s="185"/>
    </row>
    <row r="386" spans="1:19" s="43" customFormat="1" ht="105.75" customHeight="1">
      <c r="A386" s="541"/>
      <c r="B386" s="4052" t="s">
        <v>3417</v>
      </c>
      <c r="C386" s="4053"/>
      <c r="D386" s="4053"/>
      <c r="E386" s="4053"/>
      <c r="F386" s="4053"/>
      <c r="G386" s="4053"/>
      <c r="H386" s="4053"/>
      <c r="I386" s="4053"/>
      <c r="J386" s="4053"/>
      <c r="K386" s="4053"/>
      <c r="L386" s="4053"/>
      <c r="M386" s="4053"/>
      <c r="N386" s="4053"/>
      <c r="O386" s="4053"/>
      <c r="P386" s="4054"/>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6611</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72</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4" t="s">
        <v>6956</v>
      </c>
      <c r="B392" s="4245"/>
      <c r="C392" s="4245"/>
      <c r="D392" s="4245"/>
      <c r="E392" s="4245"/>
      <c r="F392" s="4245"/>
      <c r="G392" s="4245"/>
      <c r="H392" s="4245"/>
      <c r="I392" s="4245"/>
      <c r="J392" s="4245"/>
      <c r="K392" s="4245"/>
      <c r="L392" s="4245"/>
      <c r="M392" s="4245"/>
      <c r="N392" s="4245"/>
      <c r="O392" s="4245"/>
      <c r="P392" s="4246"/>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40"/>
      <c r="B394" s="4041"/>
      <c r="C394" s="4041"/>
      <c r="D394" s="4041"/>
      <c r="E394" s="4041"/>
      <c r="F394" s="4041"/>
      <c r="G394" s="4041"/>
      <c r="H394" s="4041"/>
      <c r="I394" s="4041"/>
      <c r="J394" s="4041"/>
      <c r="K394" s="4041"/>
      <c r="L394" s="4041"/>
      <c r="M394" s="4041"/>
      <c r="N394" s="4041"/>
      <c r="O394" s="4041"/>
      <c r="P394" s="4042"/>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40"/>
      <c r="B402" s="4041"/>
      <c r="C402" s="4041"/>
      <c r="D402" s="4041"/>
      <c r="E402" s="4041"/>
      <c r="F402" s="4041"/>
      <c r="G402" s="4041"/>
      <c r="H402" s="4041"/>
      <c r="I402" s="4041"/>
      <c r="J402" s="4041"/>
      <c r="K402" s="4041"/>
      <c r="L402" s="4041"/>
      <c r="M402" s="4041"/>
      <c r="N402" s="4041"/>
      <c r="O402" s="4041"/>
      <c r="P402" s="4042"/>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6612</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6613</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6614</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6615</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6616</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4" t="s">
        <v>6958</v>
      </c>
      <c r="B413" s="4245"/>
      <c r="C413" s="4245"/>
      <c r="D413" s="4245"/>
      <c r="E413" s="4245"/>
      <c r="F413" s="4245"/>
      <c r="G413" s="4245"/>
      <c r="H413" s="4245"/>
      <c r="I413" s="4245"/>
      <c r="J413" s="4245"/>
      <c r="K413" s="4245"/>
      <c r="L413" s="4245"/>
      <c r="M413" s="4245"/>
      <c r="N413" s="4245"/>
      <c r="O413" s="4245"/>
      <c r="P413" s="4246"/>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40"/>
      <c r="B415" s="4041"/>
      <c r="C415" s="4041"/>
      <c r="D415" s="4041"/>
      <c r="E415" s="4041"/>
      <c r="F415" s="4041"/>
      <c r="G415" s="4041"/>
      <c r="H415" s="4041"/>
      <c r="I415" s="4041"/>
      <c r="J415" s="4041"/>
      <c r="K415" s="4041"/>
      <c r="L415" s="4041"/>
      <c r="M415" s="4041"/>
      <c r="N415" s="4041"/>
      <c r="O415" s="4041"/>
      <c r="P415" s="4042"/>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6247</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4" t="s">
        <v>6959</v>
      </c>
      <c r="B419" s="4245"/>
      <c r="C419" s="4245"/>
      <c r="D419" s="4245"/>
      <c r="E419" s="4245"/>
      <c r="F419" s="4245"/>
      <c r="G419" s="4245"/>
      <c r="H419" s="4245"/>
      <c r="I419" s="4245"/>
      <c r="J419" s="4245"/>
      <c r="K419" s="4245"/>
      <c r="L419" s="4245"/>
      <c r="M419" s="4245"/>
      <c r="N419" s="4245"/>
      <c r="O419" s="4245"/>
      <c r="P419" s="4246"/>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40"/>
      <c r="B421" s="4041"/>
      <c r="C421" s="4041"/>
      <c r="D421" s="4041"/>
      <c r="E421" s="4041"/>
      <c r="F421" s="4041"/>
      <c r="G421" s="4041"/>
      <c r="H421" s="4041"/>
      <c r="I421" s="4041"/>
      <c r="J421" s="4041"/>
      <c r="K421" s="4041"/>
      <c r="L421" s="4041"/>
      <c r="M421" s="4041"/>
      <c r="N421" s="4041"/>
      <c r="O421" s="4041"/>
      <c r="P421" s="4042"/>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6617</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40"/>
      <c r="B425" s="4041"/>
      <c r="C425" s="4041"/>
      <c r="D425" s="4041"/>
      <c r="E425" s="4041"/>
      <c r="F425" s="4041"/>
      <c r="G425" s="4041"/>
      <c r="H425" s="4041"/>
      <c r="I425" s="4041"/>
      <c r="J425" s="4041"/>
      <c r="K425" s="4041"/>
      <c r="L425" s="4041"/>
      <c r="M425" s="4041"/>
      <c r="N425" s="4041"/>
      <c r="O425" s="4041"/>
      <c r="P425" s="4042"/>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6618</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4" t="s">
        <v>6959</v>
      </c>
      <c r="B429" s="4245"/>
      <c r="C429" s="4245"/>
      <c r="D429" s="4245"/>
      <c r="E429" s="4245"/>
      <c r="F429" s="4245"/>
      <c r="G429" s="4245"/>
      <c r="H429" s="4245"/>
      <c r="I429" s="4245"/>
      <c r="J429" s="4245"/>
      <c r="K429" s="4245"/>
      <c r="L429" s="4245"/>
      <c r="M429" s="4245"/>
      <c r="N429" s="4245"/>
      <c r="O429" s="4245"/>
      <c r="P429" s="4246"/>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40"/>
      <c r="B431" s="4041"/>
      <c r="C431" s="4041"/>
      <c r="D431" s="4041"/>
      <c r="E431" s="4041"/>
      <c r="F431" s="4041"/>
      <c r="G431" s="4041"/>
      <c r="H431" s="4041"/>
      <c r="I431" s="4041"/>
      <c r="J431" s="4041"/>
      <c r="K431" s="4041"/>
      <c r="L431" s="4041"/>
      <c r="M431" s="4041"/>
      <c r="N431" s="4041"/>
      <c r="O431" s="4041"/>
      <c r="P431" s="4042"/>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6565</v>
      </c>
      <c r="B433" s="106" t="s">
        <v>6619</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4" t="s">
        <v>6959</v>
      </c>
      <c r="B437" s="4245"/>
      <c r="C437" s="4245"/>
      <c r="D437" s="4245"/>
      <c r="E437" s="4245"/>
      <c r="F437" s="4245"/>
      <c r="G437" s="4245"/>
      <c r="H437" s="4245"/>
      <c r="I437" s="4245"/>
      <c r="J437" s="4245"/>
      <c r="K437" s="4245"/>
      <c r="L437" s="4245"/>
      <c r="M437" s="4245"/>
      <c r="N437" s="4245"/>
      <c r="O437" s="4245"/>
      <c r="P437" s="4246"/>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40"/>
      <c r="B439" s="4041"/>
      <c r="C439" s="4041"/>
      <c r="D439" s="4041"/>
      <c r="E439" s="4041"/>
      <c r="F439" s="4041"/>
      <c r="G439" s="4041"/>
      <c r="H439" s="4041"/>
      <c r="I439" s="4041"/>
      <c r="J439" s="4041"/>
      <c r="K439" s="4041"/>
      <c r="L439" s="4041"/>
      <c r="M439" s="4041"/>
      <c r="N439" s="4041"/>
      <c r="O439" s="4041"/>
      <c r="P439" s="4042"/>
      <c r="Q439" s="1078"/>
      <c r="R439" s="467"/>
    </row>
    <row r="440" spans="1:27" ht="13.5" customHeight="1" thickBot="1">
      <c r="O440" s="2077"/>
      <c r="P440" s="2077"/>
      <c r="Q440" s="4537" t="s">
        <v>6752</v>
      </c>
      <c r="R440" s="4537"/>
      <c r="S440" s="4537"/>
      <c r="T440" s="4537"/>
      <c r="U440" s="4537"/>
      <c r="V440" s="4537"/>
      <c r="W440" s="4537"/>
      <c r="X440" s="4537"/>
      <c r="Y440" s="4537"/>
      <c r="Z440" s="4537"/>
      <c r="AA440" s="4537"/>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51</v>
      </c>
      <c r="P441" s="2104">
        <f>-P10+P63+P88+P102+P112+P151+P168+P189+P204+P224+P232+P241+P251+P260+P273+P284+P309+P317+P333+P341+P377+P396+P404+P423+P427+P433</f>
        <v>22</v>
      </c>
      <c r="Q441" s="4537"/>
      <c r="R441" s="4537"/>
      <c r="S441" s="4537"/>
      <c r="T441" s="4537"/>
      <c r="U441" s="4537"/>
      <c r="V441" s="4537"/>
      <c r="W441" s="4537"/>
      <c r="X441" s="4537"/>
      <c r="Y441" s="4537"/>
      <c r="Z441" s="4537"/>
      <c r="AA441" s="4537"/>
    </row>
    <row r="442" spans="1:27" s="43" customFormat="1" ht="15.75" thickTop="1">
      <c r="A442" s="42"/>
      <c r="C442" s="2080"/>
      <c r="D442" s="2080"/>
      <c r="E442" s="2080"/>
      <c r="F442" s="2080"/>
      <c r="G442" s="2080"/>
      <c r="H442" s="2080"/>
      <c r="I442" s="2080"/>
      <c r="J442" s="2080"/>
      <c r="K442" s="2080"/>
      <c r="L442" s="2080"/>
      <c r="M442" s="2080"/>
      <c r="N442" s="2501"/>
      <c r="O442" s="2501"/>
      <c r="P442" s="2501"/>
      <c r="Q442" s="4537"/>
      <c r="R442" s="4537"/>
      <c r="S442" s="4537"/>
      <c r="T442" s="4537"/>
      <c r="U442" s="4537"/>
      <c r="V442" s="4537"/>
      <c r="W442" s="4537"/>
      <c r="X442" s="4537"/>
      <c r="Y442" s="4537"/>
      <c r="Z442" s="4537"/>
      <c r="AA442" s="4537"/>
    </row>
    <row r="443" spans="1:27" s="160" customFormat="1" ht="6.75" customHeight="1">
      <c r="A443" s="54"/>
      <c r="B443" s="67"/>
      <c r="C443" s="54"/>
      <c r="D443" s="148"/>
      <c r="E443" s="148"/>
      <c r="F443" s="40"/>
      <c r="G443" s="40"/>
      <c r="H443" s="69"/>
      <c r="I443" s="69"/>
      <c r="J443" s="494"/>
      <c r="K443" s="494"/>
      <c r="L443" s="43"/>
      <c r="M443" s="148"/>
      <c r="N443" s="1203"/>
      <c r="O443" s="1203"/>
      <c r="P443" s="3"/>
      <c r="Q443" s="4537"/>
      <c r="R443" s="4537"/>
      <c r="S443" s="4537"/>
      <c r="T443" s="4537"/>
      <c r="U443" s="4537"/>
      <c r="V443" s="4537"/>
      <c r="W443" s="4537"/>
      <c r="X443" s="4537"/>
      <c r="Y443" s="4537"/>
      <c r="Z443" s="4537"/>
      <c r="AA443" s="4537"/>
    </row>
    <row r="444" spans="1:27" s="43" customFormat="1" ht="22.5" customHeight="1">
      <c r="A444" s="4335" t="s">
        <v>6707</v>
      </c>
      <c r="B444" s="4335"/>
      <c r="C444" s="4335"/>
      <c r="D444" s="4335"/>
      <c r="E444" s="4335"/>
      <c r="F444" s="4335"/>
      <c r="G444" s="4335"/>
      <c r="H444" s="4335"/>
      <c r="I444" s="4335"/>
      <c r="J444" s="4335"/>
      <c r="K444" s="4335"/>
      <c r="L444" s="4335"/>
      <c r="M444" s="4335"/>
      <c r="N444" s="4335"/>
      <c r="O444" s="4335"/>
      <c r="P444" s="4335"/>
      <c r="Q444" s="4537"/>
      <c r="R444" s="4537"/>
      <c r="S444" s="4537"/>
      <c r="T444" s="4537"/>
      <c r="U444" s="4537"/>
      <c r="V444" s="4537"/>
      <c r="W444" s="4537"/>
      <c r="X444" s="4537"/>
      <c r="Y444" s="4537"/>
      <c r="Z444" s="4537"/>
      <c r="AA444" s="4537"/>
    </row>
    <row r="445" spans="1:27" s="43" customFormat="1" ht="409.15" customHeight="1">
      <c r="A445" s="4015" t="s">
        <v>6994</v>
      </c>
      <c r="B445" s="4016"/>
      <c r="C445" s="4016"/>
      <c r="D445" s="4016"/>
      <c r="E445" s="4016"/>
      <c r="F445" s="4016"/>
      <c r="G445" s="4016"/>
      <c r="H445" s="4016"/>
      <c r="I445" s="4016"/>
      <c r="J445" s="4016"/>
      <c r="K445" s="4016"/>
      <c r="L445" s="4016"/>
      <c r="M445" s="4016"/>
      <c r="N445" s="4016"/>
      <c r="O445" s="4016"/>
      <c r="P445" s="4017"/>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2" t="s">
        <v>1408</v>
      </c>
      <c r="H465" s="4332"/>
      <c r="I465" s="4332"/>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7" t="s">
        <v>2583</v>
      </c>
      <c r="B1" s="4547"/>
      <c r="C1" s="4547"/>
      <c r="D1" s="4547"/>
      <c r="E1" s="4547"/>
      <c r="F1" s="4547"/>
      <c r="G1" s="4547"/>
      <c r="H1" s="4547"/>
      <c r="I1" s="4547"/>
      <c r="J1" s="4547"/>
    </row>
    <row r="2" spans="1:16" ht="15.75">
      <c r="A2" s="4547" t="str">
        <f>'Sensitivity Analysis'!C8</f>
        <v xml:space="preserve">Gibson Park </v>
      </c>
      <c r="B2" s="4547"/>
      <c r="C2" s="4547"/>
      <c r="D2" s="4547"/>
      <c r="E2" s="4547"/>
      <c r="F2" s="4547"/>
      <c r="G2" s="4547"/>
      <c r="H2" s="4547"/>
      <c r="I2" s="4547"/>
      <c r="J2" s="4547"/>
    </row>
    <row r="3" spans="1:16" ht="15.75">
      <c r="A3" s="4547" t="str">
        <f>'Subsidy Layering Memo'!F14</f>
        <v>College Park, Fulton</v>
      </c>
      <c r="B3" s="4547"/>
      <c r="C3" s="4547"/>
      <c r="D3" s="4547"/>
      <c r="E3" s="4547"/>
      <c r="F3" s="4547"/>
      <c r="G3" s="4547"/>
      <c r="H3" s="4547"/>
      <c r="I3" s="4547"/>
      <c r="J3" s="4547"/>
    </row>
    <row r="4" spans="1:16" ht="15.75">
      <c r="A4" s="4548" t="s">
        <v>2584</v>
      </c>
      <c r="B4" s="4547"/>
      <c r="C4" s="4547"/>
      <c r="D4" s="4547"/>
      <c r="E4" s="4547"/>
      <c r="F4" s="4547"/>
      <c r="G4" s="4547"/>
      <c r="H4" s="4547"/>
      <c r="I4" s="4547"/>
      <c r="J4" s="4547"/>
    </row>
    <row r="5" spans="1:16" ht="5.25" customHeight="1"/>
    <row r="6" spans="1:16" ht="5.25" customHeight="1"/>
    <row r="7" spans="1:16" ht="15.75">
      <c r="A7" s="4549" t="s">
        <v>2585</v>
      </c>
      <c r="B7" s="4549"/>
      <c r="C7" s="4550"/>
      <c r="M7" s="4551"/>
      <c r="N7" s="4551"/>
      <c r="O7" s="4551"/>
      <c r="P7" s="4551"/>
    </row>
    <row r="8" spans="1:16" ht="57" customHeight="1">
      <c r="A8" s="4552" t="s">
        <v>6159</v>
      </c>
      <c r="B8" s="4552"/>
      <c r="C8" s="4552"/>
      <c r="D8" s="4552"/>
      <c r="E8" s="4552"/>
      <c r="F8" s="4552"/>
      <c r="G8" s="4552"/>
      <c r="H8" s="4552"/>
      <c r="I8" s="4552"/>
      <c r="J8" s="4552"/>
      <c r="K8" s="655"/>
    </row>
    <row r="9" spans="1:16" ht="45.75" customHeight="1">
      <c r="A9" s="4552"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2"/>
      <c r="C9" s="4552"/>
      <c r="D9" s="4552"/>
      <c r="E9" s="4552"/>
      <c r="F9" s="4552"/>
      <c r="G9" s="4552"/>
      <c r="H9" s="4552"/>
      <c r="I9" s="4552"/>
      <c r="J9" s="4552"/>
      <c r="K9" s="655"/>
    </row>
    <row r="10" spans="1:16" ht="15.75">
      <c r="A10" s="656" t="s">
        <v>2586</v>
      </c>
    </row>
    <row r="11" spans="1:16" ht="16.5" customHeight="1">
      <c r="A11" s="4552" t="str">
        <f>'Subsidy Layering Memo'!A50</f>
        <v xml:space="preserve">Ownership entity:  (NAME) LP, a Georgia Limited Partnership, will be the ownership entity for the proposed project. </v>
      </c>
      <c r="B11" s="4554"/>
      <c r="C11" s="4554"/>
      <c r="D11" s="4554"/>
      <c r="E11" s="4554"/>
      <c r="F11" s="4554"/>
      <c r="G11" s="4554"/>
      <c r="H11" s="4554"/>
      <c r="I11" s="4554"/>
      <c r="J11" s="4552"/>
    </row>
    <row r="12" spans="1:16" ht="63.75" customHeight="1">
      <c r="A12" s="455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2"/>
      <c r="C12" s="4552"/>
      <c r="D12" s="4552"/>
      <c r="E12" s="4552"/>
      <c r="F12" s="4552"/>
      <c r="G12" s="4552"/>
      <c r="H12" s="4552"/>
      <c r="I12" s="4552"/>
      <c r="J12" s="4552"/>
    </row>
    <row r="13" spans="1:16" ht="48.75" customHeight="1">
      <c r="A13" s="455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2"/>
      <c r="C13" s="4552"/>
      <c r="D13" s="4552"/>
      <c r="E13" s="4552"/>
      <c r="F13" s="4552"/>
      <c r="G13" s="4552"/>
      <c r="H13" s="4552"/>
      <c r="I13" s="4552"/>
      <c r="J13" s="4552"/>
    </row>
    <row r="14" spans="1:16" ht="15.75">
      <c r="A14" s="656" t="s">
        <v>2587</v>
      </c>
      <c r="B14" s="657"/>
    </row>
    <row r="15" spans="1:16">
      <c r="A15" s="654" t="s">
        <v>2588</v>
      </c>
      <c r="D15" s="1588" t="s">
        <v>2589</v>
      </c>
    </row>
    <row r="16" spans="1:16">
      <c r="A16" s="654" t="s">
        <v>2590</v>
      </c>
      <c r="D16" s="1586">
        <f>'Sensitivity Analysis'!C25</f>
        <v>6100000</v>
      </c>
    </row>
    <row r="17" spans="1:11">
      <c r="A17" s="658" t="s">
        <v>2591</v>
      </c>
      <c r="D17" s="1587">
        <f>'Sensitivity Analysis'!C13</f>
        <v>72</v>
      </c>
    </row>
    <row r="18" spans="1:11" ht="14.25" customHeight="1"/>
    <row r="19" spans="1:11" ht="15.75">
      <c r="A19" s="656" t="s">
        <v>2592</v>
      </c>
      <c r="B19" s="657"/>
      <c r="C19" s="657"/>
    </row>
    <row r="20" spans="1:11" ht="48.75" customHeight="1">
      <c r="A20" s="455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5"/>
      <c r="C20" s="4555"/>
      <c r="D20" s="4555"/>
      <c r="E20" s="4555"/>
      <c r="F20" s="4555"/>
      <c r="G20" s="4555"/>
      <c r="H20" s="4555"/>
      <c r="I20" s="4555"/>
      <c r="J20" s="4555"/>
    </row>
    <row r="21" spans="1:11" ht="72.75" customHeight="1">
      <c r="A21" s="4552" t="str">
        <f>'Subsidy Layering Memo'!A67</f>
        <v xml:space="preserve"> will make a capital contribution totaling 6983745 via the syndication of the 2021 Federal LIHTC allocation of 830000 per annum. will make a capital contribution totaling 4635550 via the syndication of the 2021 State LIHTC allocation of 830000 per annum.</v>
      </c>
      <c r="B21" s="4552"/>
      <c r="C21" s="4552"/>
      <c r="D21" s="4552"/>
      <c r="E21" s="4552"/>
      <c r="F21" s="4552"/>
      <c r="G21" s="4552"/>
      <c r="H21" s="4552"/>
      <c r="I21" s="4552"/>
      <c r="J21" s="4552"/>
    </row>
    <row r="22" spans="1:11" ht="43.5" customHeight="1">
      <c r="A22" s="4557" t="str">
        <f>'Subsidy Layering Memo'!A68</f>
        <v xml:space="preserve">The total equity price per credit will be 1.4 (0.85 Federal tax credit and 0.55 State tax credit) for a (X%) ownership interest of the Federal Credits and a (X%) ownership interest of the State Credits. </v>
      </c>
      <c r="B22" s="4557"/>
      <c r="C22" s="4557"/>
      <c r="D22" s="4557"/>
      <c r="E22" s="4557"/>
      <c r="F22" s="4557"/>
      <c r="G22" s="4557"/>
      <c r="H22" s="4557"/>
      <c r="I22" s="4557"/>
      <c r="J22" s="4557"/>
    </row>
    <row r="23" spans="1:11" ht="15.75">
      <c r="A23" s="656" t="s">
        <v>6160</v>
      </c>
      <c r="B23" s="657"/>
      <c r="C23" s="657"/>
      <c r="D23" s="657"/>
      <c r="E23" s="657"/>
      <c r="F23" s="657"/>
    </row>
    <row r="24" spans="1:11" ht="102.75" customHeight="1">
      <c r="A24" s="45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6"/>
      <c r="C24" s="4556"/>
      <c r="D24" s="4556"/>
      <c r="E24" s="4556"/>
      <c r="F24" s="4556"/>
      <c r="G24" s="4556"/>
      <c r="H24" s="4556"/>
      <c r="I24" s="4556"/>
      <c r="J24" s="4556"/>
      <c r="K24" s="1293"/>
    </row>
    <row r="25" spans="1:11" ht="15" customHeight="1">
      <c r="A25" s="4553"/>
      <c r="B25" s="4553"/>
      <c r="C25" s="4553"/>
      <c r="D25" s="4553"/>
      <c r="E25" s="4553"/>
      <c r="F25" s="4553"/>
      <c r="G25" s="4553"/>
      <c r="H25" s="4553"/>
      <c r="I25" s="4553"/>
      <c r="J25" s="4553"/>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 xml:space="preserve">Gibson Park </v>
      </c>
    </row>
    <row r="13" spans="1:10" ht="15">
      <c r="A13" s="664"/>
      <c r="D13" s="663" t="s">
        <v>2606</v>
      </c>
      <c r="F13" s="1585" t="str">
        <f>'Sensitivity Analysis'!E8</f>
        <v>2022-0</v>
      </c>
    </row>
    <row r="14" spans="1:10" ht="15">
      <c r="A14" s="664"/>
      <c r="D14" s="663" t="s">
        <v>2607</v>
      </c>
      <c r="F14" s="1585" t="str">
        <f>'Sensitivity Analysis'!H8</f>
        <v>College Park, Fulton</v>
      </c>
    </row>
    <row r="15" spans="1:10" ht="15">
      <c r="A15" s="664"/>
      <c r="D15" s="663" t="s">
        <v>2948</v>
      </c>
      <c r="F15" s="4569">
        <f>'Sensitivity Analysis'!$C$25</f>
        <v>6100000</v>
      </c>
      <c r="G15" s="4569"/>
      <c r="H15" s="4569"/>
    </row>
    <row r="16" spans="1:10" ht="15">
      <c r="A16" s="664"/>
      <c r="D16" s="666" t="s">
        <v>2608</v>
      </c>
      <c r="F16" s="667">
        <f>'Sensitivity Analysis'!C13</f>
        <v>72</v>
      </c>
      <c r="G16" s="668" t="s">
        <v>2949</v>
      </c>
      <c r="H16" s="1241">
        <f>'Sensitivity Analysis'!E13</f>
        <v>64</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6162</v>
      </c>
    </row>
    <row r="22" spans="1:18" ht="111.75" customHeight="1">
      <c r="A22" s="4559" t="s">
        <v>3101</v>
      </c>
      <c r="B22" s="4559"/>
      <c r="C22" s="4559"/>
      <c r="D22" s="4559"/>
      <c r="E22" s="4559"/>
      <c r="F22" s="4559"/>
      <c r="G22" s="4559"/>
      <c r="H22" s="4559"/>
      <c r="I22" s="4559"/>
      <c r="J22" s="4559"/>
      <c r="K22" s="4558" t="s">
        <v>3902</v>
      </c>
      <c r="L22" s="4558"/>
      <c r="M22" s="4558"/>
      <c r="N22" s="4558"/>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0"/>
      <c r="B24" s="4560"/>
      <c r="C24" s="4560"/>
      <c r="D24" s="4560"/>
      <c r="E24" s="4560"/>
      <c r="F24" s="4560"/>
      <c r="G24" s="4560"/>
      <c r="H24" s="4560"/>
      <c r="I24" s="4560"/>
      <c r="J24" s="4560"/>
    </row>
    <row r="25" spans="1:18" ht="10.5" hidden="1" customHeight="1">
      <c r="A25" s="4557"/>
      <c r="B25" s="4557"/>
      <c r="C25" s="4557"/>
      <c r="D25" s="4557"/>
      <c r="E25" s="4557"/>
      <c r="F25" s="4557"/>
      <c r="G25" s="4557"/>
      <c r="H25" s="4557"/>
      <c r="I25" s="4557"/>
      <c r="J25" s="4557"/>
    </row>
    <row r="26" spans="1:18" ht="15">
      <c r="A26" s="669" t="s">
        <v>6161</v>
      </c>
    </row>
    <row r="27" spans="1:18" ht="14.25" customHeight="1">
      <c r="A27" s="4561" t="s">
        <v>6163</v>
      </c>
      <c r="B27" s="4561"/>
      <c r="C27" s="4561"/>
      <c r="D27" s="4561"/>
      <c r="E27" s="4561"/>
      <c r="F27" s="4561"/>
      <c r="G27" s="4561"/>
      <c r="H27" s="4561"/>
      <c r="I27" s="4561"/>
      <c r="J27" s="4561"/>
    </row>
    <row r="28" spans="1:18" ht="14.25" customHeight="1">
      <c r="A28" s="4561"/>
      <c r="B28" s="4561"/>
      <c r="C28" s="4561"/>
      <c r="D28" s="4561"/>
      <c r="E28" s="4561"/>
      <c r="F28" s="4561"/>
      <c r="G28" s="4561"/>
      <c r="H28" s="4561"/>
      <c r="I28" s="4561"/>
      <c r="J28" s="4561"/>
    </row>
    <row r="29" spans="1:18" ht="6.75" customHeight="1">
      <c r="A29" s="4561"/>
      <c r="B29" s="4561"/>
      <c r="C29" s="4561"/>
      <c r="D29" s="4561"/>
      <c r="E29" s="4561"/>
      <c r="F29" s="4561"/>
      <c r="G29" s="4561"/>
      <c r="H29" s="4561"/>
      <c r="I29" s="4561"/>
      <c r="J29" s="4561"/>
    </row>
    <row r="30" spans="1:18" ht="21.75" customHeight="1">
      <c r="A30" s="4561"/>
      <c r="B30" s="4561"/>
      <c r="C30" s="4561"/>
      <c r="D30" s="4561"/>
      <c r="E30" s="4561"/>
      <c r="F30" s="4561"/>
      <c r="G30" s="4561"/>
      <c r="H30" s="4561"/>
      <c r="I30" s="4561"/>
      <c r="J30" s="4561"/>
    </row>
    <row r="31" spans="1:18" ht="20.25" customHeight="1">
      <c r="A31" s="4561"/>
      <c r="B31" s="4561"/>
      <c r="C31" s="4561"/>
      <c r="D31" s="4561"/>
      <c r="E31" s="4561"/>
      <c r="F31" s="4561"/>
      <c r="G31" s="4561"/>
      <c r="H31" s="4561"/>
      <c r="I31" s="4561"/>
      <c r="J31" s="4561"/>
    </row>
    <row r="32" spans="1:18" ht="54.75" customHeight="1">
      <c r="A32" s="4561"/>
      <c r="B32" s="4561"/>
      <c r="C32" s="4561"/>
      <c r="D32" s="4561"/>
      <c r="E32" s="4561"/>
      <c r="F32" s="4561"/>
      <c r="G32" s="4561"/>
      <c r="H32" s="4561"/>
      <c r="I32" s="4561"/>
      <c r="J32" s="4561"/>
    </row>
    <row r="33" spans="1:10" ht="0.75" hidden="1" customHeight="1">
      <c r="A33" s="4561"/>
      <c r="B33" s="4561"/>
      <c r="C33" s="4561"/>
      <c r="D33" s="4561"/>
      <c r="E33" s="4561"/>
      <c r="F33" s="4561"/>
      <c r="G33" s="4561"/>
      <c r="H33" s="4561"/>
      <c r="I33" s="4561"/>
      <c r="J33" s="4561"/>
    </row>
    <row r="34" spans="1:10" ht="3.75" hidden="1" customHeight="1">
      <c r="A34" s="4561"/>
      <c r="B34" s="4561"/>
      <c r="C34" s="4561"/>
      <c r="D34" s="4561"/>
      <c r="E34" s="4561"/>
      <c r="F34" s="4561"/>
      <c r="G34" s="4561"/>
      <c r="H34" s="4561"/>
      <c r="I34" s="4561"/>
      <c r="J34" s="4561"/>
    </row>
    <row r="35" spans="1:10" ht="5.25" customHeight="1">
      <c r="A35" s="1581"/>
      <c r="B35" s="1581"/>
      <c r="C35" s="1581"/>
      <c r="D35" s="1581"/>
      <c r="E35" s="1581"/>
      <c r="F35" s="1581"/>
      <c r="G35" s="1581"/>
      <c r="H35" s="1581"/>
      <c r="I35" s="1581"/>
      <c r="J35" s="1581"/>
    </row>
    <row r="36" spans="1:10" ht="19.5" customHeight="1">
      <c r="A36" s="4560" t="s">
        <v>6164</v>
      </c>
      <c r="B36" s="4560"/>
      <c r="C36" s="4560"/>
      <c r="D36" s="1579"/>
      <c r="E36" s="1579"/>
      <c r="F36" s="1579"/>
      <c r="G36" s="1579"/>
      <c r="H36" s="1579"/>
      <c r="I36" s="1579"/>
      <c r="J36" s="1579"/>
    </row>
    <row r="37" spans="1:10" ht="22.5" customHeight="1">
      <c r="A37" s="4557" t="s">
        <v>1615</v>
      </c>
      <c r="B37" s="4557"/>
      <c r="C37" s="4557"/>
      <c r="D37" s="4557"/>
      <c r="E37" s="4557"/>
      <c r="F37" s="4557"/>
      <c r="G37" s="4557"/>
      <c r="H37" s="4557"/>
      <c r="I37" s="4557"/>
      <c r="J37" s="4557"/>
    </row>
    <row r="38" spans="1:10" ht="22.5" customHeight="1">
      <c r="A38" s="4557" t="s">
        <v>1616</v>
      </c>
      <c r="B38" s="4557"/>
      <c r="C38" s="4557"/>
      <c r="D38" s="4557"/>
      <c r="E38" s="4557"/>
      <c r="F38" s="4557"/>
      <c r="G38" s="4557"/>
      <c r="H38" s="4557"/>
      <c r="I38" s="4557"/>
      <c r="J38" s="4557"/>
    </row>
    <row r="39" spans="1:10" ht="22.5" customHeight="1">
      <c r="A39" s="4557" t="s">
        <v>1617</v>
      </c>
      <c r="B39" s="4557"/>
      <c r="C39" s="4557"/>
      <c r="D39" s="4557"/>
      <c r="E39" s="4557"/>
      <c r="F39" s="4557"/>
      <c r="G39" s="4557"/>
      <c r="H39" s="4557"/>
      <c r="I39" s="4557"/>
      <c r="J39" s="4557"/>
    </row>
    <row r="40" spans="1:10" ht="22.5" customHeight="1">
      <c r="A40" s="4557" t="s">
        <v>2183</v>
      </c>
      <c r="B40" s="4557"/>
      <c r="C40" s="4557"/>
      <c r="D40" s="4557"/>
      <c r="E40" s="4557"/>
      <c r="F40" s="4557"/>
      <c r="G40" s="4557"/>
      <c r="H40" s="4557"/>
      <c r="I40" s="4557"/>
      <c r="J40" s="4557"/>
    </row>
    <row r="41" spans="1:10" ht="22.5" customHeight="1">
      <c r="A41" s="4557" t="s">
        <v>1449</v>
      </c>
      <c r="B41" s="4557"/>
      <c r="C41" s="4557"/>
      <c r="D41" s="4557"/>
      <c r="E41" s="4557"/>
      <c r="F41" s="4557"/>
      <c r="G41" s="4557"/>
      <c r="H41" s="4557"/>
      <c r="I41" s="4557"/>
      <c r="J41" s="4557"/>
    </row>
    <row r="42" spans="1:10" ht="22.5" customHeight="1">
      <c r="A42" s="4557" t="s">
        <v>1450</v>
      </c>
      <c r="B42" s="4557"/>
      <c r="C42" s="4557"/>
      <c r="D42" s="4557"/>
      <c r="E42" s="4557"/>
      <c r="F42" s="4557"/>
      <c r="G42" s="4557"/>
      <c r="H42" s="4557"/>
      <c r="I42" s="4557"/>
      <c r="J42" s="4557"/>
    </row>
    <row r="43" spans="1:10" ht="22.5" customHeight="1">
      <c r="A43" s="4557" t="s">
        <v>93</v>
      </c>
      <c r="B43" s="4557"/>
      <c r="C43" s="4557"/>
      <c r="D43" s="4557"/>
      <c r="E43" s="4557"/>
      <c r="F43" s="4557"/>
      <c r="G43" s="4557"/>
      <c r="H43" s="4557"/>
      <c r="I43" s="4557"/>
      <c r="J43" s="4557"/>
    </row>
    <row r="44" spans="1:10" ht="22.5" customHeight="1">
      <c r="A44" s="4557" t="s">
        <v>481</v>
      </c>
      <c r="B44" s="4557"/>
      <c r="C44" s="4557"/>
      <c r="D44" s="4557"/>
      <c r="E44" s="4557"/>
      <c r="F44" s="4557"/>
      <c r="G44" s="4557"/>
      <c r="H44" s="4557"/>
      <c r="I44" s="4557"/>
      <c r="J44" s="4557"/>
    </row>
    <row r="45" spans="1:10" ht="2.25" customHeight="1">
      <c r="A45" s="1579"/>
      <c r="B45" s="1579"/>
      <c r="C45" s="1579"/>
      <c r="D45" s="1579"/>
      <c r="E45" s="1579"/>
      <c r="F45" s="1579"/>
      <c r="G45" s="1579"/>
      <c r="H45" s="1579"/>
      <c r="I45" s="1579"/>
      <c r="J45" s="1579"/>
    </row>
    <row r="46" spans="1:10" ht="15">
      <c r="A46" s="669" t="s">
        <v>2609</v>
      </c>
    </row>
    <row r="47" spans="1:10" ht="135" customHeight="1">
      <c r="A47" s="4557" t="s">
        <v>6165</v>
      </c>
      <c r="B47" s="4557"/>
      <c r="C47" s="4557"/>
      <c r="D47" s="4557"/>
      <c r="E47" s="4557"/>
      <c r="F47" s="4557"/>
      <c r="G47" s="4557"/>
      <c r="H47" s="4557"/>
      <c r="I47" s="4557"/>
      <c r="J47" s="4557"/>
    </row>
    <row r="48" spans="1:10" ht="6" customHeight="1">
      <c r="A48" s="1580"/>
      <c r="B48" s="1580"/>
      <c r="C48" s="1580"/>
      <c r="D48" s="1580"/>
      <c r="E48" s="1580"/>
      <c r="F48" s="1580"/>
      <c r="G48" s="1580"/>
      <c r="H48" s="1580"/>
      <c r="I48" s="1580"/>
      <c r="J48" s="1580"/>
    </row>
    <row r="49" spans="1:12" ht="15">
      <c r="A49" s="669" t="s">
        <v>2610</v>
      </c>
    </row>
    <row r="50" spans="1:12" ht="33" customHeight="1">
      <c r="A50" s="4552" t="s">
        <v>3455</v>
      </c>
      <c r="B50" s="4554"/>
      <c r="C50" s="4554"/>
      <c r="D50" s="4554"/>
      <c r="E50" s="4554"/>
      <c r="F50" s="4554"/>
      <c r="G50" s="4554"/>
      <c r="H50" s="4554"/>
      <c r="I50" s="4554"/>
      <c r="J50" s="4552"/>
    </row>
    <row r="51" spans="1:12" ht="3" customHeight="1"/>
    <row r="52" spans="1:12" ht="72.75" customHeight="1">
      <c r="A52" s="4552" t="s">
        <v>3456</v>
      </c>
      <c r="B52" s="4552"/>
      <c r="C52" s="4552"/>
      <c r="D52" s="4552"/>
      <c r="E52" s="4552"/>
      <c r="F52" s="4552"/>
      <c r="G52" s="4552"/>
      <c r="H52" s="4552"/>
      <c r="I52" s="4552"/>
      <c r="J52" s="4552"/>
    </row>
    <row r="53" spans="1:12" ht="3" customHeight="1">
      <c r="A53" s="1579"/>
      <c r="B53" s="1579"/>
      <c r="C53" s="1579"/>
      <c r="D53" s="1579"/>
      <c r="E53" s="1579"/>
      <c r="F53" s="1579"/>
      <c r="G53" s="1579"/>
      <c r="H53" s="1579"/>
      <c r="I53" s="1579"/>
      <c r="J53" s="1579"/>
    </row>
    <row r="54" spans="1:12" ht="56.25" customHeight="1">
      <c r="A54" s="4552" t="s">
        <v>3457</v>
      </c>
      <c r="B54" s="4552"/>
      <c r="C54" s="4552"/>
      <c r="D54" s="4552"/>
      <c r="E54" s="4552"/>
      <c r="F54" s="4552"/>
      <c r="G54" s="4552"/>
      <c r="H54" s="4552"/>
      <c r="I54" s="4552"/>
      <c r="J54" s="4552"/>
    </row>
    <row r="55" spans="1:12" ht="3" customHeight="1">
      <c r="A55" s="1579"/>
      <c r="B55" s="1579"/>
      <c r="C55" s="1579"/>
      <c r="D55" s="1579"/>
      <c r="E55" s="1579"/>
      <c r="F55" s="1579"/>
      <c r="G55" s="1579"/>
      <c r="H55" s="1579"/>
      <c r="I55" s="1579"/>
      <c r="J55" s="1579"/>
    </row>
    <row r="56" spans="1:12" ht="49.5" customHeight="1">
      <c r="A56" s="4552" t="s">
        <v>3458</v>
      </c>
      <c r="B56" s="4552"/>
      <c r="C56" s="4552"/>
      <c r="D56" s="4552"/>
      <c r="E56" s="4552"/>
      <c r="F56" s="4552"/>
      <c r="G56" s="4552"/>
      <c r="H56" s="4552"/>
      <c r="I56" s="4552"/>
      <c r="J56" s="1579"/>
    </row>
    <row r="57" spans="1:12" ht="3" customHeight="1">
      <c r="A57" s="1579"/>
      <c r="B57" s="1579"/>
      <c r="C57" s="1579"/>
      <c r="D57" s="1579"/>
      <c r="E57" s="1579"/>
      <c r="F57" s="1579"/>
      <c r="G57" s="1579"/>
      <c r="H57" s="1579"/>
      <c r="I57" s="1579"/>
      <c r="J57" s="1579"/>
    </row>
    <row r="58" spans="1:12" ht="54.75" customHeight="1">
      <c r="A58" s="4574" t="s">
        <v>2958</v>
      </c>
      <c r="B58" s="4565"/>
      <c r="C58" s="4565"/>
      <c r="D58" s="4565"/>
      <c r="E58" s="4565"/>
      <c r="F58" s="4565"/>
      <c r="G58" s="4565"/>
      <c r="H58" s="4565"/>
      <c r="I58" s="4565"/>
      <c r="J58" s="1579"/>
    </row>
    <row r="59" spans="1:12" ht="3" customHeight="1">
      <c r="A59" s="1579"/>
      <c r="B59" s="1579"/>
      <c r="C59" s="1579"/>
      <c r="D59" s="1579"/>
      <c r="E59" s="1579"/>
      <c r="F59" s="1579"/>
      <c r="G59" s="1579"/>
      <c r="H59" s="1579"/>
      <c r="I59" s="1579"/>
      <c r="J59" s="1579"/>
    </row>
    <row r="60" spans="1:12" ht="62.25" customHeight="1">
      <c r="A60" s="4565" t="s">
        <v>3459</v>
      </c>
      <c r="B60" s="4565"/>
      <c r="C60" s="4565"/>
      <c r="D60" s="4565"/>
      <c r="E60" s="4565"/>
      <c r="F60" s="4565"/>
      <c r="G60" s="4565"/>
      <c r="H60" s="4565"/>
      <c r="I60" s="4565"/>
      <c r="J60" s="4565"/>
    </row>
    <row r="61" spans="1:12" ht="3" customHeight="1"/>
    <row r="62" spans="1:12" ht="73.5" customHeight="1">
      <c r="A62" s="4552" t="s">
        <v>3460</v>
      </c>
      <c r="B62" s="4552"/>
      <c r="C62" s="4552"/>
      <c r="D62" s="4552"/>
      <c r="E62" s="4552"/>
      <c r="F62" s="4552"/>
      <c r="G62" s="4552"/>
      <c r="H62" s="4552"/>
      <c r="I62" s="4552"/>
      <c r="J62" s="4552"/>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9" t="s">
        <v>2612</v>
      </c>
      <c r="B65" s="4559"/>
      <c r="C65" s="4559"/>
      <c r="D65" s="4559"/>
      <c r="E65" s="4559"/>
      <c r="F65" s="4559"/>
      <c r="G65" s="4559"/>
      <c r="H65" s="4559"/>
      <c r="I65" s="4559"/>
      <c r="J65" s="4559"/>
      <c r="L65" s="671">
        <f>'Closing term sheet'!C135</f>
        <v>534181</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6983745 via the syndication of the 2021 Federal LIHTC allocation of 830000 per annum. will make a capital contribution totaling 4635550 via the syndication of the 2021 State LIHTC allocation of 830000 per annum.</v>
      </c>
      <c r="B67" s="4565"/>
      <c r="C67" s="4565"/>
      <c r="D67" s="4565"/>
      <c r="E67" s="4565"/>
      <c r="F67" s="4565"/>
      <c r="G67" s="4565"/>
      <c r="H67" s="4565"/>
      <c r="I67" s="4565"/>
      <c r="J67" s="676"/>
      <c r="L67" s="677">
        <f>'Part II-Sources of Funds'!I51</f>
        <v>6983745</v>
      </c>
      <c r="M67" s="678">
        <f>'Part III-A-Uses of Funds'!$J$191</f>
        <v>830000</v>
      </c>
      <c r="N67" s="679">
        <f>'Part III-A-Uses of Funds'!N182</f>
        <v>0.85</v>
      </c>
      <c r="O67" s="677">
        <f>'Part II-Sources of Funds'!I52</f>
        <v>4635550</v>
      </c>
      <c r="P67" s="678">
        <f>M67</f>
        <v>830000</v>
      </c>
      <c r="Q67" s="679">
        <f>'Part III-A-Uses of Funds'!Q182</f>
        <v>0.55000000000000004</v>
      </c>
    </row>
    <row r="68" spans="1:17" ht="39.75" customHeight="1">
      <c r="A68" s="457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(0.85 Federal tax credit and 0.55 State tax credit) for a (X%) ownership interest of the Federal Credits and a (X%) ownership interest of the State Credits. </v>
      </c>
      <c r="B68" s="4575"/>
      <c r="C68" s="4575"/>
      <c r="D68" s="4575"/>
      <c r="E68" s="4575"/>
      <c r="F68" s="4575"/>
      <c r="G68" s="4575"/>
      <c r="H68" s="4575"/>
      <c r="I68" s="4575"/>
      <c r="J68" s="676"/>
      <c r="L68" s="1994"/>
      <c r="M68" s="1994"/>
      <c r="N68" s="1995"/>
      <c r="O68" s="1994"/>
      <c r="P68" s="1994"/>
      <c r="Q68" s="1995"/>
    </row>
    <row r="69" spans="1:17" ht="18.75" customHeight="1">
      <c r="A69" s="680" t="s">
        <v>2613</v>
      </c>
    </row>
    <row r="70" spans="1:17" ht="177" customHeight="1">
      <c r="A70" s="4565" t="s">
        <v>6166</v>
      </c>
      <c r="B70" s="4565"/>
      <c r="C70" s="4565"/>
      <c r="D70" s="4565"/>
      <c r="E70" s="4565"/>
      <c r="F70" s="4565"/>
      <c r="G70" s="4565"/>
      <c r="H70" s="4565"/>
      <c r="I70" s="4565"/>
      <c r="J70" s="4565"/>
      <c r="L70" s="681">
        <f>'Part VI-Pro Forma'!K72</f>
        <v>4607629.9410127169</v>
      </c>
      <c r="M70" s="4567" t="s">
        <v>3100</v>
      </c>
      <c r="N70" s="4568"/>
    </row>
    <row r="71" spans="1:17" ht="6" customHeight="1">
      <c r="A71" s="669"/>
    </row>
    <row r="72" spans="1:17" ht="15">
      <c r="A72" s="669" t="s">
        <v>2614</v>
      </c>
    </row>
    <row r="73" spans="1:17" ht="72.599999999999994" customHeight="1">
      <c r="A73" s="4565" t="s">
        <v>2615</v>
      </c>
      <c r="B73" s="4565"/>
      <c r="C73" s="4565"/>
      <c r="D73" s="4565"/>
      <c r="E73" s="4565"/>
      <c r="F73" s="4565"/>
      <c r="G73" s="4565"/>
      <c r="H73" s="4565"/>
      <c r="I73" s="4565"/>
      <c r="J73" s="4565"/>
    </row>
    <row r="74" spans="1:17" ht="36" customHeight="1">
      <c r="A74" s="4565" t="s">
        <v>2616</v>
      </c>
      <c r="B74" s="4565"/>
      <c r="C74" s="4565"/>
      <c r="D74" s="4565"/>
      <c r="E74" s="4565"/>
      <c r="F74" s="4565"/>
      <c r="G74" s="4565"/>
      <c r="H74" s="4565"/>
      <c r="I74" s="4565"/>
      <c r="J74" s="4565"/>
    </row>
    <row r="75" spans="1:17" ht="6" customHeight="1">
      <c r="A75" s="669"/>
    </row>
    <row r="76" spans="1:17" ht="15">
      <c r="A76" s="669" t="s">
        <v>2617</v>
      </c>
    </row>
    <row r="77" spans="1:17" ht="105.75" customHeight="1">
      <c r="A77" s="4552" t="s">
        <v>2618</v>
      </c>
      <c r="B77" s="4552"/>
      <c r="C77" s="4552"/>
      <c r="D77" s="4552"/>
      <c r="E77" s="4552"/>
      <c r="F77" s="4552"/>
      <c r="G77" s="4552"/>
      <c r="H77" s="4552"/>
      <c r="I77" s="4552"/>
      <c r="J77" s="4552"/>
    </row>
    <row r="78" spans="1:17" ht="6" customHeight="1">
      <c r="A78" s="669"/>
    </row>
    <row r="79" spans="1:17" ht="15">
      <c r="A79" s="669" t="s">
        <v>2619</v>
      </c>
    </row>
    <row r="80" spans="1:17" ht="66" customHeight="1">
      <c r="A80" s="4552" t="s">
        <v>2620</v>
      </c>
      <c r="B80" s="4552"/>
      <c r="C80" s="4552"/>
      <c r="D80" s="4552"/>
      <c r="E80" s="4552"/>
      <c r="F80" s="4552"/>
      <c r="G80" s="4552"/>
      <c r="H80" s="4552"/>
      <c r="I80" s="4552"/>
      <c r="J80" s="4552"/>
    </row>
    <row r="81" spans="1:15" s="1581" customFormat="1" ht="6" customHeight="1">
      <c r="A81" s="4552"/>
      <c r="B81" s="4552"/>
      <c r="C81" s="4552"/>
      <c r="D81" s="4552"/>
      <c r="E81" s="4552"/>
      <c r="F81" s="4552"/>
      <c r="G81" s="4552"/>
      <c r="H81" s="4552"/>
      <c r="I81" s="4552"/>
      <c r="J81" s="4552"/>
    </row>
    <row r="82" spans="1:15" ht="16.5" customHeight="1">
      <c r="A82" s="1583" t="s">
        <v>2621</v>
      </c>
      <c r="B82" s="668"/>
      <c r="C82" s="668"/>
      <c r="D82" s="1585"/>
      <c r="E82" s="668"/>
      <c r="F82" s="668"/>
      <c r="G82" s="668"/>
      <c r="H82" s="668"/>
      <c r="I82" s="668"/>
      <c r="J82" s="682"/>
    </row>
    <row r="83" spans="1:15" s="1581" customFormat="1" ht="63" customHeight="1">
      <c r="A83" s="4552" t="s">
        <v>3662</v>
      </c>
      <c r="B83" s="4552"/>
      <c r="C83" s="4552"/>
      <c r="D83" s="4552"/>
      <c r="E83" s="4552"/>
      <c r="F83" s="4552"/>
      <c r="G83" s="4552"/>
      <c r="H83" s="4552"/>
      <c r="I83" s="4552"/>
      <c r="J83" s="4552"/>
    </row>
    <row r="84" spans="1:15" s="1581" customFormat="1" ht="6" customHeight="1">
      <c r="A84" s="1579"/>
      <c r="B84" s="1579"/>
      <c r="C84" s="1579"/>
      <c r="D84" s="1579"/>
      <c r="E84" s="1579"/>
      <c r="F84" s="1579"/>
      <c r="G84" s="1579"/>
      <c r="H84" s="1579"/>
      <c r="I84" s="1579"/>
      <c r="J84" s="1579"/>
    </row>
    <row r="85" spans="1:15" ht="16.5" customHeight="1">
      <c r="A85" s="4563" t="s">
        <v>2622</v>
      </c>
      <c r="B85" s="4564"/>
      <c r="C85" s="4564"/>
      <c r="D85" s="668"/>
      <c r="E85" s="668"/>
      <c r="F85" s="668"/>
      <c r="G85" s="668"/>
      <c r="H85" s="668"/>
      <c r="I85" s="668"/>
      <c r="J85" s="682"/>
    </row>
    <row r="86" spans="1:15" ht="41.25" customHeight="1">
      <c r="A86" s="4565" t="s">
        <v>6167</v>
      </c>
      <c r="B86" s="4566"/>
      <c r="C86" s="4566"/>
      <c r="D86" s="4566"/>
      <c r="E86" s="4566"/>
      <c r="F86" s="4566"/>
      <c r="G86" s="4566"/>
      <c r="H86" s="4566"/>
      <c r="I86" s="4566"/>
      <c r="J86" s="4566"/>
    </row>
    <row r="87" spans="1:15" ht="6" customHeight="1">
      <c r="A87" s="683"/>
      <c r="B87" s="668"/>
      <c r="C87" s="668"/>
      <c r="D87" s="668"/>
      <c r="E87" s="668"/>
      <c r="F87" s="668"/>
      <c r="G87" s="668"/>
      <c r="H87" s="668"/>
      <c r="I87" s="668"/>
      <c r="J87" s="682"/>
    </row>
    <row r="88" spans="1:15" ht="15">
      <c r="A88" s="669" t="s">
        <v>2623</v>
      </c>
    </row>
    <row r="89" spans="1:15" ht="124.15" customHeight="1">
      <c r="A89" s="4565" t="s">
        <v>2624</v>
      </c>
      <c r="B89" s="4565"/>
      <c r="C89" s="4565"/>
      <c r="D89" s="4565"/>
      <c r="E89" s="4565"/>
      <c r="F89" s="4565"/>
      <c r="G89" s="4565"/>
      <c r="H89" s="4565"/>
      <c r="I89" s="4565"/>
      <c r="J89" s="4565"/>
      <c r="L89" s="4558" t="s">
        <v>2625</v>
      </c>
      <c r="M89" s="4558"/>
      <c r="N89" s="4558"/>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5" t="s">
        <v>2627</v>
      </c>
      <c r="B92" s="4565"/>
      <c r="C92" s="4565"/>
      <c r="D92" s="4565"/>
      <c r="E92" s="4565"/>
      <c r="F92" s="4565"/>
      <c r="G92" s="4565"/>
      <c r="H92" s="4565"/>
      <c r="I92" s="4565"/>
      <c r="J92" s="4565"/>
      <c r="L92" s="4558" t="s">
        <v>2628</v>
      </c>
      <c r="M92" s="4558"/>
      <c r="N92" s="684" t="e">
        <f>'After-Tax Analysis'!G66</f>
        <v>#VALUE!</v>
      </c>
      <c r="O92" s="685" t="s">
        <v>2629</v>
      </c>
    </row>
    <row r="93" spans="1:15" ht="6" customHeight="1">
      <c r="A93" s="669"/>
    </row>
    <row r="94" spans="1:15" ht="15">
      <c r="A94" s="669" t="s">
        <v>2630</v>
      </c>
    </row>
    <row r="95" spans="1:15" ht="118.5" customHeight="1">
      <c r="A95" s="4552" t="s">
        <v>2631</v>
      </c>
      <c r="B95" s="4552"/>
      <c r="C95" s="4552"/>
      <c r="D95" s="4552"/>
      <c r="E95" s="4552"/>
      <c r="F95" s="4552"/>
      <c r="G95" s="4552"/>
      <c r="H95" s="4552"/>
      <c r="I95" s="4552"/>
      <c r="J95" s="4552"/>
    </row>
    <row r="96" spans="1:15" ht="20.25" customHeight="1">
      <c r="A96" s="4554" t="s">
        <v>2632</v>
      </c>
      <c r="B96" s="4554"/>
      <c r="C96" s="4554"/>
      <c r="D96" s="4552"/>
      <c r="E96" s="1579"/>
      <c r="F96" s="1579"/>
      <c r="G96" s="1579"/>
      <c r="H96" s="1579"/>
      <c r="I96" s="1579"/>
      <c r="J96" s="1579"/>
    </row>
    <row r="97" spans="1:14" ht="109.5" customHeight="1">
      <c r="A97" s="4572" t="s">
        <v>2633</v>
      </c>
      <c r="B97" s="4573"/>
      <c r="C97" s="4573"/>
      <c r="D97" s="4573"/>
      <c r="E97" s="4573"/>
      <c r="F97" s="4573"/>
      <c r="G97" s="4573"/>
      <c r="H97" s="4573"/>
      <c r="I97" s="4573"/>
      <c r="J97" s="4573"/>
    </row>
    <row r="98" spans="1:14" ht="11.25" customHeight="1">
      <c r="A98" s="669"/>
    </row>
    <row r="99" spans="1:14" ht="15">
      <c r="A99" s="669" t="s">
        <v>2634</v>
      </c>
    </row>
    <row r="100" spans="1:14" ht="110.45" customHeight="1">
      <c r="A100" s="4559" t="s">
        <v>2635</v>
      </c>
      <c r="B100" s="4559"/>
      <c r="C100" s="4559"/>
      <c r="D100" s="4559"/>
      <c r="E100" s="4559"/>
      <c r="F100" s="4559"/>
      <c r="G100" s="4559"/>
      <c r="H100" s="4559"/>
      <c r="I100" s="4559"/>
      <c r="J100" s="4559"/>
      <c r="L100" s="1245">
        <f>'Part VI-Pro Forma'!K72</f>
        <v>4607629.9410127169</v>
      </c>
      <c r="M100" s="4562" t="s">
        <v>2636</v>
      </c>
      <c r="N100" s="456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4" t="s">
        <v>2637</v>
      </c>
      <c r="B104" s="4554"/>
      <c r="C104" s="4554"/>
      <c r="D104" s="1579"/>
      <c r="E104" s="1579"/>
      <c r="F104" s="1579"/>
      <c r="G104" s="1579"/>
      <c r="H104" s="1579"/>
      <c r="I104" s="1579"/>
      <c r="J104" s="682"/>
    </row>
    <row r="105" spans="1:14" ht="37.5" customHeight="1">
      <c r="A105" s="4565" t="s">
        <v>2638</v>
      </c>
      <c r="B105" s="4565"/>
      <c r="C105" s="4565"/>
      <c r="D105" s="4565"/>
      <c r="E105" s="4565"/>
      <c r="F105" s="4565"/>
      <c r="G105" s="4565"/>
      <c r="H105" s="4565"/>
      <c r="I105" s="4565"/>
      <c r="J105" s="4565"/>
    </row>
    <row r="106" spans="1:14" ht="6" customHeight="1">
      <c r="A106" s="669"/>
    </row>
    <row r="107" spans="1:14" ht="15">
      <c r="A107" s="669" t="s">
        <v>2639</v>
      </c>
    </row>
    <row r="108" spans="1:14" ht="43.5" customHeight="1">
      <c r="A108" s="4552" t="s">
        <v>2640</v>
      </c>
      <c r="B108" s="4552"/>
      <c r="C108" s="4552"/>
      <c r="D108" s="4552"/>
      <c r="E108" s="4552"/>
      <c r="F108" s="4552"/>
      <c r="G108" s="4552"/>
      <c r="H108" s="4552"/>
      <c r="I108" s="4552"/>
      <c r="J108" s="4552"/>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70" t="s">
        <v>6069</v>
      </c>
      <c r="B120" s="4570"/>
      <c r="C120" s="4570"/>
      <c r="D120" s="4570"/>
      <c r="E120" s="4571"/>
      <c r="F120" s="1895" t="s">
        <v>6070</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 xml:space="preserve">Financial Analysis for:  2022-0  Gibson Park </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6"/>
      <c r="J7" s="4576"/>
      <c r="K7" s="4576"/>
      <c r="L7" s="654"/>
      <c r="M7" s="654"/>
    </row>
    <row r="8" spans="1:14" ht="15.75">
      <c r="A8" s="657" t="s">
        <v>2649</v>
      </c>
      <c r="B8" s="657"/>
      <c r="C8" s="4576" t="str">
        <f>'Part I-Project Identification'!F29</f>
        <v xml:space="preserve">Gibson Park </v>
      </c>
      <c r="D8" s="4576"/>
      <c r="E8" s="1294" t="str">
        <f>'Part I-Project Identification'!O7</f>
        <v>2022-0</v>
      </c>
      <c r="F8" s="693" t="s">
        <v>2650</v>
      </c>
      <c r="G8" s="692"/>
      <c r="H8" s="4576" t="str">
        <f>CONCATENATE('Part I-Project Identification'!F30,", ",'Part I-Project Identification'!J30)</f>
        <v>College Park, Fulton</v>
      </c>
      <c r="I8" s="4576"/>
      <c r="J8" s="4576"/>
      <c r="K8" s="4576"/>
      <c r="L8" s="654"/>
      <c r="M8" s="694"/>
    </row>
    <row r="9" spans="1:14" ht="15.75">
      <c r="A9" s="657" t="s">
        <v>2652</v>
      </c>
      <c r="B9" s="657"/>
      <c r="C9" s="4576" t="s">
        <v>1647</v>
      </c>
      <c r="D9" s="4576"/>
      <c r="E9" s="692"/>
      <c r="F9" s="693" t="s">
        <v>2653</v>
      </c>
      <c r="G9" s="692"/>
      <c r="H9" s="4576" t="str">
        <f>'Part II-Development Team'!H6</f>
        <v>(Enter name as it will appear on all legal documents)</v>
      </c>
      <c r="I9" s="4576"/>
      <c r="J9" s="4576"/>
      <c r="K9" s="4576"/>
      <c r="L9" s="4576"/>
      <c r="M9" s="694"/>
    </row>
    <row r="10" spans="1:14" ht="15.75">
      <c r="A10" s="657" t="s">
        <v>2655</v>
      </c>
      <c r="B10" s="654"/>
      <c r="C10" s="1294">
        <f>'Part II-Development Team'!H15</f>
        <v>0</v>
      </c>
      <c r="D10" s="692"/>
      <c r="E10" s="692"/>
      <c r="F10" s="693" t="s">
        <v>3134</v>
      </c>
      <c r="G10" s="692"/>
      <c r="H10" s="4576">
        <f>'Part II-Development Team'!H34</f>
        <v>0</v>
      </c>
      <c r="I10" s="4576"/>
      <c r="J10" s="4576"/>
      <c r="K10" s="4576">
        <f>'Part II-Development Team'!H40</f>
        <v>0</v>
      </c>
      <c r="L10" s="4576"/>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6">
        <f>'Part II-Development Team'!H55</f>
        <v>0</v>
      </c>
      <c r="I11" s="4576"/>
      <c r="J11" s="4576"/>
      <c r="K11" s="4576">
        <f>'Part II-Development Team'!H61</f>
        <v>0</v>
      </c>
      <c r="L11" s="4576"/>
      <c r="M11" s="4576">
        <f>'Part II-Development Team'!H67</f>
        <v>0</v>
      </c>
      <c r="N11" s="4576"/>
    </row>
    <row r="12" spans="1:14" ht="15.75">
      <c r="A12" s="657" t="s">
        <v>2657</v>
      </c>
      <c r="B12" s="654"/>
      <c r="C12" s="1294">
        <f>'Part II-Development Team'!H87</f>
        <v>0</v>
      </c>
      <c r="D12" s="692"/>
      <c r="E12" s="692"/>
      <c r="F12" s="693" t="s">
        <v>2658</v>
      </c>
      <c r="G12" s="692"/>
      <c r="H12" s="4576">
        <f>'Part II-Development Team'!H93</f>
        <v>0</v>
      </c>
      <c r="I12" s="4576"/>
      <c r="J12" s="4576"/>
      <c r="K12" s="4576"/>
      <c r="L12" s="654"/>
      <c r="M12" s="654"/>
    </row>
    <row r="13" spans="1:14" ht="15.75">
      <c r="A13" s="657" t="s">
        <v>2659</v>
      </c>
      <c r="B13" s="693"/>
      <c r="C13" s="653">
        <f>'Part V-Revenues &amp; Expenses'!$P$67</f>
        <v>72</v>
      </c>
      <c r="E13" s="1239">
        <f>'Part V-Revenues &amp; Expenses'!$P$63</f>
        <v>64</v>
      </c>
      <c r="F13" s="693" t="s">
        <v>3454</v>
      </c>
      <c r="G13" s="692"/>
      <c r="H13" s="1295" t="e">
        <f>'Part I-Project Identification'!#REF!</f>
        <v>#REF!</v>
      </c>
      <c r="I13" s="1240"/>
      <c r="J13" s="1240"/>
      <c r="K13" s="1295">
        <f>'Part V-Revenues &amp; Expenses'!K175</f>
        <v>81100</v>
      </c>
      <c r="L13" s="654"/>
      <c r="M13" s="654"/>
    </row>
    <row r="14" spans="1:14" ht="15.75">
      <c r="A14" s="657" t="s">
        <v>2951</v>
      </c>
      <c r="B14" s="654"/>
      <c r="C14" s="1295" t="e">
        <f>'Part I-Project Identification'!#REF!</f>
        <v>#REF!</v>
      </c>
      <c r="D14" s="4576" t="e">
        <f>IF('Part V-Revenues &amp; Expenses'!#REF!=0,"",'Part V-Revenues &amp; Expenses'!#REF!)</f>
        <v>#REF!</v>
      </c>
      <c r="E14" s="4576"/>
      <c r="F14" s="693" t="s">
        <v>2660</v>
      </c>
      <c r="G14" s="692"/>
      <c r="H14" s="4577" t="s">
        <v>3102</v>
      </c>
      <c r="I14" s="4577"/>
      <c r="J14" s="4577"/>
      <c r="K14" s="4577" t="s">
        <v>3102</v>
      </c>
      <c r="L14" s="4577"/>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18498933</v>
      </c>
      <c r="D18" s="1276">
        <f>IF(C18=0,"",$C$29/C18)</f>
        <v>0.32974874821158606</v>
      </c>
      <c r="E18" s="692" t="s">
        <v>2955</v>
      </c>
      <c r="F18" s="693" t="s">
        <v>2956</v>
      </c>
      <c r="G18" s="692"/>
      <c r="H18" s="4578">
        <f>'Part III-A-Uses of Funds'!C49</f>
        <v>11160000</v>
      </c>
      <c r="I18" s="4578"/>
      <c r="J18" s="1275">
        <f>IF(H18=0,"",$C$29/H18)</f>
        <v>0.54659498207885304</v>
      </c>
      <c r="K18" s="4576" t="s">
        <v>2957</v>
      </c>
      <c r="L18" s="4576"/>
      <c r="M18" s="654"/>
    </row>
    <row r="19" spans="1:13" ht="15.75">
      <c r="A19" s="657" t="s">
        <v>2662</v>
      </c>
      <c r="B19" s="654"/>
      <c r="C19" s="1296">
        <f>C18/C13</f>
        <v>256929.625</v>
      </c>
      <c r="D19" s="692"/>
      <c r="E19" s="654"/>
      <c r="F19" s="657" t="s">
        <v>2662</v>
      </c>
      <c r="G19" s="654"/>
      <c r="H19" s="4579">
        <f>H18/C13</f>
        <v>155000</v>
      </c>
      <c r="I19" s="4579"/>
      <c r="J19" s="654"/>
      <c r="K19" s="654"/>
      <c r="L19" s="654"/>
      <c r="M19" s="654"/>
    </row>
    <row r="20" spans="1:13" ht="15.75">
      <c r="A20" s="657" t="s">
        <v>2663</v>
      </c>
      <c r="B20" s="654"/>
      <c r="C20" s="1298">
        <f>C18/K13</f>
        <v>228.10028360049321</v>
      </c>
      <c r="D20" s="697"/>
      <c r="E20" s="698"/>
      <c r="F20" s="657" t="s">
        <v>2663</v>
      </c>
      <c r="G20" s="654"/>
      <c r="H20" s="4580">
        <f>H18/K13</f>
        <v>137.60789149198521</v>
      </c>
      <c r="I20" s="457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Regions Bank</v>
      </c>
      <c r="C25" s="704">
        <f>'Part II-Sources of Funds'!I40</f>
        <v>6100000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6100000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11619295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6100000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0.32974874821158606</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0.54659498207885304</v>
      </c>
      <c r="D40" s="654"/>
      <c r="E40" s="654"/>
      <c r="F40" s="657"/>
      <c r="G40" s="657" t="s">
        <v>2683</v>
      </c>
      <c r="H40" s="654"/>
      <c r="I40" s="654"/>
      <c r="K40" s="706">
        <f>C30/C18</f>
        <v>0.62810622645100667</v>
      </c>
      <c r="L40" s="654"/>
      <c r="M40" s="654"/>
    </row>
    <row r="46" spans="1:13" ht="15.75">
      <c r="A46" s="717" t="s">
        <v>2684</v>
      </c>
      <c r="B46" s="687"/>
      <c r="C46" s="687"/>
      <c r="D46" s="687"/>
      <c r="E46" s="687"/>
      <c r="F46" s="687"/>
      <c r="G46" s="687"/>
      <c r="H46" s="687"/>
      <c r="I46" s="687"/>
      <c r="J46" s="687"/>
      <c r="K46" s="687"/>
      <c r="L46" s="687"/>
      <c r="M46" s="654"/>
    </row>
    <row r="47" spans="1:13" ht="15.75">
      <c r="A47" s="717" t="str">
        <f>C8</f>
        <v xml:space="preserve">Gibson Park </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81" t="s">
        <v>2687</v>
      </c>
      <c r="L50" s="458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850068</v>
      </c>
      <c r="D52" s="723"/>
      <c r="E52" s="723">
        <f>$C$52</f>
        <v>850068</v>
      </c>
      <c r="F52" s="723"/>
      <c r="G52" s="723">
        <f>$C$52</f>
        <v>850068</v>
      </c>
      <c r="H52" s="723"/>
      <c r="I52" s="723">
        <f>$C$52</f>
        <v>850068</v>
      </c>
      <c r="J52" s="723"/>
      <c r="K52" s="723">
        <f>$C$52</f>
        <v>850068</v>
      </c>
      <c r="L52" s="724"/>
      <c r="M52" s="27"/>
      <c r="N52" s="27"/>
    </row>
    <row r="53" spans="1:14" s="654" customFormat="1" ht="18.75" customHeight="1">
      <c r="B53" s="722" t="s">
        <v>2691</v>
      </c>
      <c r="C53" s="723">
        <f>'Part VI-Pro Forma'!B16</f>
        <v>17001.36</v>
      </c>
      <c r="D53" s="723"/>
      <c r="E53" s="723">
        <f>$C$53</f>
        <v>17001.36</v>
      </c>
      <c r="F53" s="723"/>
      <c r="G53" s="723">
        <f>$C$53</f>
        <v>17001.36</v>
      </c>
      <c r="H53" s="723"/>
      <c r="I53" s="723">
        <f>$C$53</f>
        <v>17001.36</v>
      </c>
      <c r="J53" s="723"/>
      <c r="K53" s="723">
        <f>$C$53</f>
        <v>17001.36</v>
      </c>
      <c r="L53" s="724"/>
      <c r="M53" s="27"/>
      <c r="N53" s="27"/>
    </row>
    <row r="54" spans="1:14" s="654" customFormat="1" ht="18.75" customHeight="1">
      <c r="B54" s="722" t="s">
        <v>2689</v>
      </c>
      <c r="C54" s="723">
        <f>'Part VI-Pro Forma'!B17</f>
        <v>-60694.855200000005</v>
      </c>
      <c r="D54" s="723"/>
      <c r="E54" s="723">
        <f>-($C$52+E53)*F50</f>
        <v>-86706.936000000002</v>
      </c>
      <c r="F54" s="725"/>
      <c r="G54" s="723">
        <f>-($C$52+G53)*0.07</f>
        <v>-60694.855200000005</v>
      </c>
      <c r="H54" s="723"/>
      <c r="I54" s="723">
        <f>-($C$52+I53)*0.07</f>
        <v>-60694.855200000005</v>
      </c>
      <c r="J54" s="723"/>
      <c r="K54" s="723">
        <f>-($C$52+K53)*L54</f>
        <v>-86706.936000000002</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806374.5048</v>
      </c>
      <c r="D56" s="723"/>
      <c r="E56" s="729">
        <f>SUM(E52:E55)</f>
        <v>780362.424</v>
      </c>
      <c r="F56" s="723"/>
      <c r="G56" s="729">
        <f>SUM(G52:G55)</f>
        <v>806374.5048</v>
      </c>
      <c r="H56" s="723"/>
      <c r="I56" s="729">
        <f>SUM(I52:I55)</f>
        <v>806374.5048</v>
      </c>
      <c r="J56" s="723"/>
      <c r="K56" s="729">
        <f>SUM(K52:K55)</f>
        <v>780362.424</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96200</v>
      </c>
      <c r="D58" s="723"/>
      <c r="E58" s="723">
        <f>$C$58</f>
        <v>96200</v>
      </c>
      <c r="F58" s="723"/>
      <c r="G58" s="723">
        <f>$C$58</f>
        <v>96200</v>
      </c>
      <c r="H58" s="723"/>
      <c r="I58" s="723">
        <f>$C$58</f>
        <v>96200</v>
      </c>
      <c r="J58" s="723"/>
      <c r="K58" s="723">
        <f>$C$58</f>
        <v>96200</v>
      </c>
      <c r="L58" s="724"/>
      <c r="M58" s="27"/>
      <c r="N58" s="27"/>
    </row>
    <row r="59" spans="1:14" s="654" customFormat="1" ht="18.75" customHeight="1">
      <c r="B59" s="722" t="s">
        <v>2694</v>
      </c>
      <c r="C59" s="723">
        <f>+'Part V-Revenues &amp; Expenses'!F247</f>
        <v>36850</v>
      </c>
      <c r="D59" s="723"/>
      <c r="E59" s="723">
        <f>$C$59</f>
        <v>36850</v>
      </c>
      <c r="F59" s="723"/>
      <c r="G59" s="723">
        <f>$C$59</f>
        <v>36850</v>
      </c>
      <c r="H59" s="723"/>
      <c r="I59" s="723">
        <f>$C$59</f>
        <v>36850</v>
      </c>
      <c r="J59" s="723"/>
      <c r="K59" s="723">
        <f>$C$59*(1+$L$59)</f>
        <v>38324</v>
      </c>
      <c r="L59" s="731">
        <v>0.04</v>
      </c>
      <c r="M59" s="27"/>
      <c r="N59" s="27"/>
    </row>
    <row r="60" spans="1:14" s="654" customFormat="1" ht="18.75" customHeight="1">
      <c r="B60" s="722" t="s">
        <v>1298</v>
      </c>
      <c r="C60" s="723">
        <f>+'Part V-Revenues &amp; Expenses'!L241</f>
        <v>29500</v>
      </c>
      <c r="D60" s="723"/>
      <c r="E60" s="723">
        <f>$C$60</f>
        <v>29500</v>
      </c>
      <c r="F60" s="723"/>
      <c r="G60" s="723">
        <f>$C$60</f>
        <v>29500</v>
      </c>
      <c r="H60" s="723"/>
      <c r="I60" s="723">
        <f>$C$60*(1+$J$50)</f>
        <v>30385</v>
      </c>
      <c r="J60" s="725"/>
      <c r="K60" s="723">
        <f>$C$60*(1+$J$50)</f>
        <v>30385</v>
      </c>
      <c r="L60" s="726">
        <v>0.03</v>
      </c>
      <c r="M60" s="27"/>
      <c r="N60" s="27"/>
    </row>
    <row r="61" spans="1:14" s="654" customFormat="1" ht="18.75" customHeight="1">
      <c r="B61" s="722" t="s">
        <v>1299</v>
      </c>
      <c r="C61" s="723">
        <f>+'Part V-Revenues &amp; Expenses'!L247</f>
        <v>97000</v>
      </c>
      <c r="D61" s="723"/>
      <c r="E61" s="723">
        <f>$C$61</f>
        <v>97000</v>
      </c>
      <c r="F61" s="723"/>
      <c r="G61" s="723">
        <f>$C$61*(1+H50)</f>
        <v>101850</v>
      </c>
      <c r="H61" s="725"/>
      <c r="I61" s="723">
        <f>$C$61</f>
        <v>97000</v>
      </c>
      <c r="J61" s="723"/>
      <c r="K61" s="723">
        <f>$C$61*(1+$L$61)</f>
        <v>101850</v>
      </c>
      <c r="L61" s="726">
        <v>0.05</v>
      </c>
      <c r="M61" s="27"/>
      <c r="N61" s="27"/>
    </row>
    <row r="62" spans="1:14" s="654" customFormat="1" ht="18.75" customHeight="1">
      <c r="B62" s="728" t="s">
        <v>2695</v>
      </c>
      <c r="C62" s="729">
        <f>SUM(C58:C61)</f>
        <v>259550</v>
      </c>
      <c r="D62" s="723"/>
      <c r="E62" s="729">
        <f>SUM(E58:E61)</f>
        <v>259550</v>
      </c>
      <c r="F62" s="723"/>
      <c r="G62" s="729">
        <f>SUM(G58:G61)</f>
        <v>264400</v>
      </c>
      <c r="H62" s="723"/>
      <c r="I62" s="729">
        <f>SUM(I58:I61)</f>
        <v>260435</v>
      </c>
      <c r="J62" s="723"/>
      <c r="K62" s="729">
        <f>SUM(K58:K61)</f>
        <v>266759</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546824.5048</v>
      </c>
      <c r="D64" s="735"/>
      <c r="E64" s="735">
        <f>E56-E62</f>
        <v>520812.424</v>
      </c>
      <c r="F64" s="735"/>
      <c r="G64" s="735">
        <f>G56-G62</f>
        <v>541974.5048</v>
      </c>
      <c r="H64" s="735"/>
      <c r="I64" s="735">
        <f>I56-I62</f>
        <v>545939.5048</v>
      </c>
      <c r="J64" s="735"/>
      <c r="K64" s="735">
        <f>K56-K62</f>
        <v>513603.424</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18000</v>
      </c>
      <c r="D66" s="730"/>
      <c r="E66" s="730">
        <f>$C$66</f>
        <v>18000</v>
      </c>
      <c r="F66" s="730"/>
      <c r="G66" s="730">
        <f>$C$66</f>
        <v>18000</v>
      </c>
      <c r="H66" s="730"/>
      <c r="I66" s="730">
        <f>$C$66</f>
        <v>18000</v>
      </c>
      <c r="J66" s="730"/>
      <c r="K66" s="730">
        <f>$C$66</f>
        <v>18000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64510</v>
      </c>
      <c r="D68" s="730"/>
      <c r="E68" s="730">
        <f>$C$68</f>
        <v>64510</v>
      </c>
      <c r="F68" s="730"/>
      <c r="G68" s="730">
        <f>$C$68</f>
        <v>64510</v>
      </c>
      <c r="H68" s="730"/>
      <c r="I68" s="730">
        <f>$C$68</f>
        <v>64510</v>
      </c>
      <c r="J68" s="730"/>
      <c r="K68" s="730">
        <f>$C$68</f>
        <v>64510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464314.5048</v>
      </c>
      <c r="D70" s="739"/>
      <c r="E70" s="738">
        <f>E64-E66-E68</f>
        <v>438302.424</v>
      </c>
      <c r="F70" s="739"/>
      <c r="G70" s="738">
        <f>G64-G66-G68</f>
        <v>459464.5048</v>
      </c>
      <c r="H70" s="739"/>
      <c r="I70" s="738">
        <f>I64-I66-I68</f>
        <v>463429.5048</v>
      </c>
      <c r="J70" s="739"/>
      <c r="K70" s="738">
        <f>K64-K66-K68</f>
        <v>431093.424</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1.2058766949150039</v>
      </c>
      <c r="D72" s="741"/>
      <c r="E72" s="1277">
        <f>-E70/E75</f>
        <v>1.1383204120535042</v>
      </c>
      <c r="F72" s="741"/>
      <c r="G72" s="1277">
        <f>-G70/G75</f>
        <v>1.1932807025221819</v>
      </c>
      <c r="H72" s="741"/>
      <c r="I72" s="1277">
        <f>-I70/I75</f>
        <v>1.2035782509422932</v>
      </c>
      <c r="J72" s="741"/>
      <c r="K72" s="1277">
        <f>-K70/K75</f>
        <v>1.1195978328452867</v>
      </c>
      <c r="L72" s="742"/>
      <c r="M72" s="265"/>
      <c r="N72" s="265"/>
    </row>
    <row r="73" spans="1:14" s="654" customFormat="1" ht="18.75" customHeight="1">
      <c r="A73" s="27"/>
      <c r="B73" s="722" t="s">
        <v>2701</v>
      </c>
      <c r="C73" s="1278">
        <f>C76/C62</f>
        <v>0.30541861493349159</v>
      </c>
      <c r="D73" s="743"/>
      <c r="E73" s="1278">
        <f>E76/E62</f>
        <v>0.2051986927604999</v>
      </c>
      <c r="F73" s="743"/>
      <c r="G73" s="1278">
        <f>G76/G62</f>
        <v>0.28147277422839539</v>
      </c>
      <c r="H73" s="743"/>
      <c r="I73" s="1278">
        <f>I76/I62</f>
        <v>0.30098259260847327</v>
      </c>
      <c r="J73" s="743"/>
      <c r="K73" s="1278">
        <f>K76/K62</f>
        <v>0.17262892988048292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-385043.10329401225</v>
      </c>
      <c r="D75" s="723"/>
      <c r="E75" s="723">
        <f>$C$75</f>
        <v>-385043.10329401225</v>
      </c>
      <c r="F75" s="723"/>
      <c r="G75" s="723">
        <f>$C$75</f>
        <v>-385043.10329401225</v>
      </c>
      <c r="H75" s="723"/>
      <c r="I75" s="723">
        <f>$C$75</f>
        <v>-385043.10329401225</v>
      </c>
      <c r="J75" s="723"/>
      <c r="K75" s="723">
        <f>$C$75</f>
        <v>-385043.10329401225</v>
      </c>
      <c r="L75" s="33"/>
      <c r="M75" s="27"/>
      <c r="N75" s="27"/>
    </row>
    <row r="76" spans="1:14" s="654" customFormat="1" ht="18.75" customHeight="1">
      <c r="A76" s="27"/>
      <c r="B76" s="722" t="s">
        <v>1097</v>
      </c>
      <c r="C76" s="723">
        <f>C70+C75</f>
        <v>79271.401505987742</v>
      </c>
      <c r="D76" s="723"/>
      <c r="E76" s="723">
        <f>E70+E75</f>
        <v>53259.320705987746</v>
      </c>
      <c r="F76" s="723"/>
      <c r="G76" s="723">
        <f>G70+G75</f>
        <v>74421.401505987742</v>
      </c>
      <c r="H76" s="723"/>
      <c r="I76" s="723">
        <f>I70+I75</f>
        <v>78386.401505987742</v>
      </c>
      <c r="J76" s="723"/>
      <c r="K76" s="723">
        <f>K70+K75</f>
        <v>46050.320705987746</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18498933</v>
      </c>
    </row>
    <row r="5" spans="1:7">
      <c r="A5" s="1221" t="s">
        <v>3450</v>
      </c>
      <c r="B5" s="1222">
        <f>+B18+B26+B38</f>
        <v>3845402.2958903816</v>
      </c>
    </row>
    <row r="6" spans="1:7">
      <c r="A6" s="1221" t="s">
        <v>3420</v>
      </c>
      <c r="B6" s="1223">
        <f>+B5-B4</f>
        <v>-14653530.704109618</v>
      </c>
    </row>
    <row r="7" spans="1:7">
      <c r="A7" s="1221" t="s">
        <v>3421</v>
      </c>
      <c r="B7" s="1224">
        <f>+B6/B4</f>
        <v>-0.79212842730494881</v>
      </c>
    </row>
    <row r="8" spans="1:7" ht="9" customHeight="1"/>
    <row r="9" spans="1:7">
      <c r="A9" s="1221" t="s">
        <v>3422</v>
      </c>
      <c r="B9" s="1222">
        <f>+B18+B26+B33</f>
        <v>3845402.2958903816</v>
      </c>
    </row>
    <row r="10" spans="1:7">
      <c r="A10" s="1221" t="s">
        <v>3420</v>
      </c>
      <c r="B10" s="1223">
        <f>+B9-B4</f>
        <v>-14653530.704109618</v>
      </c>
    </row>
    <row r="11" spans="1:7">
      <c r="A11" s="1221" t="s">
        <v>3421</v>
      </c>
      <c r="B11" s="1224">
        <f>+B10/B4</f>
        <v>-0.79212842730494881</v>
      </c>
    </row>
    <row r="12" spans="1:7" ht="24" customHeight="1"/>
    <row r="13" spans="1:7">
      <c r="A13" s="1220" t="s">
        <v>3423</v>
      </c>
      <c r="D13" s="1283" t="s">
        <v>3667</v>
      </c>
      <c r="E13" s="1284"/>
    </row>
    <row r="14" spans="1:7">
      <c r="A14" s="1221" t="s">
        <v>3424</v>
      </c>
      <c r="B14" s="1225">
        <f>+SUM('Part II-Sources of Funds'!L51:M52)</f>
        <v>11620000</v>
      </c>
      <c r="D14" s="1284"/>
      <c r="E14" s="1284"/>
    </row>
    <row r="15" spans="1:7">
      <c r="A15" s="1221" t="s">
        <v>3425</v>
      </c>
      <c r="B15" s="1226">
        <f>+'Part III-A-Uses of Funds'!J180</f>
        <v>1239893.3</v>
      </c>
      <c r="D15" s="1284" t="s">
        <v>1896</v>
      </c>
      <c r="G15" s="1285">
        <f>'Part III-A-Uses of Funds'!J168</f>
        <v>13627443.555555554</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6481212.1550222216</v>
      </c>
    </row>
    <row r="20" spans="1:7">
      <c r="A20" s="1221" t="s">
        <v>3428</v>
      </c>
      <c r="B20" s="1225">
        <f>+B18-B14</f>
        <v>-11620000</v>
      </c>
      <c r="D20" s="1284" t="s">
        <v>3672</v>
      </c>
      <c r="G20" s="1287">
        <f>+B14-G19</f>
        <v>5138787.8449777784</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6100000</v>
      </c>
    </row>
    <row r="25" spans="1:7">
      <c r="A25" s="1221" t="s">
        <v>3432</v>
      </c>
      <c r="B25" s="1229">
        <f>IF('Part II-Sources of Funds'!E6="Yes","N/A",MAX(B46:P46))</f>
        <v>-1885.6507059877622</v>
      </c>
    </row>
    <row r="26" spans="1:7">
      <c r="A26" s="1221" t="s">
        <v>3433</v>
      </c>
      <c r="B26" s="1219">
        <f>IFERROR(PV('Part II-Sources of Funds'!K40,'Part II-Sources of Funds'!L40,B25+B45),B24)</f>
        <v>3845402.2958903816</v>
      </c>
    </row>
    <row r="27" spans="1:7" ht="9" customHeight="1">
      <c r="B27" s="1219"/>
    </row>
    <row r="28" spans="1:7">
      <c r="A28" s="1221" t="s">
        <v>3434</v>
      </c>
      <c r="B28" s="1230">
        <f>+B26-B24</f>
        <v>-2254597.7041096184</v>
      </c>
      <c r="C28" s="1231"/>
    </row>
    <row r="29" spans="1:7">
      <c r="A29" s="1221" t="s">
        <v>3429</v>
      </c>
      <c r="B29" s="1232">
        <f>+B28/B24</f>
        <v>-0.36960618100157677</v>
      </c>
    </row>
    <row r="30" spans="1:7" ht="24" customHeight="1"/>
    <row r="31" spans="1:7">
      <c r="A31" s="1220" t="s">
        <v>3364</v>
      </c>
    </row>
    <row r="32" spans="1:7">
      <c r="A32" s="1221" t="s">
        <v>3435</v>
      </c>
      <c r="B32" s="1233">
        <f>+'Part II-Sources of Funds'!I45</f>
        <v>779638</v>
      </c>
    </row>
    <row r="33" spans="1:11">
      <c r="A33" s="1221" t="s">
        <v>3436</v>
      </c>
      <c r="B33" s="1219"/>
    </row>
    <row r="34" spans="1:11" ht="9" customHeight="1">
      <c r="B34" s="1219"/>
    </row>
    <row r="35" spans="1:11">
      <c r="A35" s="1221" t="s">
        <v>3437</v>
      </c>
      <c r="B35" s="1233">
        <f>+B33-B32</f>
        <v>-779638</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464314.5048</v>
      </c>
      <c r="C44" s="1222">
        <f>+'Part VI-Pro Forma'!C25</f>
        <v>470825.49489600002</v>
      </c>
      <c r="D44" s="1222">
        <f>+'Part VI-Pro Forma'!D25</f>
        <v>477383.23979392002</v>
      </c>
      <c r="E44" s="1222">
        <f>+'Part VI-Pro Forma'!E25</f>
        <v>483986.69663979847</v>
      </c>
      <c r="F44" s="1222">
        <f>+'Part VI-Pro Forma'!F25</f>
        <v>490632.72678409429</v>
      </c>
      <c r="G44" s="1222">
        <f>+'Part VI-Pro Forma'!G25</f>
        <v>497322.09161762137</v>
      </c>
      <c r="H44" s="1222">
        <f>+'Part VI-Pro Forma'!H25</f>
        <v>504050.4482567542</v>
      </c>
      <c r="I44" s="1222">
        <f>+'Part VI-Pro Forma'!I25</f>
        <v>510817.3450728727</v>
      </c>
      <c r="J44" s="1222">
        <f>+'Part VI-Pro Forma'!J25</f>
        <v>517620.21706084354</v>
      </c>
      <c r="K44" s="1222">
        <f>+'Part VI-Pro Forma'!K25</f>
        <v>524457.38104116917</v>
      </c>
    </row>
    <row r="45" spans="1:11">
      <c r="A45" s="1221" t="s">
        <v>3441</v>
      </c>
      <c r="B45" s="1222">
        <f>SUM('Part VI-Pro Forma'!B26:B29)</f>
        <v>-385043.10329401225</v>
      </c>
      <c r="C45" s="1222">
        <f>SUM('Part VI-Pro Forma'!C26:C29)</f>
        <v>-385043.10329401225</v>
      </c>
      <c r="D45" s="1222">
        <f>SUM('Part VI-Pro Forma'!D26:D29)</f>
        <v>-385043.10329401225</v>
      </c>
      <c r="E45" s="1222">
        <f>SUM('Part VI-Pro Forma'!E26:E29)</f>
        <v>-385043.10329401225</v>
      </c>
      <c r="F45" s="1222">
        <f>SUM('Part VI-Pro Forma'!F26:F29)</f>
        <v>-385043.10329401225</v>
      </c>
      <c r="G45" s="1222">
        <f>SUM('Part VI-Pro Forma'!G26:G29)</f>
        <v>-385043.10329401225</v>
      </c>
      <c r="H45" s="1222">
        <f>SUM('Part VI-Pro Forma'!H26:H29)</f>
        <v>-385043.10329401225</v>
      </c>
      <c r="I45" s="1222">
        <f>SUM('Part VI-Pro Forma'!I26:I29)</f>
        <v>-385043.10329401225</v>
      </c>
      <c r="J45" s="1222">
        <f>SUM('Part VI-Pro Forma'!J26:J29)</f>
        <v>-385043.10329401225</v>
      </c>
      <c r="K45" s="1222">
        <f>SUM('Part VI-Pro Forma'!K26:K29)</f>
        <v>-385043.10329401225</v>
      </c>
    </row>
    <row r="46" spans="1:11">
      <c r="A46" s="1221" t="s">
        <v>3442</v>
      </c>
      <c r="B46" s="1223">
        <f t="shared" ref="B46:K46" si="0">-B44/B48-B45</f>
        <v>-1885.6507059877622</v>
      </c>
      <c r="C46" s="1223">
        <f t="shared" si="0"/>
        <v>-7311.4757859878009</v>
      </c>
      <c r="D46" s="1223">
        <f t="shared" si="0"/>
        <v>-12776.263200921123</v>
      </c>
      <c r="E46" s="1223">
        <f t="shared" si="0"/>
        <v>-18279.143905819801</v>
      </c>
      <c r="F46" s="1223">
        <f t="shared" si="0"/>
        <v>-23817.502359399688</v>
      </c>
      <c r="G46" s="1223">
        <f t="shared" si="0"/>
        <v>-29391.97305400559</v>
      </c>
      <c r="H46" s="1223">
        <f t="shared" si="0"/>
        <v>-34998.9369199496</v>
      </c>
      <c r="I46" s="1223">
        <f t="shared" si="0"/>
        <v>-40638.017600048333</v>
      </c>
      <c r="J46" s="1223">
        <f t="shared" si="0"/>
        <v>-46307.077590024041</v>
      </c>
      <c r="K46" s="1223">
        <f t="shared" si="0"/>
        <v>-52004.714240295405</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464314.5048</v>
      </c>
      <c r="C51" s="1223">
        <f t="shared" ref="C51:K51" si="2">+C44</f>
        <v>470825.49489600002</v>
      </c>
      <c r="D51" s="1223">
        <f t="shared" si="2"/>
        <v>477383.23979392002</v>
      </c>
      <c r="E51" s="1223">
        <f t="shared" si="2"/>
        <v>483986.69663979847</v>
      </c>
      <c r="F51" s="1223">
        <f t="shared" si="2"/>
        <v>490632.72678409429</v>
      </c>
      <c r="G51" s="1223">
        <f t="shared" si="2"/>
        <v>497322.09161762137</v>
      </c>
      <c r="H51" s="1223">
        <f t="shared" si="2"/>
        <v>504050.4482567542</v>
      </c>
      <c r="I51" s="1223">
        <f t="shared" si="2"/>
        <v>510817.3450728727</v>
      </c>
      <c r="J51" s="1223">
        <f t="shared" si="2"/>
        <v>517620.21706084354</v>
      </c>
      <c r="K51" s="1223">
        <f t="shared" si="2"/>
        <v>524457.38104116917</v>
      </c>
    </row>
    <row r="52" spans="1:17">
      <c r="A52" s="1221" t="s">
        <v>3444</v>
      </c>
      <c r="B52" s="1223">
        <f>IF($B$25="N/A",B45,B45+$B$25)</f>
        <v>-386928.75400000002</v>
      </c>
      <c r="C52" s="1223">
        <f t="shared" ref="C52:K52" si="3">IF($B$25="N/A",C45,C45+$B$25)</f>
        <v>-386928.75400000002</v>
      </c>
      <c r="D52" s="1223">
        <f t="shared" si="3"/>
        <v>-386928.75400000002</v>
      </c>
      <c r="E52" s="1223">
        <f t="shared" si="3"/>
        <v>-386928.75400000002</v>
      </c>
      <c r="F52" s="1223">
        <f t="shared" si="3"/>
        <v>-386928.75400000002</v>
      </c>
      <c r="G52" s="1223">
        <f t="shared" si="3"/>
        <v>-386928.75400000002</v>
      </c>
      <c r="H52" s="1223">
        <f t="shared" si="3"/>
        <v>-386928.75400000002</v>
      </c>
      <c r="I52" s="1223">
        <f t="shared" si="3"/>
        <v>-386928.75400000002</v>
      </c>
      <c r="J52" s="1223">
        <f t="shared" si="3"/>
        <v>-386928.75400000002</v>
      </c>
      <c r="K52" s="1223">
        <f t="shared" si="3"/>
        <v>-386928.75400000002</v>
      </c>
    </row>
    <row r="53" spans="1:17">
      <c r="A53" s="1221" t="s">
        <v>3445</v>
      </c>
      <c r="B53" s="1222">
        <f>+'Part VI-Pro Forma'!B31</f>
        <v>-4800</v>
      </c>
      <c r="C53" s="1222">
        <f>+'Part VI-Pro Forma'!C31</f>
        <v>-4800</v>
      </c>
      <c r="D53" s="1222">
        <f>+'Part VI-Pro Forma'!D31</f>
        <v>-4800</v>
      </c>
      <c r="E53" s="1222">
        <f>+'Part VI-Pro Forma'!E31</f>
        <v>-4800</v>
      </c>
      <c r="F53" s="1222">
        <f>+'Part VI-Pro Forma'!F31</f>
        <v>-4800</v>
      </c>
      <c r="G53" s="1222">
        <f>+'Part VI-Pro Forma'!G31</f>
        <v>-4800</v>
      </c>
      <c r="H53" s="1222">
        <f>+'Part VI-Pro Forma'!H31</f>
        <v>-4800</v>
      </c>
      <c r="I53" s="1222">
        <f>+'Part VI-Pro Forma'!I31</f>
        <v>-4800</v>
      </c>
      <c r="J53" s="1222">
        <f>+'Part VI-Pro Forma'!J31</f>
        <v>-4800</v>
      </c>
      <c r="K53" s="1222">
        <f>+'Part VI-Pro Forma'!K31</f>
        <v>-4800</v>
      </c>
    </row>
    <row r="54" spans="1:17">
      <c r="A54" s="1221" t="s">
        <v>3446</v>
      </c>
      <c r="B54" s="1223">
        <f>+SUM(B51:B53)</f>
        <v>72585.75079999998</v>
      </c>
      <c r="C54" s="1223">
        <f t="shared" ref="C54:K54" si="4">+SUM(C51:C53)</f>
        <v>79096.740896000003</v>
      </c>
      <c r="D54" s="1223">
        <f t="shared" si="4"/>
        <v>85654.485793920001</v>
      </c>
      <c r="E54" s="1223">
        <f t="shared" si="4"/>
        <v>92257.94263979845</v>
      </c>
      <c r="F54" s="1223">
        <f t="shared" si="4"/>
        <v>98903.97278409428</v>
      </c>
      <c r="G54" s="1223">
        <f t="shared" si="4"/>
        <v>105593.33761762135</v>
      </c>
      <c r="H54" s="1223">
        <f t="shared" si="4"/>
        <v>112321.69425675418</v>
      </c>
      <c r="I54" s="1223">
        <f t="shared" si="4"/>
        <v>119088.59107287269</v>
      </c>
      <c r="J54" s="1223">
        <f t="shared" si="4"/>
        <v>125891.46306084353</v>
      </c>
      <c r="K54" s="1223">
        <f t="shared" si="4"/>
        <v>132728.62704116915</v>
      </c>
    </row>
    <row r="55" spans="1:17">
      <c r="A55" s="1221" t="s">
        <v>3364</v>
      </c>
      <c r="B55" s="1223">
        <f>-B54</f>
        <v>-72585.75079999998</v>
      </c>
      <c r="C55" s="1223">
        <f t="shared" ref="C55:K55" si="5">-C54</f>
        <v>-79096.740896000003</v>
      </c>
      <c r="D55" s="1223">
        <f t="shared" si="5"/>
        <v>-85654.485793920001</v>
      </c>
      <c r="E55" s="1223">
        <f t="shared" si="5"/>
        <v>-92257.94263979845</v>
      </c>
      <c r="F55" s="1223">
        <f t="shared" si="5"/>
        <v>-98903.97278409428</v>
      </c>
      <c r="G55" s="1223">
        <f t="shared" si="5"/>
        <v>-105593.33761762135</v>
      </c>
      <c r="H55" s="1223">
        <f t="shared" si="5"/>
        <v>-112321.69425675418</v>
      </c>
      <c r="I55" s="1223">
        <f t="shared" si="5"/>
        <v>-119088.59107287269</v>
      </c>
      <c r="J55" s="1223">
        <f t="shared" si="5"/>
        <v>-125891.46306084353</v>
      </c>
      <c r="K55" s="1223">
        <f t="shared" si="5"/>
        <v>-132728.62704116915</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3671275.5024663648</v>
      </c>
      <c r="C58" s="1222">
        <f>IF($B$26="","",-FV('Part II-Sources of Funds'!$K$40/12,12,C52/12,B58))</f>
        <v>3487051.7366502145</v>
      </c>
      <c r="D58" s="1222">
        <f>IF($B$26="","",-FV('Part II-Sources of Funds'!$K$40/12,12,D52/12,C58))</f>
        <v>3292145.512144947</v>
      </c>
      <c r="E58" s="1222">
        <f>IF($B$26="","",-FV('Part II-Sources of Funds'!$K$40/12,12,E52/12,D58))</f>
        <v>3085937.3924563667</v>
      </c>
      <c r="F58" s="1222">
        <f>IF($B$26="","",-FV('Part II-Sources of Funds'!$K$40/12,12,F52/12,E58))</f>
        <v>2867772.0222459827</v>
      </c>
      <c r="G58" s="1222">
        <f>IF($B$26="","",-FV('Part II-Sources of Funds'!$K$40/12,12,G52/12,F58))</f>
        <v>2636956.0445293216</v>
      </c>
      <c r="H58" s="1222">
        <f>IF($B$26="","",-FV('Part II-Sources of Funds'!$K$40/12,12,H52/12,G58))</f>
        <v>2392755.8971002297</v>
      </c>
      <c r="I58" s="1222">
        <f>IF($B$26="","",-FV('Part II-Sources of Funds'!$K$40/12,12,I52/12,H58))</f>
        <v>2134395.4811779242</v>
      </c>
      <c r="J58" s="1222">
        <f>IF($B$26="","",-FV('Part II-Sources of Funds'!$K$40/12,12,J52/12,I58))</f>
        <v>1861053.6948674601</v>
      </c>
      <c r="K58" s="1222">
        <f>IF($B$26="","",-FV('Part II-Sources of Funds'!$K$40/12,12,K52/12,J58))</f>
        <v>1571861.8235946402</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531325.03069027467</v>
      </c>
      <c r="C64" s="1222">
        <f>+'Part VI-Pro Forma'!C57</f>
        <v>538221.23139321024</v>
      </c>
      <c r="D64" s="1222">
        <f>+'Part VI-Pro Forma'!D57</f>
        <v>545143.91491287888</v>
      </c>
      <c r="E64" s="1222">
        <f>+'Part VI-Pro Forma'!E57</f>
        <v>552088.87386969489</v>
      </c>
      <c r="F64" s="1222">
        <f>+'Part VI-Pro Forma'!F57</f>
        <v>559054.75602540397</v>
      </c>
      <c r="G64" s="1222">
        <f>+'Part VI-Pro Forma'!G57</f>
        <v>566038.05836457643</v>
      </c>
      <c r="H64" s="1222">
        <f>+'Part VI-Pro Forma'!H57</f>
        <v>573035.12096709281</v>
      </c>
      <c r="I64" s="1222">
        <f>+'Part VI-Pro Forma'!I57</f>
        <v>580041.12066471612</v>
      </c>
      <c r="J64" s="1222">
        <f>+'Part VI-Pro Forma'!J57</f>
        <v>587055.06447463995</v>
      </c>
      <c r="K64" s="1222">
        <f>+'Part VI-Pro Forma'!K57</f>
        <v>594070.78280266142</v>
      </c>
    </row>
    <row r="65" spans="1:11">
      <c r="A65" s="1221" t="s">
        <v>3441</v>
      </c>
      <c r="B65" s="1222">
        <f>SUM('Part VI-Pro Forma'!B58:B61)</f>
        <v>-385043.10329401225</v>
      </c>
      <c r="C65" s="1222">
        <f>SUM('Part VI-Pro Forma'!C58:C61)</f>
        <v>-385043.10329401225</v>
      </c>
      <c r="D65" s="1222">
        <f>SUM('Part VI-Pro Forma'!D58:D61)</f>
        <v>-385043.10329401225</v>
      </c>
      <c r="E65" s="1222">
        <f>SUM('Part VI-Pro Forma'!E58:E61)</f>
        <v>-385043.10329401225</v>
      </c>
      <c r="F65" s="1222">
        <f>SUM('Part VI-Pro Forma'!F58:F61)</f>
        <v>-385043.10329401225</v>
      </c>
      <c r="G65" s="1222">
        <f>SUM('Part VI-Pro Forma'!G58:G61)</f>
        <v>-385043.10329401225</v>
      </c>
      <c r="H65" s="1222">
        <f>SUM('Part VI-Pro Forma'!H58:H61)</f>
        <v>-385043.10329401225</v>
      </c>
      <c r="I65" s="1222">
        <f>SUM('Part VI-Pro Forma'!I58:I61)</f>
        <v>-385043.10329401225</v>
      </c>
      <c r="J65" s="1222">
        <f>SUM('Part VI-Pro Forma'!J58:J61)</f>
        <v>-385043.10329401225</v>
      </c>
      <c r="K65" s="1222">
        <f>SUM('Part VI-Pro Forma'!K58:K61)</f>
        <v>-385043.10329401225</v>
      </c>
    </row>
    <row r="66" spans="1:11">
      <c r="A66" s="1221" t="s">
        <v>3442</v>
      </c>
      <c r="B66" s="1223">
        <f t="shared" ref="B66:K66" si="7">-B64/B68-B65</f>
        <v>-57727.755614549969</v>
      </c>
      <c r="C66" s="1223">
        <f t="shared" si="7"/>
        <v>-63474.589533662947</v>
      </c>
      <c r="D66" s="1223">
        <f t="shared" si="7"/>
        <v>-69243.49246672017</v>
      </c>
      <c r="E66" s="1223">
        <f t="shared" si="7"/>
        <v>-75030.958264066838</v>
      </c>
      <c r="F66" s="1223">
        <f t="shared" si="7"/>
        <v>-80835.860060491075</v>
      </c>
      <c r="G66" s="1223">
        <f t="shared" si="7"/>
        <v>-86655.278676468122</v>
      </c>
      <c r="H66" s="1223">
        <f t="shared" si="7"/>
        <v>-92486.164178565086</v>
      </c>
      <c r="I66" s="1223">
        <f t="shared" si="7"/>
        <v>-98324.497259917844</v>
      </c>
      <c r="J66" s="1223">
        <f t="shared" si="7"/>
        <v>-104169.45043485437</v>
      </c>
      <c r="K66" s="1223">
        <f t="shared" si="7"/>
        <v>-110015.88237487228</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531325.03069027467</v>
      </c>
      <c r="C71" s="1223">
        <f t="shared" si="9"/>
        <v>538221.23139321024</v>
      </c>
      <c r="D71" s="1223">
        <f t="shared" si="9"/>
        <v>545143.91491287888</v>
      </c>
      <c r="E71" s="1223">
        <f t="shared" si="9"/>
        <v>552088.87386969489</v>
      </c>
      <c r="F71" s="1223">
        <f t="shared" si="9"/>
        <v>559054.75602540397</v>
      </c>
      <c r="G71" s="1223">
        <f t="shared" si="9"/>
        <v>566038.05836457643</v>
      </c>
      <c r="H71" s="1223">
        <f>+H64</f>
        <v>573035.12096709281</v>
      </c>
      <c r="I71" s="1223">
        <f>+I64</f>
        <v>580041.12066471612</v>
      </c>
      <c r="J71" s="1223">
        <f>+J64</f>
        <v>587055.06447463995</v>
      </c>
      <c r="K71" s="1223">
        <f>+K64</f>
        <v>594070.78280266142</v>
      </c>
    </row>
    <row r="72" spans="1:11">
      <c r="A72" s="1221" t="s">
        <v>3444</v>
      </c>
      <c r="B72" s="1223">
        <f t="shared" ref="B72:G72" si="10">IF($B$25="N/A",B65,B65+$B$25)</f>
        <v>-386928.75400000002</v>
      </c>
      <c r="C72" s="1223">
        <f t="shared" si="10"/>
        <v>-386928.75400000002</v>
      </c>
      <c r="D72" s="1223">
        <f t="shared" si="10"/>
        <v>-386928.75400000002</v>
      </c>
      <c r="E72" s="1223">
        <f t="shared" si="10"/>
        <v>-386928.75400000002</v>
      </c>
      <c r="F72" s="1223">
        <f t="shared" si="10"/>
        <v>-386928.75400000002</v>
      </c>
      <c r="G72" s="1223">
        <f t="shared" si="10"/>
        <v>-386928.75400000002</v>
      </c>
      <c r="H72" s="1223">
        <f>IF($B$25="N/A",H65,H65+$B$25)</f>
        <v>-386928.75400000002</v>
      </c>
      <c r="I72" s="1223">
        <f>IF($B$25="N/A",I65,I65+$B$25)</f>
        <v>-386928.75400000002</v>
      </c>
      <c r="J72" s="1223">
        <f>IF($B$25="N/A",J65,J65+$B$25)</f>
        <v>-386928.75400000002</v>
      </c>
      <c r="K72" s="1223">
        <f>IF($B$25="N/A",K65,K65+$B$25)</f>
        <v>-386928.75400000002</v>
      </c>
    </row>
    <row r="73" spans="1:11">
      <c r="A73" s="1221" t="s">
        <v>3445</v>
      </c>
      <c r="B73" s="1222">
        <f>+'Part VI-Pro Forma'!B63</f>
        <v>-4800</v>
      </c>
      <c r="C73" s="1222">
        <f>+'Part VI-Pro Forma'!C63</f>
        <v>-4800</v>
      </c>
      <c r="D73" s="1222">
        <f>+'Part VI-Pro Forma'!D63</f>
        <v>-4800</v>
      </c>
      <c r="E73" s="1222">
        <f>+'Part VI-Pro Forma'!E63</f>
        <v>-4800</v>
      </c>
      <c r="F73" s="1222">
        <f>+'Part VI-Pro Forma'!F63</f>
        <v>-4800</v>
      </c>
      <c r="G73" s="1222">
        <f>+'Part VI-Pro Forma'!G63</f>
        <v>-4800</v>
      </c>
      <c r="H73" s="1222">
        <f>+'Part VI-Pro Forma'!H63</f>
        <v>-4800</v>
      </c>
      <c r="I73" s="1222">
        <f>+'Part VI-Pro Forma'!I63</f>
        <v>-4800</v>
      </c>
      <c r="J73" s="1222">
        <f>+'Part VI-Pro Forma'!J63</f>
        <v>-4800</v>
      </c>
      <c r="K73" s="1222">
        <f>+'Part VI-Pro Forma'!K63</f>
        <v>-4800</v>
      </c>
    </row>
    <row r="74" spans="1:11">
      <c r="A74" s="1221" t="s">
        <v>3446</v>
      </c>
      <c r="B74" s="1223">
        <f t="shared" ref="B74:G74" si="11">+SUM(B71:B73)</f>
        <v>139596.27669027465</v>
      </c>
      <c r="C74" s="1223">
        <f t="shared" si="11"/>
        <v>146492.47739321023</v>
      </c>
      <c r="D74" s="1223">
        <f t="shared" si="11"/>
        <v>153415.16091287887</v>
      </c>
      <c r="E74" s="1223">
        <f t="shared" si="11"/>
        <v>160360.11986969487</v>
      </c>
      <c r="F74" s="1223">
        <f t="shared" si="11"/>
        <v>167326.00202540396</v>
      </c>
      <c r="G74" s="1223">
        <f t="shared" si="11"/>
        <v>174309.30436457641</v>
      </c>
      <c r="H74" s="1223">
        <f>+SUM(H71:H73)</f>
        <v>181306.36696709279</v>
      </c>
      <c r="I74" s="1223">
        <f>+SUM(I71:I73)</f>
        <v>188312.3666647161</v>
      </c>
      <c r="J74" s="1223">
        <f>+SUM(J71:J73)</f>
        <v>195326.31047463993</v>
      </c>
      <c r="K74" s="1223">
        <f>+SUM(K71:K73)</f>
        <v>202342.0288026614</v>
      </c>
    </row>
    <row r="75" spans="1:11">
      <c r="A75" s="1221" t="s">
        <v>3364</v>
      </c>
      <c r="B75" s="1223">
        <f t="shared" ref="B75:G75" si="12">-B74</f>
        <v>-139596.27669027465</v>
      </c>
      <c r="C75" s="1223">
        <f t="shared" si="12"/>
        <v>-146492.47739321023</v>
      </c>
      <c r="D75" s="1223">
        <f t="shared" si="12"/>
        <v>-153415.16091287887</v>
      </c>
      <c r="E75" s="1223">
        <f t="shared" si="12"/>
        <v>-160360.11986969487</v>
      </c>
      <c r="F75" s="1223">
        <f t="shared" si="12"/>
        <v>-167326.00202540396</v>
      </c>
      <c r="G75" s="1223">
        <f t="shared" si="12"/>
        <v>-174309.30436457641</v>
      </c>
      <c r="H75" s="1223">
        <f>-H74</f>
        <v>-181306.36696709279</v>
      </c>
      <c r="I75" s="1223">
        <f>-I74</f>
        <v>-188312.3666647161</v>
      </c>
      <c r="J75" s="1223">
        <f>-J74</f>
        <v>-195326.31047463993</v>
      </c>
      <c r="K75" s="1223">
        <f>-K74</f>
        <v>-202342.0288026614</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1265900.7792218446</v>
      </c>
      <c r="C78" s="1222">
        <f>IF($B$26="","",-FV('Part II-Sources of Funds'!$K$40/12,12,C72/12,B78))</f>
        <v>942198.17907033744</v>
      </c>
      <c r="D78" s="1222">
        <f>IF($B$26="","",-FV('Part II-Sources of Funds'!$K$40/12,12,D72/12,C78))</f>
        <v>599725.25556582026</v>
      </c>
      <c r="E78" s="1222">
        <f>IF($B$26="","",-FV('Part II-Sources of Funds'!$K$40/12,12,E72/12,D78))</f>
        <v>237393.58668569691</v>
      </c>
      <c r="F78" s="1222">
        <f>IF($B$26="","",-FV('Part II-Sources of Funds'!$K$40/12,12,F72/12,E78))</f>
        <v>-145948.36318300187</v>
      </c>
      <c r="G78" s="1222">
        <f>IF($B$26="","",-FV('Part II-Sources of Funds'!$K$40/12,12,G72/12,F78))</f>
        <v>-551518.90296862135</v>
      </c>
      <c r="H78" s="1222">
        <f>IF($B$26="","",-FV('Part II-Sources of Funds'!$K$40/12,12,H72/12,G78))</f>
        <v>-980606.98685387964</v>
      </c>
      <c r="I78" s="1222">
        <f>IF($B$26="","",-FV('Part II-Sources of Funds'!$K$40/12,12,I72/12,H78))</f>
        <v>-1434576.3107343684</v>
      </c>
      <c r="J78" s="1222">
        <f>IF($B$26="","",-FV('Part II-Sources of Funds'!$K$40/12,12,J72/12,I78))</f>
        <v>-1914869.6462156158</v>
      </c>
      <c r="K78" s="1222">
        <f>IF($B$26="","",-FV('Part II-Sources of Funds'!$K$40/12,12,K72/12,J78))</f>
        <v>-2423013.4259227025</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 xml:space="preserve">Gibson Park </v>
      </c>
    </row>
    <row r="2" spans="1:15" ht="13.5" customHeight="1"/>
    <row r="3" spans="1:15" ht="13.5" customHeight="1">
      <c r="A3" s="664" t="s">
        <v>2708</v>
      </c>
      <c r="C3" s="663" t="s">
        <v>2709</v>
      </c>
      <c r="E3" s="749">
        <f>SUM('Part III-A-Uses of Funds'!J162,'Part III-A-Uses of Funds'!M162,'Part III-A-Uses of Funds'!P162)</f>
        <v>15330874</v>
      </c>
      <c r="F3" s="1299" t="s">
        <v>2710</v>
      </c>
      <c r="H3" s="1279">
        <v>27.5</v>
      </c>
      <c r="I3" s="663" t="s">
        <v>2274</v>
      </c>
      <c r="K3" s="668" t="s">
        <v>2731</v>
      </c>
      <c r="M3" s="1299"/>
      <c r="O3" s="750"/>
    </row>
    <row r="4" spans="1:15" ht="13.5" customHeight="1">
      <c r="C4" s="663" t="s">
        <v>3130</v>
      </c>
      <c r="E4" s="749">
        <f>SUM('Part III-A-Uses of Funds'!G97:H101)</f>
        <v>171000</v>
      </c>
      <c r="F4" s="1299" t="s">
        <v>3664</v>
      </c>
      <c r="H4" s="664">
        <f>'Part II-Sources of Funds'!M40</f>
        <v>40</v>
      </c>
      <c r="I4" s="663" t="s">
        <v>2274</v>
      </c>
      <c r="K4" s="751" t="s">
        <v>2959</v>
      </c>
      <c r="M4" s="1299"/>
    </row>
    <row r="5" spans="1:15" ht="13.5" customHeight="1">
      <c r="C5" s="663" t="s">
        <v>3131</v>
      </c>
      <c r="E5" s="749">
        <f>SUM('Part III-A-Uses of Funds'!G105:H111)</f>
        <v>134500</v>
      </c>
      <c r="F5" s="1299" t="s">
        <v>3663</v>
      </c>
      <c r="H5" s="1279">
        <v>15</v>
      </c>
      <c r="I5" s="663" t="s">
        <v>2274</v>
      </c>
      <c r="K5" s="750">
        <f>-E6</f>
        <v>-11619295</v>
      </c>
    </row>
    <row r="6" spans="1:15" ht="13.5" customHeight="1">
      <c r="C6" s="663" t="s">
        <v>2711</v>
      </c>
      <c r="E6" s="752">
        <f>'Part II-Sources of Funds'!$I$51+'Part II-Sources of Funds'!$I$52</f>
        <v>11619295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14770.401505987742</v>
      </c>
      <c r="D9" s="757">
        <f>'Part VI-Pro Forma'!C33</f>
        <v>21281.391601987765</v>
      </c>
      <c r="E9" s="757">
        <f>'Part VI-Pro Forma'!D33</f>
        <v>27839.136499907763</v>
      </c>
      <c r="F9" s="757">
        <f>'Part VI-Pro Forma'!E33</f>
        <v>34442.593345786212</v>
      </c>
      <c r="G9" s="757">
        <f>'Part VI-Pro Forma'!F33</f>
        <v>41088.623490082042</v>
      </c>
      <c r="H9" s="757">
        <f>'Part VI-Pro Forma'!G33</f>
        <v>47777.988323609112</v>
      </c>
      <c r="I9" s="757">
        <f>'Part VI-Pro Forma'!H33</f>
        <v>54506.344962741947</v>
      </c>
      <c r="K9" s="750" t="e">
        <f>F24</f>
        <v>#VALUE!</v>
      </c>
      <c r="N9" s="758" t="s">
        <v>2717</v>
      </c>
    </row>
    <row r="10" spans="1:15" ht="13.5" customHeight="1">
      <c r="A10" s="663" t="s">
        <v>2716</v>
      </c>
      <c r="C10" s="1248">
        <f>'Part II-Sources of Funds'!I40-'Part VI-Pro Forma'!B40</f>
        <v>41455.708189421333</v>
      </c>
      <c r="D10" s="759">
        <f>'Part VI-Pro Forma'!B40-'Part VI-Pro Forma'!C40</f>
        <v>43859.572252235375</v>
      </c>
      <c r="E10" s="759">
        <f>'Part VI-Pro Forma'!C40-'Part VI-Pro Forma'!D40</f>
        <v>46402.827551741153</v>
      </c>
      <c r="F10" s="759">
        <f>'Part VI-Pro Forma'!D40-'Part VI-Pro Forma'!E40</f>
        <v>49093.556873138063</v>
      </c>
      <c r="G10" s="759">
        <f>'Part VI-Pro Forma'!E40-'Part VI-Pro Forma'!F40</f>
        <v>51940.311692614108</v>
      </c>
      <c r="H10" s="759">
        <f>'Part VI-Pro Forma'!F40-'Part VI-Pro Forma'!G40</f>
        <v>54952.139355012216</v>
      </c>
      <c r="I10" s="759">
        <f>'Part VI-Pro Forma'!G40-'Part VI-Pro Forma'!H40</f>
        <v>58138.611827431247</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-18000</v>
      </c>
      <c r="D13" s="1249">
        <f>'Part VI-Pro Forma'!C23</f>
        <v>-18540</v>
      </c>
      <c r="E13" s="1249">
        <f>'Part VI-Pro Forma'!D23</f>
        <v>-19096.2</v>
      </c>
      <c r="F13" s="1249">
        <f>'Part VI-Pro Forma'!E23</f>
        <v>-19669.085999999999</v>
      </c>
      <c r="G13" s="1249">
        <f>'Part VI-Pro Forma'!F23</f>
        <v>-20259.158579999999</v>
      </c>
      <c r="H13" s="1249">
        <f>'Part VI-Pro Forma'!G23</f>
        <v>-20866.933337399998</v>
      </c>
      <c r="I13" s="1249">
        <f>'Part VI-Pro Forma'!H23</f>
        <v>-21492.941337521999</v>
      </c>
      <c r="K13" s="750" t="e">
        <f>C44</f>
        <v>#VALUE!</v>
      </c>
      <c r="O13" s="755"/>
    </row>
    <row r="14" spans="1:15" ht="13.5" customHeight="1">
      <c r="A14" s="761" t="s">
        <v>3133</v>
      </c>
      <c r="B14" s="762"/>
      <c r="C14" s="1249">
        <f>'Part VI-Pro Forma'!B32</f>
        <v>-59701</v>
      </c>
      <c r="D14" s="1249">
        <f>'Part VI-Pro Forma'!C32</f>
        <v>-59701</v>
      </c>
      <c r="E14" s="1249">
        <f>'Part VI-Pro Forma'!D32</f>
        <v>-59701</v>
      </c>
      <c r="F14" s="1249">
        <f>'Part VI-Pro Forma'!E32</f>
        <v>-59701</v>
      </c>
      <c r="G14" s="1249">
        <f>'Part VI-Pro Forma'!F32</f>
        <v>-59701</v>
      </c>
      <c r="H14" s="1249">
        <f>'Part VI-Pro Forma'!G32</f>
        <v>-59701</v>
      </c>
      <c r="I14" s="1249">
        <f>'Part VI-Pro Forma'!H32</f>
        <v>-59701</v>
      </c>
      <c r="K14" s="750" t="e">
        <f>D44</f>
        <v>#VALUE!</v>
      </c>
      <c r="M14" s="663" t="s">
        <v>2723</v>
      </c>
      <c r="O14" s="755" t="e">
        <f>O6-O8-O12</f>
        <v>#VALUE!</v>
      </c>
    </row>
    <row r="15" spans="1:15" ht="13.5" customHeight="1">
      <c r="A15" s="763" t="s">
        <v>2719</v>
      </c>
      <c r="C15" s="764">
        <f t="shared" ref="C15:I15" si="0">$E$3/$H$3</f>
        <v>557486.32727272727</v>
      </c>
      <c r="D15" s="764">
        <f t="shared" si="0"/>
        <v>557486.32727272727</v>
      </c>
      <c r="E15" s="764">
        <f t="shared" si="0"/>
        <v>557486.32727272727</v>
      </c>
      <c r="F15" s="764">
        <f t="shared" si="0"/>
        <v>557486.32727272727</v>
      </c>
      <c r="G15" s="764">
        <f t="shared" si="0"/>
        <v>557486.32727272727</v>
      </c>
      <c r="H15" s="764">
        <f t="shared" si="0"/>
        <v>557486.32727272727</v>
      </c>
      <c r="I15" s="764">
        <f t="shared" si="0"/>
        <v>557486.32727272727</v>
      </c>
      <c r="K15" s="750" t="e">
        <f>E44</f>
        <v>#VALUE!</v>
      </c>
      <c r="O15" s="755"/>
    </row>
    <row r="16" spans="1:15" ht="13.5" customHeight="1">
      <c r="A16" s="763" t="s">
        <v>2721</v>
      </c>
      <c r="C16" s="764">
        <f>IF(C$8&lt;=$H$4,($E$4/$H$4),0)+IF(C$8&lt;=$H$5,($E$5/$H$5),0)</f>
        <v>13241.666666666666</v>
      </c>
      <c r="D16" s="764">
        <f t="shared" ref="D16:I16" si="1">IF(D$8&lt;=$H$4,($E$4/$H$4),0)+IF(D$8&lt;=$H$5,($E$5/$H$5),0)</f>
        <v>13241.666666666666</v>
      </c>
      <c r="E16" s="764">
        <f t="shared" si="1"/>
        <v>13241.666666666666</v>
      </c>
      <c r="F16" s="764">
        <f t="shared" si="1"/>
        <v>13241.666666666666</v>
      </c>
      <c r="G16" s="764">
        <f t="shared" si="1"/>
        <v>13241.666666666666</v>
      </c>
      <c r="H16" s="764">
        <f t="shared" si="1"/>
        <v>13241.666666666666</v>
      </c>
      <c r="I16" s="764">
        <f t="shared" si="1"/>
        <v>13241.666666666666</v>
      </c>
      <c r="K16" s="750" t="e">
        <f>F44</f>
        <v>#VALUE!</v>
      </c>
      <c r="M16" s="663" t="s">
        <v>2725</v>
      </c>
      <c r="O16" s="755">
        <f>E3</f>
        <v>15330874</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11149726.545454545</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4181147.4545454551</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830000</v>
      </c>
      <c r="D21" s="765">
        <f t="shared" ref="D21:I21" si="5">C21</f>
        <v>830000</v>
      </c>
      <c r="E21" s="765">
        <f t="shared" si="5"/>
        <v>830000</v>
      </c>
      <c r="F21" s="765">
        <f t="shared" si="5"/>
        <v>830000</v>
      </c>
      <c r="G21" s="765">
        <f t="shared" si="5"/>
        <v>830000</v>
      </c>
      <c r="H21" s="765">
        <f t="shared" si="5"/>
        <v>830000</v>
      </c>
      <c r="I21" s="765">
        <f t="shared" si="5"/>
        <v>830000</v>
      </c>
      <c r="J21" s="663" t="s">
        <v>233</v>
      </c>
      <c r="K21" s="750" t="e">
        <f>D64</f>
        <v>#VALUE!</v>
      </c>
      <c r="O21" s="755"/>
    </row>
    <row r="22" spans="1:17" ht="13.5" customHeight="1">
      <c r="A22" s="663" t="s">
        <v>2728</v>
      </c>
      <c r="C22" s="765">
        <f>C21</f>
        <v>830000</v>
      </c>
      <c r="D22" s="765">
        <f t="shared" ref="D22:I22" si="6">D21</f>
        <v>830000</v>
      </c>
      <c r="E22" s="765">
        <f t="shared" si="6"/>
        <v>830000</v>
      </c>
      <c r="F22" s="765">
        <f t="shared" si="6"/>
        <v>830000</v>
      </c>
      <c r="G22" s="765">
        <f t="shared" si="6"/>
        <v>830000</v>
      </c>
      <c r="H22" s="765">
        <f t="shared" si="6"/>
        <v>830000</v>
      </c>
      <c r="I22" s="765">
        <f t="shared" si="6"/>
        <v>830000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4181147.4545454551</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-4181147.4545454551</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61273.241778860451</v>
      </c>
      <c r="D29" s="757">
        <f>'Part VI-Pro Forma'!J33</f>
        <v>68076.113766831288</v>
      </c>
      <c r="E29" s="757">
        <f>'Part VI-Pro Forma'!K33</f>
        <v>74913.277747156913</v>
      </c>
      <c r="F29" s="757">
        <f>'Part VI-Pro Forma'!B65</f>
        <v>81780.927396262414</v>
      </c>
      <c r="G29" s="757">
        <f>'Part VI-Pro Forma'!C65</f>
        <v>88677.128099197987</v>
      </c>
      <c r="H29" s="757">
        <f>'Part VI-Pro Forma'!D65</f>
        <v>95599.811618866632</v>
      </c>
      <c r="I29" s="757">
        <f>'Part VI-Pro Forma'!E65</f>
        <v>102544.77057568263</v>
      </c>
      <c r="N29" s="768"/>
      <c r="O29" s="768"/>
    </row>
    <row r="30" spans="1:17" ht="13.5" customHeight="1">
      <c r="A30" s="663" t="s">
        <v>2716</v>
      </c>
      <c r="C30" s="759">
        <f>'Part VI-Pro Forma'!H40-'Part VI-Pro Forma'!I40</f>
        <v>61509.856120140292</v>
      </c>
      <c r="D30" s="759">
        <f>'Part VI-Pro Forma'!I40-'Part VI-Pro Forma'!J40</f>
        <v>65076.586471493356</v>
      </c>
      <c r="E30" s="759">
        <f>'Part VI-Pro Forma'!J40-'Part VI-Pro Forma'!K40</f>
        <v>68850.138399121352</v>
      </c>
      <c r="F30" s="1246">
        <f>'Part VI-Pro Forma'!K40-'Part VI-Pro Forma'!B72</f>
        <v>72842.504725638777</v>
      </c>
      <c r="G30" s="1246">
        <f>'Part VI-Pro Forma'!B72-'Part VI-Pro Forma'!C72</f>
        <v>77066.373693337664</v>
      </c>
      <c r="H30" s="1246">
        <f>'Part VI-Pro Forma'!C72-'Part VI-Pro Forma'!D72</f>
        <v>81535.16928901989</v>
      </c>
      <c r="I30" s="1246">
        <f>'Part VI-Pro Forma'!D72-'Part VI-Pro Forma'!E72</f>
        <v>86263.093907114118</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-836229.49090909108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-22137.72957764766</v>
      </c>
      <c r="D33" s="1249">
        <f>'Part VI-Pro Forma'!J23</f>
        <v>-22801.861464977086</v>
      </c>
      <c r="E33" s="1249">
        <f>'Part VI-Pro Forma'!K23</f>
        <v>-23485.9173089264</v>
      </c>
      <c r="F33" s="1249">
        <f>'Part VI-Pro Forma'!B55</f>
        <v>-24190.494828194191</v>
      </c>
      <c r="G33" s="1249">
        <f>'Part VI-Pro Forma'!C55</f>
        <v>-24916.209673040019</v>
      </c>
      <c r="H33" s="1249">
        <f>'Part VI-Pro Forma'!D55</f>
        <v>-25663.695963231214</v>
      </c>
      <c r="I33" s="1249">
        <f>'Part VI-Pro Forma'!E55</f>
        <v>-26433.606842128149</v>
      </c>
      <c r="K33" s="663" t="s">
        <v>233</v>
      </c>
      <c r="M33" s="663" t="s">
        <v>2736</v>
      </c>
      <c r="O33" s="757" t="e">
        <f>O14-O31</f>
        <v>#VALUE!</v>
      </c>
    </row>
    <row r="34" spans="1:15" ht="13.5" customHeight="1">
      <c r="A34" s="761" t="s">
        <v>3133</v>
      </c>
      <c r="B34" s="762"/>
      <c r="C34" s="1249">
        <f>'Part VI-Pro Forma'!I32</f>
        <v>-59701</v>
      </c>
      <c r="D34" s="1249">
        <f>'Part VI-Pro Forma'!J32</f>
        <v>-59701</v>
      </c>
      <c r="E34" s="1249">
        <f>'Part VI-Pro Forma'!K32</f>
        <v>-59701</v>
      </c>
      <c r="F34" s="1249">
        <f>'Part VI-Pro Forma'!B64</f>
        <v>-59701</v>
      </c>
      <c r="G34" s="1249">
        <f>'Part VI-Pro Forma'!C64</f>
        <v>-59701</v>
      </c>
      <c r="H34" s="1249">
        <f>'Part VI-Pro Forma'!D64</f>
        <v>-59701</v>
      </c>
      <c r="I34" s="1249">
        <f>'Part VI-Pro Forma'!E64</f>
        <v>-59701</v>
      </c>
    </row>
    <row r="35" spans="1:15" ht="13.5" customHeight="1">
      <c r="A35" s="763" t="s">
        <v>2719</v>
      </c>
      <c r="C35" s="764">
        <f t="shared" ref="C35:I35" si="8">$E$3/$H$3</f>
        <v>557486.32727272727</v>
      </c>
      <c r="D35" s="764">
        <f t="shared" si="8"/>
        <v>557486.32727272727</v>
      </c>
      <c r="E35" s="764">
        <f t="shared" si="8"/>
        <v>557486.32727272727</v>
      </c>
      <c r="F35" s="764">
        <f t="shared" si="8"/>
        <v>557486.32727272727</v>
      </c>
      <c r="G35" s="764">
        <f t="shared" si="8"/>
        <v>557486.32727272727</v>
      </c>
      <c r="H35" s="764">
        <f t="shared" si="8"/>
        <v>557486.32727272727</v>
      </c>
      <c r="I35" s="764">
        <f t="shared" si="8"/>
        <v>557486.32727272727</v>
      </c>
    </row>
    <row r="36" spans="1:15" ht="13.5" customHeight="1">
      <c r="A36" s="763" t="s">
        <v>2721</v>
      </c>
      <c r="C36" s="757">
        <f>IF(C$28&lt;=$H$4,($E$4/$H$4),0)+IF(C$28&lt;=$H$5,($E$5/$H$5),0)</f>
        <v>13241.666666666666</v>
      </c>
      <c r="D36" s="757">
        <f t="shared" ref="D36:I36" si="9">IF(D$28&lt;=$H$4,($E$4/$H$4),0)+IF(D$28&lt;=$H$5,($E$5/$H$5),0)</f>
        <v>13241.666666666666</v>
      </c>
      <c r="E36" s="757">
        <f t="shared" si="9"/>
        <v>13241.666666666666</v>
      </c>
      <c r="F36" s="757">
        <f t="shared" si="9"/>
        <v>13241.666666666666</v>
      </c>
      <c r="G36" s="757">
        <f t="shared" si="9"/>
        <v>13241.666666666666</v>
      </c>
      <c r="H36" s="757">
        <f t="shared" si="9"/>
        <v>13241.666666666666</v>
      </c>
      <c r="I36" s="757">
        <f t="shared" si="9"/>
        <v>13241.666666666666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830000</v>
      </c>
      <c r="D41" s="765">
        <f>C41</f>
        <v>830000</v>
      </c>
      <c r="E41" s="765">
        <f>D41</f>
        <v>830000</v>
      </c>
      <c r="F41" s="765">
        <v>0</v>
      </c>
      <c r="G41" s="765">
        <v>0</v>
      </c>
      <c r="H41" s="765">
        <v>0</v>
      </c>
      <c r="I41" s="765">
        <v>0</v>
      </c>
    </row>
    <row r="42" spans="1:15" ht="13.5" customHeight="1">
      <c r="A42" s="663" t="s">
        <v>2728</v>
      </c>
      <c r="C42" s="765">
        <f>C22</f>
        <v>830000</v>
      </c>
      <c r="D42" s="765">
        <f>C42</f>
        <v>830000</v>
      </c>
      <c r="E42" s="765">
        <f>D42</f>
        <v>830000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169211.65273139172</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91265.173486671411</v>
      </c>
      <c r="D50" s="1247">
        <f>'Part VI-Pro Forma'!F72-'Part VI-Pro Forma'!G72</f>
        <v>96557.305265692063</v>
      </c>
      <c r="E50" s="1247">
        <f>'Part VI-Pro Forma'!G72-'Part VI-Pro Forma'!H72</f>
        <v>102156.30830454361</v>
      </c>
      <c r="F50" s="1247">
        <f>'Part VI-Pro Forma'!H72-'Part VI-Pro Forma'!I72</f>
        <v>108079.97693905048</v>
      </c>
      <c r="G50" s="1247">
        <f>'Part VI-Pro Forma'!I72-'Part VI-Pro Forma'!J72</f>
        <v>114347.13733313605</v>
      </c>
      <c r="H50" s="1247">
        <f>'Part VI-Pro Forma'!J72-'Part VI-Pro Forma'!K72</f>
        <v>120977.70731073059</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-27226.615047391999</v>
      </c>
      <c r="D53" s="1249">
        <f>'Part VI-Pro Forma'!G55</f>
        <v>-28043.413498813759</v>
      </c>
      <c r="E53" s="1249">
        <f>'Part VI-Pro Forma'!H55</f>
        <v>-28884.715903778168</v>
      </c>
      <c r="F53" s="1249">
        <f>'Part VI-Pro Forma'!I55</f>
        <v>-29751.257380891511</v>
      </c>
      <c r="G53" s="1249">
        <f>'Part VI-Pro Forma'!J55</f>
        <v>-30643.795102318258</v>
      </c>
      <c r="H53" s="1249">
        <f>'Part VI-Pro Forma'!K55</f>
        <v>-31563.108955387805</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557486.32727272727</v>
      </c>
      <c r="D55" s="764">
        <f t="shared" si="14"/>
        <v>557486.32727272727</v>
      </c>
      <c r="E55" s="764">
        <f t="shared" si="14"/>
        <v>557486.32727272727</v>
      </c>
      <c r="F55" s="764">
        <f t="shared" si="14"/>
        <v>557486.32727272727</v>
      </c>
      <c r="G55" s="764">
        <f t="shared" si="14"/>
        <v>557486.32727272727</v>
      </c>
      <c r="H55" s="764">
        <f t="shared" si="14"/>
        <v>557486.32727272727</v>
      </c>
    </row>
    <row r="56" spans="1:10" ht="13.5" customHeight="1">
      <c r="A56" s="763" t="s">
        <v>2721</v>
      </c>
      <c r="C56" s="757">
        <f t="shared" ref="C56:H56" si="15">IF(C$48&lt;=$H$4,($E$4/$H$4),0)+IF(C$48&lt;=$H$5,($E$5/$H$5),0)</f>
        <v>13241.666666666666</v>
      </c>
      <c r="D56" s="757">
        <f t="shared" si="15"/>
        <v>4275</v>
      </c>
      <c r="E56" s="757">
        <f t="shared" si="15"/>
        <v>4275</v>
      </c>
      <c r="F56" s="757">
        <f t="shared" si="15"/>
        <v>4275</v>
      </c>
      <c r="G56" s="757">
        <f t="shared" si="15"/>
        <v>4275</v>
      </c>
      <c r="H56" s="757">
        <f t="shared" si="15"/>
        <v>4275</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3" t="e">
        <f>IRR(K5:K25)</f>
        <v>#VALUE!</v>
      </c>
      <c r="H66" s="4584"/>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1" zoomScale="120" zoomScaleNormal="120" workbookViewId="0">
      <selection activeCell="O29" sqref="O29"/>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10" t="str">
        <f>CONCATENATE("PART ONE - PROJECT INFORMATION"," - ",$O$7," ",$F$29,", ",'Part I-Project Identification'!F30,", ",'Part I-Project Identification'!J30," County")</f>
        <v>PART ONE - PROJECT INFORMATION - 2022-0 Gibson Park , College Park, Fulton County</v>
      </c>
      <c r="B2" s="3311"/>
      <c r="C2" s="3311"/>
      <c r="D2" s="3311"/>
      <c r="E2" s="3311"/>
      <c r="F2" s="3311"/>
      <c r="G2" s="3311"/>
      <c r="H2" s="3311"/>
      <c r="I2" s="3311"/>
      <c r="J2" s="3311"/>
      <c r="K2" s="3311"/>
      <c r="L2" s="3311"/>
      <c r="M2" s="3311"/>
      <c r="N2" s="3311"/>
      <c r="O2" s="3311"/>
      <c r="P2" s="3312"/>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4" t="s">
        <v>6753</v>
      </c>
      <c r="B4" s="3324"/>
      <c r="C4" s="3324"/>
      <c r="D4" s="3324"/>
      <c r="E4" s="3324"/>
      <c r="F4" s="3324"/>
      <c r="G4" s="3324"/>
      <c r="H4" s="3324"/>
      <c r="I4" s="3324"/>
      <c r="J4" s="3324"/>
      <c r="K4" s="3324"/>
      <c r="L4" s="3324"/>
      <c r="M4" s="3324"/>
      <c r="N4" s="3324"/>
      <c r="O4" s="3324"/>
      <c r="P4" s="3324"/>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5" t="s">
        <v>6750</v>
      </c>
      <c r="B6" s="3325"/>
      <c r="C6" s="3325"/>
      <c r="D6" s="3325"/>
      <c r="F6" s="316"/>
      <c r="G6" s="292" t="s">
        <v>3828</v>
      </c>
      <c r="L6" s="862"/>
      <c r="P6" s="2357" t="s">
        <v>3292</v>
      </c>
      <c r="Z6" s="2246">
        <v>6</v>
      </c>
    </row>
    <row r="7" spans="1:26" s="315" customFormat="1" ht="12" customHeight="1" thickBot="1">
      <c r="A7" s="3325"/>
      <c r="B7" s="3325"/>
      <c r="C7" s="3325"/>
      <c r="D7" s="3325"/>
      <c r="E7" s="1272"/>
      <c r="F7" s="318"/>
      <c r="G7" s="292" t="s">
        <v>6088</v>
      </c>
      <c r="H7" s="1046"/>
      <c r="I7" s="1046"/>
      <c r="J7" s="1046"/>
      <c r="O7" s="3313" t="s">
        <v>6516</v>
      </c>
      <c r="P7" s="3314"/>
      <c r="Q7" s="3355" t="s">
        <v>6644</v>
      </c>
      <c r="R7" s="3355"/>
      <c r="S7" s="3356"/>
      <c r="Z7" s="2246">
        <v>7</v>
      </c>
    </row>
    <row r="8" spans="1:26" s="315" customFormat="1" ht="12" customHeight="1">
      <c r="A8" s="3325"/>
      <c r="B8" s="3325"/>
      <c r="C8" s="3325"/>
      <c r="D8" s="3325"/>
      <c r="E8" s="1272"/>
      <c r="F8" s="537"/>
      <c r="G8" s="185" t="s">
        <v>2961</v>
      </c>
      <c r="H8" s="1046"/>
      <c r="I8" s="1046"/>
      <c r="J8" s="1046"/>
      <c r="Q8" s="3357"/>
      <c r="R8" s="3358"/>
      <c r="S8" s="3359"/>
      <c r="Z8" s="2246">
        <v>8</v>
      </c>
    </row>
    <row r="9" spans="1:26" s="315" customFormat="1" ht="6" customHeight="1">
      <c r="A9" s="495"/>
      <c r="E9" s="1046"/>
      <c r="H9" s="1046"/>
      <c r="I9" s="1046"/>
      <c r="M9" s="1046"/>
      <c r="Q9" s="3357"/>
      <c r="R9" s="3358"/>
      <c r="S9" s="3359"/>
      <c r="Z9" s="2246">
        <v>9</v>
      </c>
    </row>
    <row r="10" spans="1:26" s="315" customFormat="1" ht="13.35" customHeight="1">
      <c r="A10" s="317" t="s">
        <v>573</v>
      </c>
      <c r="B10" s="317" t="s">
        <v>2193</v>
      </c>
      <c r="D10" s="293"/>
      <c r="E10" s="319"/>
      <c r="F10" s="320" t="s">
        <v>3268</v>
      </c>
      <c r="I10" s="3315">
        <f>'Part III-A-Uses of Funds'!$J$191</f>
        <v>830000</v>
      </c>
      <c r="J10" s="3316"/>
      <c r="L10" s="315" t="s">
        <v>3269</v>
      </c>
      <c r="O10" s="3317">
        <f>'Part II-Sources of Funds'!$I$6</f>
        <v>0</v>
      </c>
      <c r="P10" s="3318"/>
      <c r="Q10" s="3357"/>
      <c r="R10" s="3358"/>
      <c r="S10" s="3359"/>
      <c r="Z10" s="2245">
        <v>10</v>
      </c>
    </row>
    <row r="11" spans="1:26" s="315" customFormat="1" ht="6" customHeight="1">
      <c r="A11" s="317"/>
      <c r="B11" s="317"/>
      <c r="D11" s="293"/>
      <c r="E11" s="319"/>
      <c r="F11" s="319"/>
      <c r="I11" s="321"/>
      <c r="N11" s="322"/>
      <c r="Q11" s="3357"/>
      <c r="R11" s="3358"/>
      <c r="S11" s="3359"/>
      <c r="Z11" s="2246">
        <v>11</v>
      </c>
    </row>
    <row r="12" spans="1:26" s="315" customFormat="1" ht="13.35" customHeight="1">
      <c r="A12" s="321" t="s">
        <v>689</v>
      </c>
      <c r="B12" s="317" t="s">
        <v>1892</v>
      </c>
      <c r="F12" s="3319" t="s">
        <v>6909</v>
      </c>
      <c r="G12" s="3320"/>
      <c r="H12" s="3321"/>
      <c r="I12" s="2364" t="s">
        <v>6527</v>
      </c>
      <c r="J12" s="516" t="s">
        <v>6526</v>
      </c>
      <c r="K12" s="326"/>
      <c r="L12" s="1046"/>
      <c r="O12" s="3322" t="s">
        <v>6984</v>
      </c>
      <c r="P12" s="3323"/>
      <c r="Q12" s="3357"/>
      <c r="R12" s="3358"/>
      <c r="S12" s="3359"/>
      <c r="Z12" s="2246">
        <v>12</v>
      </c>
    </row>
    <row r="13" spans="1:26" s="315" customFormat="1" ht="3" customHeight="1">
      <c r="A13" s="495"/>
      <c r="B13" s="1577"/>
      <c r="C13" s="1577"/>
      <c r="D13" s="1577"/>
      <c r="E13" s="1577"/>
      <c r="H13" s="1046"/>
      <c r="J13" s="517"/>
      <c r="K13" s="290"/>
      <c r="M13" s="1046"/>
      <c r="Q13" s="3357"/>
      <c r="R13" s="3358"/>
      <c r="S13" s="3359"/>
      <c r="Z13" s="2246">
        <v>13</v>
      </c>
    </row>
    <row r="14" spans="1:26" s="1661" customFormat="1">
      <c r="A14" s="2216" t="s">
        <v>691</v>
      </c>
      <c r="B14" s="1665" t="s">
        <v>3675</v>
      </c>
      <c r="D14" s="1664"/>
      <c r="E14" s="2556"/>
      <c r="G14" s="2556"/>
      <c r="H14" s="2556"/>
      <c r="I14" s="2556"/>
      <c r="L14" s="2557"/>
      <c r="Q14" s="3357"/>
      <c r="R14" s="3358"/>
      <c r="S14" s="3359"/>
      <c r="Z14" s="2246">
        <v>14</v>
      </c>
    </row>
    <row r="15" spans="1:26" s="1661" customFormat="1">
      <c r="B15" s="1661" t="s">
        <v>3298</v>
      </c>
      <c r="F15" s="3340" t="s">
        <v>6985</v>
      </c>
      <c r="G15" s="3341"/>
      <c r="H15" s="3342"/>
      <c r="I15" s="2558" t="s">
        <v>1671</v>
      </c>
      <c r="J15" s="3340" t="s">
        <v>6911</v>
      </c>
      <c r="K15" s="3341"/>
      <c r="L15" s="3342"/>
      <c r="M15" s="2559" t="s">
        <v>1839</v>
      </c>
      <c r="N15" s="3343" t="s">
        <v>6910</v>
      </c>
      <c r="O15" s="3344"/>
      <c r="P15" s="3345"/>
      <c r="Q15" s="3357"/>
      <c r="R15" s="3358"/>
      <c r="S15" s="3359"/>
      <c r="Z15" s="2246">
        <v>15</v>
      </c>
    </row>
    <row r="16" spans="1:26" s="1661" customFormat="1">
      <c r="B16" s="1664" t="s">
        <v>1840</v>
      </c>
      <c r="F16" s="3346" t="s">
        <v>6912</v>
      </c>
      <c r="G16" s="3347"/>
      <c r="H16" s="3347"/>
      <c r="I16" s="3347"/>
      <c r="J16" s="3347"/>
      <c r="K16" s="3347"/>
      <c r="L16" s="3348"/>
      <c r="M16" s="3375" t="s">
        <v>3297</v>
      </c>
      <c r="N16" s="3375"/>
      <c r="O16" s="3375"/>
      <c r="P16" s="3375"/>
      <c r="Q16" s="3357"/>
      <c r="R16" s="3358"/>
      <c r="S16" s="3359"/>
      <c r="Z16" s="2246">
        <v>16</v>
      </c>
    </row>
    <row r="17" spans="1:26" s="1661" customFormat="1">
      <c r="B17" s="1664" t="s">
        <v>575</v>
      </c>
      <c r="F17" s="3350" t="s">
        <v>1132</v>
      </c>
      <c r="G17" s="3351"/>
      <c r="H17" s="3352"/>
      <c r="I17" s="2563" t="s">
        <v>1672</v>
      </c>
      <c r="J17" s="2560" t="s">
        <v>791</v>
      </c>
      <c r="K17" s="2566"/>
      <c r="L17" s="2564"/>
      <c r="M17" s="3375"/>
      <c r="N17" s="3375"/>
      <c r="O17" s="3375"/>
      <c r="P17" s="3375"/>
      <c r="Q17" s="3357"/>
      <c r="R17" s="3358"/>
      <c r="S17" s="3359"/>
      <c r="Z17" s="2246">
        <v>17</v>
      </c>
    </row>
    <row r="18" spans="1:26" s="1661" customFormat="1">
      <c r="B18" s="1664" t="s">
        <v>2062</v>
      </c>
      <c r="F18" s="3328">
        <v>303394002</v>
      </c>
      <c r="G18" s="3329"/>
      <c r="H18" s="3330"/>
      <c r="I18" s="2565" t="s">
        <v>1600</v>
      </c>
      <c r="J18" s="3331">
        <v>6783245540</v>
      </c>
      <c r="K18" s="3332"/>
      <c r="L18" s="2561" t="s">
        <v>1599</v>
      </c>
      <c r="M18" s="834">
        <v>101</v>
      </c>
      <c r="N18" s="1664" t="s">
        <v>1601</v>
      </c>
      <c r="O18" s="3333">
        <v>6783245550</v>
      </c>
      <c r="P18" s="3334"/>
      <c r="Q18" s="3357"/>
      <c r="R18" s="3358"/>
      <c r="S18" s="3359"/>
      <c r="Z18" s="2246">
        <v>18</v>
      </c>
    </row>
    <row r="19" spans="1:26" s="1661" customFormat="1">
      <c r="B19" s="1664" t="s">
        <v>1843</v>
      </c>
      <c r="F19" s="3335" t="s">
        <v>6913</v>
      </c>
      <c r="G19" s="3336"/>
      <c r="H19" s="3336"/>
      <c r="I19" s="3336"/>
      <c r="J19" s="3336"/>
      <c r="K19" s="3337"/>
      <c r="N19" s="1664" t="s">
        <v>1838</v>
      </c>
      <c r="O19" s="3338">
        <v>7708627333</v>
      </c>
      <c r="P19" s="3339"/>
      <c r="Q19" s="3357"/>
      <c r="R19" s="3358"/>
      <c r="S19" s="3359"/>
      <c r="Z19" s="2246">
        <v>19</v>
      </c>
    </row>
    <row r="20" spans="1:26" s="1661" customFormat="1">
      <c r="A20" s="2562"/>
      <c r="B20" s="1665" t="s">
        <v>3674</v>
      </c>
      <c r="C20" s="181"/>
      <c r="H20" s="2561"/>
      <c r="J20" s="181"/>
      <c r="P20" s="2561"/>
      <c r="Q20" s="3357"/>
      <c r="R20" s="3358"/>
      <c r="S20" s="3359"/>
      <c r="Z20" s="2246">
        <v>20</v>
      </c>
    </row>
    <row r="21" spans="1:26" s="1661" customFormat="1">
      <c r="B21" s="1661" t="s">
        <v>3298</v>
      </c>
      <c r="F21" s="3340" t="s">
        <v>6986</v>
      </c>
      <c r="G21" s="3341"/>
      <c r="H21" s="3342"/>
      <c r="I21" s="2558" t="s">
        <v>1671</v>
      </c>
      <c r="J21" s="3340" t="s">
        <v>6914</v>
      </c>
      <c r="K21" s="3341"/>
      <c r="L21" s="3342"/>
      <c r="M21" s="2559" t="s">
        <v>1839</v>
      </c>
      <c r="N21" s="3343" t="s">
        <v>6916</v>
      </c>
      <c r="O21" s="3344"/>
      <c r="P21" s="3345"/>
      <c r="Q21" s="3357"/>
      <c r="R21" s="3358"/>
      <c r="S21" s="3359"/>
      <c r="Z21" s="2245">
        <v>21</v>
      </c>
    </row>
    <row r="22" spans="1:26" s="1661" customFormat="1">
      <c r="B22" s="1664" t="s">
        <v>1840</v>
      </c>
      <c r="F22" s="3346" t="s">
        <v>6912</v>
      </c>
      <c r="G22" s="3347"/>
      <c r="H22" s="3347"/>
      <c r="I22" s="3347"/>
      <c r="J22" s="3347"/>
      <c r="K22" s="3347"/>
      <c r="L22" s="3348"/>
      <c r="M22" s="3349" t="s">
        <v>3297</v>
      </c>
      <c r="N22" s="3349"/>
      <c r="O22" s="3349"/>
      <c r="P22" s="3349"/>
      <c r="Q22" s="3357"/>
      <c r="R22" s="3358"/>
      <c r="S22" s="3359"/>
      <c r="Z22" s="2246">
        <v>22</v>
      </c>
    </row>
    <row r="23" spans="1:26" s="1661" customFormat="1">
      <c r="B23" s="1664" t="s">
        <v>575</v>
      </c>
      <c r="F23" s="3350" t="s">
        <v>1132</v>
      </c>
      <c r="G23" s="3351"/>
      <c r="H23" s="3352"/>
      <c r="I23" s="2567" t="s">
        <v>1672</v>
      </c>
      <c r="J23" s="2560"/>
      <c r="K23" s="2566"/>
      <c r="L23" s="2564"/>
      <c r="M23" s="3349"/>
      <c r="N23" s="3349"/>
      <c r="O23" s="3349"/>
      <c r="P23" s="3349"/>
      <c r="Q23" s="3357"/>
      <c r="R23" s="3358"/>
      <c r="S23" s="3359"/>
      <c r="Z23" s="2246">
        <v>23</v>
      </c>
    </row>
    <row r="24" spans="1:26" s="1661" customFormat="1">
      <c r="B24" s="1664" t="s">
        <v>2062</v>
      </c>
      <c r="F24" s="3328">
        <v>303394002</v>
      </c>
      <c r="G24" s="3329"/>
      <c r="H24" s="3330"/>
      <c r="I24" s="2565" t="s">
        <v>1600</v>
      </c>
      <c r="J24" s="3331">
        <v>6783245540</v>
      </c>
      <c r="K24" s="3332"/>
      <c r="L24" s="2561" t="s">
        <v>1599</v>
      </c>
      <c r="M24" s="834">
        <v>107</v>
      </c>
      <c r="N24" s="1664" t="s">
        <v>1601</v>
      </c>
      <c r="O24" s="3333">
        <v>6783245556</v>
      </c>
      <c r="P24" s="3334"/>
      <c r="Q24" s="3357"/>
      <c r="R24" s="3358"/>
      <c r="S24" s="3359"/>
      <c r="Z24" s="2246">
        <v>24</v>
      </c>
    </row>
    <row r="25" spans="1:26" s="1661" customFormat="1">
      <c r="B25" s="1664" t="s">
        <v>1843</v>
      </c>
      <c r="F25" s="3335" t="s">
        <v>6915</v>
      </c>
      <c r="G25" s="3336"/>
      <c r="H25" s="3336"/>
      <c r="I25" s="3336"/>
      <c r="J25" s="3336"/>
      <c r="K25" s="3337"/>
      <c r="N25" s="1664" t="s">
        <v>1838</v>
      </c>
      <c r="O25" s="3338">
        <v>4045435337</v>
      </c>
      <c r="P25" s="3339"/>
      <c r="Q25" s="3357"/>
      <c r="R25" s="3358"/>
      <c r="S25" s="3359"/>
      <c r="Z25" s="2246">
        <v>25</v>
      </c>
    </row>
    <row r="26" spans="1:26" s="315" customFormat="1" ht="6" customHeight="1">
      <c r="I26" s="181"/>
      <c r="J26" s="181"/>
      <c r="K26" s="181"/>
      <c r="L26" s="181"/>
      <c r="M26" s="181"/>
      <c r="N26" s="181"/>
      <c r="O26" s="181"/>
      <c r="P26" s="181"/>
      <c r="Q26" s="3357"/>
      <c r="R26" s="3358"/>
      <c r="S26" s="3359"/>
      <c r="Z26" s="2246">
        <v>26</v>
      </c>
    </row>
    <row r="27" spans="1:26" s="315" customFormat="1" ht="13.35" customHeight="1">
      <c r="A27" s="321" t="s">
        <v>1667</v>
      </c>
      <c r="B27" s="317" t="s">
        <v>1382</v>
      </c>
      <c r="D27" s="293"/>
      <c r="E27" s="319"/>
      <c r="F27" s="319"/>
      <c r="G27" s="320"/>
      <c r="H27" s="319"/>
      <c r="I27" s="319"/>
      <c r="J27" s="323"/>
      <c r="Q27" s="3357"/>
      <c r="R27" s="3358"/>
      <c r="S27" s="3359"/>
      <c r="Z27" s="2246">
        <v>27</v>
      </c>
    </row>
    <row r="28" spans="1:26" s="315" customFormat="1" ht="1.5" customHeight="1">
      <c r="A28" s="321"/>
      <c r="B28" s="317"/>
      <c r="D28" s="293"/>
      <c r="E28" s="319"/>
      <c r="F28" s="319"/>
      <c r="G28" s="320"/>
      <c r="H28" s="319"/>
      <c r="I28" s="319"/>
      <c r="J28" s="323"/>
      <c r="L28" s="322"/>
      <c r="M28" s="322"/>
      <c r="Q28" s="3357"/>
      <c r="R28" s="3358"/>
      <c r="S28" s="3359"/>
      <c r="Z28" s="2246">
        <v>28</v>
      </c>
    </row>
    <row r="29" spans="1:26" s="315" customFormat="1" ht="13.35" customHeight="1">
      <c r="A29" s="317"/>
      <c r="B29" s="315" t="s">
        <v>574</v>
      </c>
      <c r="D29" s="326"/>
      <c r="F29" s="3299" t="s">
        <v>6917</v>
      </c>
      <c r="G29" s="3300"/>
      <c r="H29" s="3300"/>
      <c r="I29" s="3301"/>
      <c r="J29" s="3300"/>
      <c r="K29" s="3302"/>
      <c r="M29" s="1034" t="s">
        <v>425</v>
      </c>
      <c r="P29" s="2568" t="s">
        <v>2654</v>
      </c>
      <c r="Q29" s="3357"/>
      <c r="R29" s="3358"/>
      <c r="S29" s="3359"/>
      <c r="Z29" s="2246">
        <v>29</v>
      </c>
    </row>
    <row r="30" spans="1:26" s="315" customFormat="1">
      <c r="A30" s="495"/>
      <c r="B30" s="315" t="s">
        <v>575</v>
      </c>
      <c r="F30" s="3307" t="s">
        <v>1161</v>
      </c>
      <c r="G30" s="3308"/>
      <c r="H30" s="3309"/>
      <c r="I30" s="340" t="s">
        <v>576</v>
      </c>
      <c r="J30" s="3303" t="str">
        <f>IF(F30="","",VLOOKUP(F30,'DCA Underwriting Assumptions'!$T$136:$U$765,2,FALSE))</f>
        <v>Fulton</v>
      </c>
      <c r="K30" s="3304"/>
      <c r="M30" s="2618" t="s">
        <v>426</v>
      </c>
      <c r="P30" s="2641" t="s">
        <v>2654</v>
      </c>
      <c r="Q30" s="3357"/>
      <c r="R30" s="3358"/>
      <c r="S30" s="3359"/>
      <c r="U30" s="2562"/>
      <c r="W30" s="1661"/>
      <c r="X30" s="1661"/>
      <c r="Y30" s="1661"/>
      <c r="Z30" s="2246">
        <v>30</v>
      </c>
    </row>
    <row r="31" spans="1:26" s="315" customFormat="1" ht="13.5">
      <c r="A31" s="2120"/>
      <c r="B31" s="1661" t="s">
        <v>3911</v>
      </c>
      <c r="C31" s="330"/>
      <c r="D31" s="331"/>
      <c r="E31" s="331"/>
      <c r="F31" s="3307" t="s">
        <v>6918</v>
      </c>
      <c r="G31" s="3308"/>
      <c r="H31" s="3309"/>
      <c r="I31" s="2617"/>
      <c r="J31" s="515" t="s">
        <v>6730</v>
      </c>
      <c r="K31" s="2617"/>
      <c r="M31" s="1664" t="s">
        <v>6676</v>
      </c>
      <c r="N31" s="1661"/>
      <c r="O31" s="3326">
        <v>6.82</v>
      </c>
      <c r="P31" s="3327"/>
      <c r="Q31" s="3357"/>
      <c r="R31" s="3358"/>
      <c r="S31" s="3359"/>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5" t="str">
        <f>IF($F$30="","",VLOOKUP($J$30,'DCA Underwriting Assumptions'!$G$136:$L$295,3,FALSE))</f>
        <v>Atlanta-Sandy Springs-Marietta</v>
      </c>
      <c r="P32" s="3306"/>
      <c r="Q32" s="3357"/>
      <c r="R32" s="3358"/>
      <c r="S32" s="3359"/>
      <c r="Z32" s="2245">
        <v>32</v>
      </c>
    </row>
    <row r="33" spans="1:26" s="315" customFormat="1">
      <c r="A33" s="495"/>
      <c r="B33" s="495"/>
      <c r="C33" s="330"/>
      <c r="D33" s="331"/>
      <c r="E33" s="331"/>
      <c r="F33" s="1046"/>
      <c r="G33" s="1046"/>
      <c r="H33" s="1046"/>
      <c r="I33" s="1046"/>
      <c r="J33" s="331"/>
      <c r="K33" s="1046"/>
      <c r="L33" s="1046"/>
      <c r="N33" s="1041"/>
      <c r="O33" s="1041"/>
      <c r="P33" s="325"/>
      <c r="Q33" s="3357"/>
      <c r="R33" s="3358"/>
      <c r="S33" s="3359"/>
      <c r="Z33" s="2246">
        <v>33</v>
      </c>
    </row>
    <row r="34" spans="1:26" s="315" customFormat="1">
      <c r="A34" s="321" t="s">
        <v>1669</v>
      </c>
      <c r="B34" s="290" t="s">
        <v>6663</v>
      </c>
      <c r="D34" s="335"/>
      <c r="E34" s="335"/>
      <c r="F34" s="335"/>
      <c r="G34" s="1046"/>
      <c r="H34" s="1046"/>
      <c r="I34" s="1046"/>
      <c r="J34" s="331"/>
      <c r="K34" s="1046"/>
      <c r="L34" s="1046"/>
      <c r="N34" s="1041"/>
      <c r="O34" s="1041"/>
      <c r="P34" s="2614"/>
      <c r="Q34" s="3357"/>
      <c r="R34" s="3358"/>
      <c r="S34" s="3359"/>
      <c r="Z34" s="2246">
        <v>34</v>
      </c>
    </row>
    <row r="35" spans="1:26" s="315" customFormat="1" ht="2.25" customHeight="1">
      <c r="A35" s="495"/>
      <c r="B35" s="495"/>
      <c r="M35" s="2073"/>
      <c r="N35" s="1536"/>
      <c r="O35" s="1536"/>
      <c r="P35" s="1986"/>
      <c r="Q35" s="3357"/>
      <c r="R35" s="3358"/>
      <c r="S35" s="3359"/>
      <c r="Z35" s="2246">
        <v>35</v>
      </c>
    </row>
    <row r="36" spans="1:26" s="315" customFormat="1">
      <c r="A36" s="495"/>
      <c r="B36" s="2042" t="s">
        <v>6662</v>
      </c>
      <c r="D36" s="1037"/>
      <c r="E36" s="1037"/>
      <c r="F36" s="1037"/>
      <c r="G36" s="1037"/>
      <c r="H36" s="1046"/>
      <c r="J36" s="324"/>
      <c r="K36" s="331"/>
      <c r="P36" s="325"/>
      <c r="Q36" s="3357"/>
      <c r="R36" s="3358"/>
      <c r="S36" s="3359"/>
      <c r="Z36" s="2246">
        <v>36</v>
      </c>
    </row>
    <row r="37" spans="1:26" s="315" customFormat="1" ht="1.5" customHeight="1">
      <c r="A37" s="2120"/>
      <c r="B37" s="2120"/>
      <c r="C37" s="2042"/>
      <c r="D37" s="2312"/>
      <c r="E37" s="2312"/>
      <c r="F37" s="2312"/>
      <c r="G37" s="2312"/>
      <c r="H37" s="2500"/>
      <c r="J37" s="324"/>
      <c r="K37" s="331"/>
      <c r="P37" s="325"/>
      <c r="Q37" s="3357"/>
      <c r="R37" s="3358"/>
      <c r="S37" s="3359"/>
      <c r="Z37" s="2246">
        <v>37</v>
      </c>
    </row>
    <row r="38" spans="1:26" s="315" customFormat="1" ht="13.5" hidden="1" customHeight="1">
      <c r="A38" s="495"/>
      <c r="B38" s="495"/>
      <c r="C38" s="1041" t="s">
        <v>1209</v>
      </c>
      <c r="D38" s="341"/>
      <c r="I38" s="1578"/>
      <c r="K38" s="326"/>
      <c r="L38" s="1041" t="s">
        <v>3089</v>
      </c>
      <c r="M38" s="1041"/>
      <c r="N38" s="1041"/>
      <c r="P38" s="2540"/>
      <c r="Q38" s="3357"/>
      <c r="R38" s="3358"/>
      <c r="S38" s="3359"/>
      <c r="Z38" s="2246">
        <v>38</v>
      </c>
    </row>
    <row r="39" spans="1:26" s="315" customFormat="1" ht="12.75" hidden="1" customHeight="1">
      <c r="A39" s="495"/>
      <c r="B39" s="317"/>
      <c r="C39" s="1041" t="s">
        <v>3937</v>
      </c>
      <c r="I39" s="2533"/>
      <c r="J39" s="340" t="s">
        <v>2485</v>
      </c>
      <c r="O39" s="3363"/>
      <c r="P39" s="3364"/>
      <c r="Q39" s="3357"/>
      <c r="R39" s="3358"/>
      <c r="S39" s="3359"/>
      <c r="Z39" s="2246">
        <v>39</v>
      </c>
    </row>
    <row r="40" spans="1:26" s="315" customFormat="1" ht="12.75" customHeight="1">
      <c r="A40" s="495"/>
      <c r="B40" s="317"/>
      <c r="C40" s="1659" t="s">
        <v>1677</v>
      </c>
      <c r="I40" s="1578" t="s">
        <v>2654</v>
      </c>
      <c r="J40" s="340" t="s">
        <v>2485</v>
      </c>
      <c r="O40" s="3371"/>
      <c r="P40" s="3372"/>
      <c r="Q40" s="3357"/>
      <c r="R40" s="3358"/>
      <c r="S40" s="3359"/>
      <c r="Z40" s="2246">
        <v>40</v>
      </c>
    </row>
    <row r="41" spans="1:26" s="315" customFormat="1" ht="12.6" customHeight="1">
      <c r="A41" s="495"/>
      <c r="B41" s="495"/>
      <c r="C41" s="1041" t="s">
        <v>2576</v>
      </c>
      <c r="I41" s="1098" t="s">
        <v>2654</v>
      </c>
      <c r="J41" s="340" t="s">
        <v>2485</v>
      </c>
      <c r="O41" s="3373"/>
      <c r="P41" s="3374"/>
      <c r="Q41" s="3360"/>
      <c r="R41" s="3361"/>
      <c r="S41" s="3362"/>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5" t="s">
        <v>6919</v>
      </c>
      <c r="B45" s="3366"/>
      <c r="C45" s="3366"/>
      <c r="D45" s="3366"/>
      <c r="E45" s="3366"/>
      <c r="F45" s="3366"/>
      <c r="G45" s="3366"/>
      <c r="H45" s="3366"/>
      <c r="I45" s="3366"/>
      <c r="J45" s="3366"/>
      <c r="K45" s="3366"/>
      <c r="L45" s="3367"/>
      <c r="M45" s="3368"/>
      <c r="N45" s="3369"/>
      <c r="O45" s="3369"/>
      <c r="P45" s="3370"/>
      <c r="Q45" s="3353"/>
      <c r="R45" s="3354"/>
      <c r="S45" s="3354"/>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6" t="str">
        <f>'Sensitivity Analysis'!C8</f>
        <v xml:space="preserve">Gibson Park </v>
      </c>
      <c r="B1" s="4586"/>
      <c r="C1" s="4586"/>
      <c r="D1" s="4586"/>
      <c r="E1" s="4586"/>
      <c r="F1" s="4586"/>
      <c r="G1" s="4586"/>
      <c r="H1" s="4586"/>
      <c r="I1" s="4586"/>
      <c r="J1" s="4586"/>
      <c r="K1" s="4586"/>
    </row>
    <row r="2" spans="1:11" s="1878" customFormat="1" ht="17.45" customHeight="1">
      <c r="A2" s="4585" t="s">
        <v>2888</v>
      </c>
      <c r="B2" s="4585"/>
      <c r="C2" s="4585"/>
      <c r="D2" s="4585"/>
      <c r="E2" s="4585"/>
      <c r="F2" s="4585"/>
      <c r="G2" s="4585"/>
      <c r="H2" s="4585"/>
      <c r="I2" s="4585"/>
      <c r="J2" s="4585"/>
      <c r="K2" s="4585"/>
    </row>
    <row r="3" spans="1:11" ht="9" customHeight="1">
      <c r="A3" s="1877"/>
      <c r="B3" s="1877"/>
      <c r="C3" s="1877"/>
      <c r="D3" s="1877"/>
      <c r="E3" s="1877"/>
      <c r="G3" s="1877"/>
      <c r="H3" s="1877"/>
      <c r="J3" s="1877"/>
      <c r="K3" s="1877"/>
    </row>
    <row r="4" spans="1:11" ht="12.6" customHeight="1">
      <c r="A4" s="4587" t="s">
        <v>6065</v>
      </c>
      <c r="B4" s="4587"/>
      <c r="C4" s="1879"/>
      <c r="D4" s="4587" t="s">
        <v>6066</v>
      </c>
      <c r="E4" s="4587"/>
      <c r="F4" s="1880"/>
      <c r="G4" s="4587" t="s">
        <v>6067</v>
      </c>
      <c r="H4" s="4587"/>
      <c r="I4" s="1880"/>
      <c r="J4" s="4587" t="s">
        <v>6185</v>
      </c>
      <c r="K4" s="4587"/>
    </row>
    <row r="5" spans="1:11" ht="25.9" customHeight="1">
      <c r="A5" s="4588" t="str">
        <f>'Part II-Sources of Funds'!E40</f>
        <v>Regions Bank</v>
      </c>
      <c r="B5" s="4589"/>
      <c r="C5" s="1878"/>
      <c r="D5" s="4588">
        <f>'Part II-Sources of Funds'!E41</f>
        <v>0</v>
      </c>
      <c r="E5" s="4589"/>
      <c r="F5" s="1881"/>
      <c r="G5" s="4588">
        <f>'Part II-Sources of Funds'!E42</f>
        <v>0</v>
      </c>
      <c r="H5" s="4589"/>
      <c r="I5" s="1881"/>
      <c r="J5" s="4588">
        <f>'Part II-Sources of Funds'!E43</f>
        <v>0</v>
      </c>
      <c r="K5" s="4589"/>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32086.92527450102</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32086.92527450102</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32086.92527450102</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32086.92527450102</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32086.92527450102</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32086.92527450102</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32086.92527450102</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32086.92527450102</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32086.92527450102</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32086.92527450102</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32086.92527450102</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32086.92527450102</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32086.92527450102</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32086.92527450102</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32086.92527450102</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32086.92527450102</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32086.92527450102</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32086.92527450102</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32086.92527450102</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32086.92527450102</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32086.92527450102</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32086.92527450102</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32086.92527450102</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32086.92527450102</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32086.92527450102</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32086.92527450102</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32086.92527450102</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32086.92527450102</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32086.92527450102</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32086.92527450102</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32086.92527450102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32086.92527450102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32086.92527450102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32086.92527450102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32086.92527450102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0" t="str">
        <f>CONCATENATE('Sensitivity Analysis'!E8,"  ",'Sensitivity Analysis'!C8)</f>
        <v xml:space="preserve">2022-0  Gibson Park </v>
      </c>
      <c r="B1" s="4590"/>
      <c r="C1" s="4590"/>
      <c r="D1" s="4590"/>
      <c r="E1" s="4590"/>
      <c r="F1" s="4590"/>
      <c r="G1" s="4590"/>
      <c r="H1" s="4590"/>
    </row>
    <row r="3" spans="1:13" ht="12" customHeight="1">
      <c r="A3" s="4591" t="s">
        <v>3107</v>
      </c>
      <c r="B3" s="4591"/>
      <c r="C3" s="4591"/>
      <c r="D3" s="4591"/>
      <c r="E3" s="4591"/>
      <c r="F3" s="4591"/>
      <c r="G3" s="4591"/>
      <c r="H3" s="4591"/>
      <c r="I3" s="1302"/>
      <c r="J3" s="4593" t="s">
        <v>3461</v>
      </c>
      <c r="K3" s="4593"/>
      <c r="L3" s="810"/>
      <c r="M3" s="810"/>
    </row>
    <row r="4" spans="1:13">
      <c r="J4" s="4593"/>
      <c r="K4" s="4593"/>
    </row>
    <row r="5" spans="1:13" ht="12" customHeight="1">
      <c r="A5" s="774">
        <v>1</v>
      </c>
      <c r="C5" s="774" t="s">
        <v>2741</v>
      </c>
      <c r="E5" s="792" t="str">
        <f>'Sensitivity Analysis'!H9</f>
        <v>(Enter name as it will appear on all legal documents)</v>
      </c>
      <c r="J5" s="4593"/>
      <c r="K5" s="4593"/>
    </row>
    <row r="6" spans="1:13" ht="3" customHeight="1">
      <c r="H6" s="776"/>
      <c r="J6" s="4593"/>
      <c r="K6" s="4593"/>
    </row>
    <row r="7" spans="1:13" ht="12" customHeight="1">
      <c r="A7" s="774">
        <v>2</v>
      </c>
      <c r="C7" s="774" t="s">
        <v>2742</v>
      </c>
      <c r="E7" s="792">
        <f>'Part II-Development Team'!H7</f>
        <v>0</v>
      </c>
      <c r="J7" s="4593"/>
      <c r="K7" s="4593"/>
    </row>
    <row r="8" spans="1:13" ht="12" customHeight="1">
      <c r="E8" s="792" t="str">
        <f>+'Part II-Development Team'!H8&amp;","&amp;" "&amp;'Part II-Development Team'!H9&amp;" "&amp;LEFT('Part II-Development Team'!J9,5)</f>
        <v xml:space="preserve">,  </v>
      </c>
      <c r="J8" s="4593"/>
      <c r="K8" s="4593"/>
    </row>
    <row r="9" spans="1:13" ht="12" customHeight="1">
      <c r="C9" s="774" t="s">
        <v>2743</v>
      </c>
      <c r="E9" s="4592">
        <f>'Part II-Development Team'!L8</f>
        <v>0</v>
      </c>
      <c r="F9" s="4592"/>
      <c r="J9" s="4593"/>
      <c r="K9" s="4593"/>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 xml:space="preserve">Gibson Park </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6100000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72</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4607629.9410127169</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354552</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81015</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7" t="s">
        <v>2962</v>
      </c>
      <c r="B1" s="4597"/>
      <c r="C1" s="4597"/>
      <c r="D1" s="4597"/>
      <c r="E1" s="4597"/>
      <c r="F1" s="4597"/>
      <c r="G1" s="4597"/>
      <c r="H1" s="4597"/>
      <c r="I1" s="4597"/>
      <c r="J1" s="4597"/>
    </row>
    <row r="2" spans="1:13" ht="15">
      <c r="A2" s="4597" t="str">
        <f>'Sensitivity Analysis'!E8&amp;"  "&amp;'Sensitivity Analysis'!C8</f>
        <v xml:space="preserve">2022-0  Gibson Park </v>
      </c>
      <c r="B2" s="4597"/>
      <c r="C2" s="4597"/>
      <c r="D2" s="4597"/>
      <c r="E2" s="4597"/>
      <c r="F2" s="4597"/>
      <c r="G2" s="4597"/>
      <c r="H2" s="4597"/>
      <c r="I2" s="4597"/>
      <c r="J2" s="4597"/>
    </row>
    <row r="3" spans="1:13" ht="6" customHeight="1">
      <c r="K3" s="4593" t="s">
        <v>3461</v>
      </c>
      <c r="L3" s="4593"/>
      <c r="M3" s="4593"/>
    </row>
    <row r="4" spans="1:13" ht="12" customHeight="1">
      <c r="A4" s="779" t="s">
        <v>2780</v>
      </c>
      <c r="K4" s="4593"/>
      <c r="L4" s="4593"/>
      <c r="M4" s="4593"/>
    </row>
    <row r="5" spans="1:13" ht="12" customHeight="1">
      <c r="A5" s="774" t="s">
        <v>2781</v>
      </c>
      <c r="C5" s="780" t="str">
        <f>'Subsidy Layering Memo'!D6</f>
        <v>(Underwriter)</v>
      </c>
      <c r="I5" s="780"/>
      <c r="K5" s="4593"/>
      <c r="L5" s="4593"/>
      <c r="M5" s="4593"/>
    </row>
    <row r="6" spans="1:13" ht="6" customHeight="1">
      <c r="C6" s="711"/>
      <c r="D6" s="780"/>
      <c r="I6" s="780"/>
      <c r="K6" s="4593"/>
      <c r="L6" s="4593"/>
      <c r="M6" s="4593"/>
    </row>
    <row r="7" spans="1:13" ht="12" customHeight="1">
      <c r="A7" s="779" t="s">
        <v>2782</v>
      </c>
      <c r="C7" s="711"/>
      <c r="D7" s="780"/>
      <c r="I7" s="780"/>
      <c r="K7" s="4593"/>
      <c r="L7" s="4593"/>
      <c r="M7" s="4593"/>
    </row>
    <row r="8" spans="1:13" ht="12" customHeight="1">
      <c r="A8" s="774" t="s">
        <v>2783</v>
      </c>
      <c r="C8" s="780" t="str">
        <f>'Sensitivity Analysis'!$H$9</f>
        <v>(Enter name as it will appear on all legal documents)</v>
      </c>
      <c r="I8" s="780"/>
      <c r="K8" s="4593"/>
      <c r="L8" s="4593"/>
      <c r="M8" s="4593"/>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6"/>
      <c r="E13" s="4596"/>
      <c r="F13" s="4596"/>
      <c r="G13" s="4596"/>
      <c r="H13" s="4596"/>
      <c r="I13" s="4596"/>
      <c r="J13" s="4596"/>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 xml:space="preserve">Gibson Park </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598" t="str">
        <f>_xlfn.CONCAT('Part VII-Threshold Criteria'!K192," and ",'Part VII-Threshold Criteria'!K193)</f>
        <v>Building and Gazebo</v>
      </c>
      <c r="D39" s="4598"/>
      <c r="E39" s="4598"/>
      <c r="F39" s="4598"/>
      <c r="G39" s="4598"/>
      <c r="H39" s="4598"/>
      <c r="I39" s="4598"/>
      <c r="J39" s="4598"/>
    </row>
    <row r="40" spans="1:10" ht="25.5" customHeight="1">
      <c r="A40" s="787" t="s">
        <v>6173</v>
      </c>
      <c r="C40" s="459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598"/>
      <c r="E40" s="4598"/>
      <c r="F40" s="4598"/>
      <c r="G40" s="4598"/>
      <c r="H40" s="4598"/>
      <c r="I40" s="4598"/>
      <c r="J40" s="4598"/>
    </row>
    <row r="41" spans="1:10" ht="3" customHeight="1">
      <c r="G41" s="711"/>
      <c r="H41" s="711"/>
      <c r="I41" s="711"/>
    </row>
    <row r="42" spans="1:10" ht="25.5" customHeight="1">
      <c r="A42" s="787" t="s">
        <v>2800</v>
      </c>
      <c r="C42" s="4599" t="s">
        <v>3111</v>
      </c>
      <c r="D42" s="4599"/>
      <c r="E42" s="4599"/>
      <c r="F42" s="4599"/>
      <c r="G42" s="4599"/>
      <c r="H42" s="4599"/>
      <c r="I42" s="4599"/>
      <c r="J42" s="4599"/>
    </row>
    <row r="43" spans="1:10" ht="3" customHeight="1">
      <c r="C43" s="574"/>
      <c r="D43" s="574"/>
      <c r="E43" s="574"/>
      <c r="F43" s="574"/>
      <c r="G43" s="574"/>
      <c r="H43" s="575"/>
      <c r="I43" s="576"/>
      <c r="J43" s="575"/>
    </row>
    <row r="44" spans="1:10" ht="12" customHeight="1">
      <c r="A44" s="774" t="s">
        <v>2801</v>
      </c>
      <c r="C44" s="650" t="str">
        <f>'Part I-Project Identification'!J30</f>
        <v>Fulton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599" t="s">
        <v>533</v>
      </c>
      <c r="D50" s="4599"/>
      <c r="E50" s="4599"/>
      <c r="F50" s="4599"/>
      <c r="G50" s="4599"/>
      <c r="H50" s="4599"/>
      <c r="I50" s="4599"/>
      <c r="J50" s="4599"/>
    </row>
    <row r="51" spans="1:10" ht="12" customHeight="1">
      <c r="C51" s="4602" t="s">
        <v>1678</v>
      </c>
      <c r="D51" s="4602"/>
      <c r="E51" s="4602"/>
      <c r="F51" s="4602"/>
      <c r="G51" s="4602"/>
      <c r="H51" s="4602"/>
      <c r="I51" s="4602"/>
      <c r="J51" s="4602"/>
    </row>
    <row r="52" spans="1:10" ht="3" customHeight="1">
      <c r="D52" s="789"/>
      <c r="E52" s="789"/>
      <c r="F52" s="789"/>
      <c r="G52" s="790"/>
      <c r="H52" s="711"/>
      <c r="I52" s="789"/>
      <c r="J52" s="789"/>
    </row>
    <row r="53" spans="1:10" ht="12" customHeight="1">
      <c r="A53" s="787" t="s">
        <v>2805</v>
      </c>
      <c r="B53" s="787"/>
      <c r="C53" s="791" t="s">
        <v>2806</v>
      </c>
      <c r="D53" s="791" t="s">
        <v>3112</v>
      </c>
      <c r="E53" s="4603"/>
      <c r="F53" s="4603"/>
      <c r="G53" s="4603"/>
      <c r="H53" s="4603"/>
      <c r="I53" s="4603"/>
      <c r="J53" s="4603"/>
    </row>
    <row r="54" spans="1:10" ht="12" customHeight="1">
      <c r="A54" s="787"/>
      <c r="B54" s="787"/>
      <c r="C54" s="787"/>
      <c r="D54" s="791" t="s">
        <v>3113</v>
      </c>
      <c r="E54" s="4604"/>
      <c r="F54" s="4604"/>
      <c r="G54" s="4604"/>
      <c r="H54" s="4604"/>
      <c r="I54" s="4604"/>
      <c r="J54" s="4604"/>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6100000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6"/>
      <c r="E69" s="4596"/>
      <c r="F69" s="4596"/>
      <c r="G69" s="4596"/>
      <c r="H69" s="4596"/>
      <c r="I69" s="4596"/>
      <c r="J69" s="4596"/>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4607629.9410127169</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Synovus Bank Construction Loan</v>
      </c>
      <c r="I93" s="711"/>
    </row>
    <row r="94" spans="1:9" ht="12" customHeight="1">
      <c r="C94" s="806"/>
      <c r="D94" s="711"/>
      <c r="E94" s="792" t="s">
        <v>1671</v>
      </c>
      <c r="F94" s="4605"/>
      <c r="G94" s="4605"/>
      <c r="H94" s="4605"/>
      <c r="I94" s="711"/>
    </row>
    <row r="95" spans="1:9" ht="12" customHeight="1">
      <c r="C95" s="792"/>
      <c r="D95" s="711"/>
      <c r="E95" s="792" t="s">
        <v>1841</v>
      </c>
      <c r="F95" s="4606"/>
      <c r="G95" s="4606"/>
      <c r="H95" s="4606"/>
      <c r="I95" s="711"/>
    </row>
    <row r="96" spans="1:9" ht="12" customHeight="1">
      <c r="C96" s="792"/>
      <c r="D96" s="711"/>
      <c r="E96" s="792" t="s">
        <v>1673</v>
      </c>
      <c r="F96" s="4601"/>
      <c r="G96" s="4601"/>
      <c r="H96" s="4601"/>
      <c r="I96" s="711"/>
    </row>
    <row r="97" spans="1:10" ht="12" customHeight="1">
      <c r="B97" s="783"/>
      <c r="C97" s="795" t="s">
        <v>2974</v>
      </c>
      <c r="D97" s="711" t="s">
        <v>2833</v>
      </c>
      <c r="E97" s="792" t="str">
        <f>'Part II-Sources of Funds'!E40</f>
        <v>Regions Bank</v>
      </c>
      <c r="I97" s="711"/>
    </row>
    <row r="98" spans="1:10" ht="12" customHeight="1">
      <c r="C98" s="792"/>
      <c r="D98" s="711"/>
      <c r="E98" s="792" t="s">
        <v>1671</v>
      </c>
      <c r="F98" s="4605"/>
      <c r="G98" s="4605"/>
      <c r="H98" s="4605"/>
      <c r="I98" s="711"/>
    </row>
    <row r="99" spans="1:10" ht="12" customHeight="1">
      <c r="C99" s="792"/>
      <c r="D99" s="711"/>
      <c r="E99" s="792" t="s">
        <v>1841</v>
      </c>
      <c r="F99" s="4606"/>
      <c r="G99" s="4606"/>
      <c r="H99" s="4606"/>
      <c r="I99" s="711"/>
    </row>
    <row r="100" spans="1:10" ht="12" customHeight="1">
      <c r="C100" s="792"/>
      <c r="D100" s="711"/>
      <c r="E100" s="792" t="s">
        <v>1673</v>
      </c>
      <c r="F100" s="4601"/>
      <c r="G100" s="4601"/>
      <c r="H100" s="4601"/>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7"/>
      <c r="E107" s="4607"/>
      <c r="F107" s="4607"/>
      <c r="G107" s="4607"/>
      <c r="H107" s="4607"/>
      <c r="I107" s="4607"/>
      <c r="J107" s="4608"/>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5" t="s">
        <v>6177</v>
      </c>
      <c r="F120" s="4595"/>
      <c r="G120" s="4595"/>
      <c r="H120" s="4595"/>
      <c r="I120" s="4595"/>
      <c r="J120" s="4595"/>
    </row>
    <row r="121" spans="1:10" ht="12" customHeight="1">
      <c r="C121" s="711" t="s">
        <v>2844</v>
      </c>
      <c r="D121" s="1269"/>
      <c r="E121" s="4595"/>
      <c r="F121" s="4595"/>
      <c r="G121" s="4595"/>
      <c r="H121" s="4595"/>
      <c r="I121" s="4595"/>
      <c r="J121" s="4595"/>
    </row>
    <row r="122" spans="1:10" ht="12" customHeight="1">
      <c r="C122" s="711" t="s">
        <v>2845</v>
      </c>
      <c r="D122" s="1269"/>
      <c r="E122" s="4595"/>
      <c r="F122" s="4595"/>
      <c r="G122" s="4595"/>
      <c r="H122" s="4595"/>
      <c r="I122" s="4595"/>
      <c r="J122" s="4595"/>
    </row>
    <row r="123" spans="1:10" ht="12" customHeight="1">
      <c r="C123" s="711" t="s">
        <v>2845</v>
      </c>
      <c r="D123" s="1269"/>
      <c r="E123" s="4595"/>
      <c r="F123" s="4595"/>
      <c r="G123" s="4595"/>
      <c r="H123" s="4595"/>
      <c r="I123" s="4595"/>
      <c r="J123" s="4595"/>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534181</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6"/>
      <c r="F166" s="4596"/>
      <c r="G166" s="4596"/>
      <c r="I166" s="711"/>
    </row>
    <row r="167" spans="1:13" ht="3" customHeight="1">
      <c r="E167" s="711"/>
      <c r="G167" s="711"/>
      <c r="I167" s="711"/>
    </row>
    <row r="168" spans="1:13" ht="12" customHeight="1">
      <c r="A168" s="774" t="s">
        <v>2868</v>
      </c>
      <c r="C168" s="774" t="s">
        <v>2869</v>
      </c>
      <c r="E168" s="813">
        <f>'Preview term'!F73</f>
        <v>354552</v>
      </c>
      <c r="G168" s="711"/>
      <c r="I168" s="711"/>
    </row>
    <row r="169" spans="1:13" ht="12" customHeight="1">
      <c r="C169" s="774" t="s">
        <v>3118</v>
      </c>
      <c r="E169" s="4596"/>
      <c r="F169" s="4596"/>
      <c r="G169" s="4596"/>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18000</v>
      </c>
      <c r="F174" s="780" t="s">
        <v>2873</v>
      </c>
      <c r="J174" s="810"/>
      <c r="K174" s="810"/>
      <c r="L174" s="810"/>
      <c r="M174" s="810"/>
    </row>
    <row r="175" spans="1:13">
      <c r="E175" s="813">
        <f>E174/12</f>
        <v>1500</v>
      </c>
      <c r="F175" s="711" t="s">
        <v>2738</v>
      </c>
    </row>
    <row r="176" spans="1:13" ht="12" customHeight="1">
      <c r="C176" s="774" t="s">
        <v>3119</v>
      </c>
      <c r="E176" s="4596"/>
      <c r="F176" s="4596"/>
      <c r="G176" s="4596"/>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6"/>
      <c r="G181" s="4596"/>
      <c r="H181" s="4596"/>
      <c r="I181" s="4596"/>
      <c r="J181" s="4596"/>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81015</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4">
        <f>'Part VII-Threshold Criteria'!E372</f>
        <v>0</v>
      </c>
      <c r="G199" s="4594"/>
      <c r="H199" s="4594"/>
      <c r="I199" s="4594"/>
      <c r="J199" s="4594"/>
    </row>
    <row r="200" spans="1:10" ht="9" customHeight="1">
      <c r="G200" s="711"/>
      <c r="H200" s="711"/>
      <c r="I200" s="711"/>
    </row>
    <row r="201" spans="1:10" ht="12" customHeight="1">
      <c r="A201" s="815" t="s">
        <v>2963</v>
      </c>
      <c r="G201" s="711"/>
      <c r="H201" s="711"/>
      <c r="I201" s="799"/>
    </row>
    <row r="202" spans="1:10" ht="25.5" hidden="1" customHeight="1">
      <c r="A202" s="4600" t="str">
        <f>'Subsidy Layering Memo'!A105</f>
        <v>Include any reserve requirements; explain any reserves far in excess of 6 month ODR, 3 mo lease up, 1 year RR, 6 mo T&amp;I standards.</v>
      </c>
      <c r="B202" s="4600"/>
      <c r="C202" s="4600"/>
      <c r="D202" s="4600"/>
      <c r="E202" s="4600"/>
      <c r="F202" s="4600"/>
      <c r="G202" s="4600"/>
      <c r="H202" s="4600"/>
      <c r="I202" s="4600"/>
      <c r="J202" s="4600"/>
    </row>
    <row r="203" spans="1:10">
      <c r="A203" s="711"/>
      <c r="G203" s="711"/>
      <c r="H203" s="711"/>
      <c r="I203" s="711"/>
    </row>
    <row r="204" spans="1:10" s="663" customFormat="1" ht="15">
      <c r="A204" s="669" t="s">
        <v>6161</v>
      </c>
    </row>
    <row r="205" spans="1:10" s="663" customFormat="1" ht="14.25" customHeight="1">
      <c r="A205" s="45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1"/>
      <c r="C205" s="4561"/>
      <c r="D205" s="4561"/>
      <c r="E205" s="4561"/>
      <c r="F205" s="4561"/>
      <c r="G205" s="4561"/>
      <c r="H205" s="4561"/>
      <c r="I205" s="4561"/>
      <c r="J205" s="4561"/>
    </row>
    <row r="206" spans="1:10" s="663" customFormat="1" ht="14.25" customHeight="1">
      <c r="A206" s="4561"/>
      <c r="B206" s="4561"/>
      <c r="C206" s="4561"/>
      <c r="D206" s="4561"/>
      <c r="E206" s="4561"/>
      <c r="F206" s="4561"/>
      <c r="G206" s="4561"/>
      <c r="H206" s="4561"/>
      <c r="I206" s="4561"/>
      <c r="J206" s="4561"/>
    </row>
    <row r="207" spans="1:10" s="663" customFormat="1" ht="6.75" customHeight="1">
      <c r="A207" s="4561"/>
      <c r="B207" s="4561"/>
      <c r="C207" s="4561"/>
      <c r="D207" s="4561"/>
      <c r="E207" s="4561"/>
      <c r="F207" s="4561"/>
      <c r="G207" s="4561"/>
      <c r="H207" s="4561"/>
      <c r="I207" s="4561"/>
      <c r="J207" s="4561"/>
    </row>
    <row r="208" spans="1:10" s="663" customFormat="1" ht="21.75" customHeight="1">
      <c r="A208" s="4561"/>
      <c r="B208" s="4561"/>
      <c r="C208" s="4561"/>
      <c r="D208" s="4561"/>
      <c r="E208" s="4561"/>
      <c r="F208" s="4561"/>
      <c r="G208" s="4561"/>
      <c r="H208" s="4561"/>
      <c r="I208" s="4561"/>
      <c r="J208" s="4561"/>
    </row>
    <row r="209" spans="1:10" s="663" customFormat="1" ht="20.25" customHeight="1">
      <c r="A209" s="4561"/>
      <c r="B209" s="4561"/>
      <c r="C209" s="4561"/>
      <c r="D209" s="4561"/>
      <c r="E209" s="4561"/>
      <c r="F209" s="4561"/>
      <c r="G209" s="4561"/>
      <c r="H209" s="4561"/>
      <c r="I209" s="4561"/>
      <c r="J209" s="4561"/>
    </row>
    <row r="210" spans="1:10" s="663" customFormat="1" ht="54.75" customHeight="1">
      <c r="A210" s="4561"/>
      <c r="B210" s="4561"/>
      <c r="C210" s="4561"/>
      <c r="D210" s="4561"/>
      <c r="E210" s="4561"/>
      <c r="F210" s="4561"/>
      <c r="G210" s="4561"/>
      <c r="H210" s="4561"/>
      <c r="I210" s="4561"/>
      <c r="J210" s="4561"/>
    </row>
    <row r="211" spans="1:10" s="663" customFormat="1" ht="0.75" hidden="1" customHeight="1">
      <c r="A211" s="4561"/>
      <c r="B211" s="4561"/>
      <c r="C211" s="4561"/>
      <c r="D211" s="4561"/>
      <c r="E211" s="4561"/>
      <c r="F211" s="4561"/>
      <c r="G211" s="4561"/>
      <c r="H211" s="4561"/>
      <c r="I211" s="4561"/>
      <c r="J211" s="4561"/>
    </row>
    <row r="212" spans="1:10" s="663" customFormat="1" ht="3.75" hidden="1" customHeight="1">
      <c r="A212" s="4561"/>
      <c r="B212" s="4561"/>
      <c r="C212" s="4561"/>
      <c r="D212" s="4561"/>
      <c r="E212" s="4561"/>
      <c r="F212" s="4561"/>
      <c r="G212" s="4561"/>
      <c r="H212" s="4561"/>
      <c r="I212" s="4561"/>
      <c r="J212" s="4561"/>
    </row>
    <row r="213" spans="1:10" s="663" customFormat="1" ht="5.25" customHeight="1">
      <c r="A213" s="1988"/>
      <c r="B213" s="1988"/>
      <c r="C213" s="1988"/>
      <c r="D213" s="1988"/>
      <c r="E213" s="1988"/>
      <c r="F213" s="1988"/>
      <c r="G213" s="1988"/>
      <c r="H213" s="1988"/>
      <c r="I213" s="1988"/>
      <c r="J213" s="1988"/>
    </row>
    <row r="214" spans="1:10" s="663" customFormat="1" ht="19.5" customHeight="1">
      <c r="A214" s="4560" t="s">
        <v>6164</v>
      </c>
      <c r="B214" s="4560"/>
      <c r="C214" s="4560"/>
      <c r="D214" s="1987"/>
      <c r="E214" s="1987"/>
      <c r="F214" s="1987"/>
      <c r="G214" s="1987"/>
      <c r="H214" s="1987"/>
      <c r="I214" s="1987"/>
      <c r="J214" s="1987"/>
    </row>
    <row r="215" spans="1:10" s="663" customFormat="1" ht="22.5" customHeight="1">
      <c r="A215" s="4557" t="str">
        <f>'Subsidy Layering Memo'!A37</f>
        <v>1)</v>
      </c>
      <c r="B215" s="4557"/>
      <c r="C215" s="4557"/>
      <c r="D215" s="4557"/>
      <c r="E215" s="4557"/>
      <c r="F215" s="4557"/>
      <c r="G215" s="4557"/>
      <c r="H215" s="4557"/>
      <c r="I215" s="4557"/>
      <c r="J215" s="4557"/>
    </row>
    <row r="216" spans="1:10" s="663" customFormat="1" ht="22.5" customHeight="1">
      <c r="A216" s="4557" t="str">
        <f>'Subsidy Layering Memo'!A38</f>
        <v>2)</v>
      </c>
      <c r="B216" s="4557"/>
      <c r="C216" s="4557"/>
      <c r="D216" s="4557"/>
      <c r="E216" s="4557"/>
      <c r="F216" s="4557"/>
      <c r="G216" s="4557"/>
      <c r="H216" s="4557"/>
      <c r="I216" s="4557"/>
      <c r="J216" s="4557"/>
    </row>
    <row r="217" spans="1:10" s="663" customFormat="1" ht="22.5" customHeight="1">
      <c r="A217" s="4557" t="str">
        <f>'Subsidy Layering Memo'!A39</f>
        <v>3)</v>
      </c>
      <c r="B217" s="4557"/>
      <c r="C217" s="4557"/>
      <c r="D217" s="4557"/>
      <c r="E217" s="4557"/>
      <c r="F217" s="4557"/>
      <c r="G217" s="4557"/>
      <c r="H217" s="4557"/>
      <c r="I217" s="4557"/>
      <c r="J217" s="4557"/>
    </row>
    <row r="218" spans="1:10" s="663" customFormat="1" ht="22.5" customHeight="1">
      <c r="A218" s="4557" t="str">
        <f>'Subsidy Layering Memo'!A40</f>
        <v>4)</v>
      </c>
      <c r="B218" s="4557"/>
      <c r="C218" s="4557"/>
      <c r="D218" s="4557"/>
      <c r="E218" s="4557"/>
      <c r="F218" s="4557"/>
      <c r="G218" s="4557"/>
      <c r="H218" s="4557"/>
      <c r="I218" s="4557"/>
      <c r="J218" s="4557"/>
    </row>
    <row r="219" spans="1:10" s="663" customFormat="1" ht="22.5" customHeight="1">
      <c r="A219" s="4557" t="str">
        <f>'Subsidy Layering Memo'!A41</f>
        <v>5)</v>
      </c>
      <c r="B219" s="4557"/>
      <c r="C219" s="4557"/>
      <c r="D219" s="4557"/>
      <c r="E219" s="4557"/>
      <c r="F219" s="4557"/>
      <c r="G219" s="4557"/>
      <c r="H219" s="4557"/>
      <c r="I219" s="4557"/>
      <c r="J219" s="4557"/>
    </row>
    <row r="220" spans="1:10" s="663" customFormat="1" ht="22.5" customHeight="1">
      <c r="A220" s="4557" t="str">
        <f>'Subsidy Layering Memo'!A42</f>
        <v>6)</v>
      </c>
      <c r="B220" s="4557"/>
      <c r="C220" s="4557"/>
      <c r="D220" s="4557"/>
      <c r="E220" s="4557"/>
      <c r="F220" s="4557"/>
      <c r="G220" s="4557"/>
      <c r="H220" s="4557"/>
      <c r="I220" s="4557"/>
      <c r="J220" s="4557"/>
    </row>
    <row r="221" spans="1:10" s="663" customFormat="1" ht="22.5" customHeight="1">
      <c r="A221" s="4557" t="str">
        <f>'Subsidy Layering Memo'!A43</f>
        <v>7)</v>
      </c>
      <c r="B221" s="4557"/>
      <c r="C221" s="4557"/>
      <c r="D221" s="4557"/>
      <c r="E221" s="4557"/>
      <c r="F221" s="4557"/>
      <c r="G221" s="4557"/>
      <c r="H221" s="4557"/>
      <c r="I221" s="4557"/>
      <c r="J221" s="4557"/>
    </row>
    <row r="222" spans="1:10" s="663" customFormat="1" ht="22.5" customHeight="1">
      <c r="A222" s="4557" t="str">
        <f>'Subsidy Layering Memo'!A44</f>
        <v>8)</v>
      </c>
      <c r="B222" s="4557"/>
      <c r="C222" s="4557"/>
      <c r="D222" s="4557"/>
      <c r="E222" s="4557"/>
      <c r="F222" s="4557"/>
      <c r="G222" s="4557"/>
      <c r="H222" s="4557"/>
      <c r="I222" s="4557"/>
      <c r="J222" s="455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8" t="str">
        <f>'Part I-Project Identification'!F29</f>
        <v xml:space="preserve">Gibson Park </v>
      </c>
      <c r="E3" s="4669"/>
      <c r="F3" s="4669"/>
      <c r="G3" s="4669"/>
      <c r="H3" s="4669"/>
      <c r="I3" s="4669"/>
      <c r="J3" s="4670" t="s">
        <v>6178</v>
      </c>
      <c r="K3" s="4671"/>
    </row>
    <row r="4" spans="1:11" ht="15" customHeight="1">
      <c r="A4" s="1696" t="s">
        <v>3973</v>
      </c>
      <c r="B4" s="1697"/>
      <c r="C4" s="1698"/>
      <c r="D4" s="4672" t="e">
        <f>CONCATENATE('Part I-Project Identification'!#REF!,", ",'Part I-Project Identification'!F30,", GA ",'Part I-Project Identification'!#REF!," (",'Part I-Project Identification'!J30," Co.)",)</f>
        <v>#REF!</v>
      </c>
      <c r="E4" s="4673"/>
      <c r="F4" s="4673"/>
      <c r="G4" s="4673"/>
      <c r="H4" s="4673"/>
      <c r="I4" s="4673"/>
      <c r="J4" s="4674" t="s">
        <v>4014</v>
      </c>
      <c r="K4" s="4675"/>
    </row>
    <row r="5" spans="1:11" ht="15" customHeight="1" thickBot="1">
      <c r="A5" s="1699" t="s">
        <v>3974</v>
      </c>
      <c r="B5" s="1700"/>
      <c r="C5" s="1701"/>
      <c r="D5" s="4678"/>
      <c r="E5" s="4679"/>
      <c r="F5" s="4679"/>
      <c r="G5" s="4679"/>
      <c r="H5" s="4679"/>
      <c r="I5" s="4679"/>
      <c r="J5" s="4676"/>
      <c r="K5" s="4677"/>
    </row>
    <row r="6" spans="1:11" ht="9" customHeight="1" thickBot="1">
      <c r="E6" s="1691"/>
    </row>
    <row r="7" spans="1:11">
      <c r="A7" s="4686" t="s">
        <v>3976</v>
      </c>
      <c r="B7" s="4687"/>
      <c r="C7" s="4687"/>
      <c r="D7" s="4687"/>
      <c r="E7" s="4687"/>
      <c r="F7" s="4687"/>
      <c r="G7" s="4687"/>
      <c r="H7" s="4687"/>
      <c r="I7" s="4687"/>
      <c r="J7" s="4687"/>
      <c r="K7" s="4688"/>
    </row>
    <row r="8" spans="1:11" ht="14.25" customHeight="1">
      <c r="A8" s="1717"/>
      <c r="B8" s="1717"/>
      <c r="C8" s="2011">
        <v>1</v>
      </c>
      <c r="D8" s="1718" t="s">
        <v>3977</v>
      </c>
      <c r="E8" s="1718"/>
      <c r="F8" s="1718"/>
      <c r="G8" s="1718"/>
      <c r="H8" s="1718"/>
      <c r="I8" s="1718"/>
      <c r="J8" s="4684"/>
      <c r="K8" s="4685"/>
    </row>
    <row r="9" spans="1:11" ht="7.15" customHeight="1">
      <c r="A9" s="4619"/>
      <c r="B9" s="4619"/>
      <c r="C9" s="4619"/>
      <c r="D9" s="4620"/>
      <c r="E9" s="4620"/>
      <c r="F9" s="4620"/>
      <c r="G9" s="4620"/>
      <c r="H9" s="4620"/>
      <c r="I9" s="4620"/>
      <c r="J9" s="4620"/>
      <c r="K9" s="1719"/>
    </row>
    <row r="10" spans="1:11">
      <c r="A10" s="4689" t="s">
        <v>3978</v>
      </c>
      <c r="B10" s="4690"/>
      <c r="C10" s="4690"/>
      <c r="D10" s="4690"/>
      <c r="E10" s="4690"/>
      <c r="F10" s="4690"/>
      <c r="G10" s="4690"/>
      <c r="H10" s="4690"/>
      <c r="I10" s="4690"/>
      <c r="J10" s="4690"/>
      <c r="K10" s="4691"/>
    </row>
    <row r="11" spans="1:11" ht="14.25" customHeight="1">
      <c r="A11" s="1717"/>
      <c r="B11" s="1717"/>
      <c r="C11" s="2011">
        <v>2</v>
      </c>
      <c r="D11" s="1718" t="s">
        <v>3979</v>
      </c>
      <c r="E11" s="1720"/>
      <c r="F11" s="1720"/>
      <c r="G11" s="1720"/>
      <c r="H11" s="1720"/>
      <c r="I11" s="1720"/>
      <c r="J11" s="4682"/>
      <c r="K11" s="4683"/>
    </row>
    <row r="12" spans="1:11" ht="7.15" customHeight="1">
      <c r="A12" s="4619"/>
      <c r="B12" s="4619"/>
      <c r="C12" s="4619"/>
      <c r="D12" s="4620"/>
      <c r="E12" s="4620"/>
      <c r="F12" s="4620"/>
      <c r="G12" s="4620"/>
      <c r="H12" s="4620"/>
      <c r="I12" s="4620"/>
      <c r="J12" s="4620"/>
      <c r="K12" s="1993"/>
    </row>
    <row r="13" spans="1:11">
      <c r="A13" s="4689" t="s">
        <v>3980</v>
      </c>
      <c r="B13" s="4690"/>
      <c r="C13" s="4690"/>
      <c r="D13" s="4690"/>
      <c r="E13" s="4690"/>
      <c r="F13" s="4690"/>
      <c r="G13" s="4690"/>
      <c r="H13" s="4690"/>
      <c r="I13" s="4690"/>
      <c r="J13" s="4690"/>
      <c r="K13" s="4691"/>
    </row>
    <row r="14" spans="1:11" ht="14.25" customHeight="1">
      <c r="A14" s="1697"/>
      <c r="B14" s="1697"/>
      <c r="C14" s="2012">
        <v>3</v>
      </c>
      <c r="D14" s="1722" t="s">
        <v>3981</v>
      </c>
      <c r="E14" s="1722"/>
      <c r="F14" s="1722"/>
      <c r="G14" s="1722"/>
      <c r="H14" s="1722"/>
      <c r="I14" s="1722"/>
      <c r="J14" s="4680"/>
      <c r="K14" s="4681"/>
    </row>
    <row r="15" spans="1:11" ht="14.25" customHeight="1">
      <c r="A15" s="1697"/>
      <c r="B15" s="1697"/>
      <c r="C15" s="2013">
        <v>4</v>
      </c>
      <c r="D15" s="1697" t="s">
        <v>3982</v>
      </c>
      <c r="E15" s="1697"/>
      <c r="F15" s="1697"/>
      <c r="G15" s="1697"/>
      <c r="H15" s="1697"/>
      <c r="I15" s="1697"/>
      <c r="J15" s="4617"/>
      <c r="K15" s="4618"/>
    </row>
    <row r="16" spans="1:11" ht="14.25" customHeight="1">
      <c r="A16" s="1697"/>
      <c r="B16" s="1697"/>
      <c r="C16" s="2013">
        <v>5</v>
      </c>
      <c r="D16" s="1697" t="s">
        <v>3983</v>
      </c>
      <c r="E16" s="1697"/>
      <c r="F16" s="1697"/>
      <c r="G16" s="1697"/>
      <c r="H16" s="1697"/>
      <c r="I16" s="1697"/>
      <c r="J16" s="4617"/>
      <c r="K16" s="4618"/>
    </row>
    <row r="17" spans="1:13" ht="14.25" customHeight="1">
      <c r="A17" s="1717"/>
      <c r="B17" s="1717"/>
      <c r="C17" s="2014">
        <v>6</v>
      </c>
      <c r="D17" s="1700" t="s">
        <v>3984</v>
      </c>
      <c r="E17" s="1700"/>
      <c r="F17" s="1700"/>
      <c r="G17" s="1700"/>
      <c r="H17" s="1700"/>
      <c r="I17" s="1700"/>
      <c r="J17" s="4615"/>
      <c r="K17" s="4616"/>
    </row>
    <row r="18" spans="1:13" ht="7.15" customHeight="1">
      <c r="A18" s="4619"/>
      <c r="B18" s="4619"/>
      <c r="C18" s="4619"/>
      <c r="D18" s="4620"/>
      <c r="E18" s="4620"/>
      <c r="F18" s="4620"/>
      <c r="G18" s="4620"/>
      <c r="H18" s="4620"/>
      <c r="I18" s="4620"/>
      <c r="J18" s="4620"/>
      <c r="K18" s="1993"/>
    </row>
    <row r="19" spans="1:13" ht="14.25" customHeight="1">
      <c r="A19" s="1697"/>
      <c r="B19" s="1697"/>
      <c r="C19" s="2012">
        <v>7</v>
      </c>
      <c r="D19" s="1722" t="s">
        <v>3985</v>
      </c>
      <c r="E19" s="1722"/>
      <c r="F19" s="1722"/>
      <c r="G19" s="1722"/>
      <c r="H19" s="1722"/>
      <c r="I19" s="1722"/>
      <c r="J19" s="4613" t="str">
        <f>IF(J17="No",J14-J15,IF(J17="Yes",J14-J15-J16,"Error"))</f>
        <v>Error</v>
      </c>
      <c r="K19" s="4614"/>
    </row>
    <row r="20" spans="1:13" ht="14.25" customHeight="1">
      <c r="A20" s="1717"/>
      <c r="B20" s="1717"/>
      <c r="C20" s="2014">
        <v>8</v>
      </c>
      <c r="D20" s="1700" t="s">
        <v>3986</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993"/>
    </row>
    <row r="22" spans="1:13" ht="14.25" customHeight="1" thickBot="1">
      <c r="A22" s="1697"/>
      <c r="B22" s="1697"/>
      <c r="C22" s="2011">
        <v>9</v>
      </c>
      <c r="D22" s="1723" t="s">
        <v>3987</v>
      </c>
      <c r="E22" s="1723"/>
      <c r="F22" s="1723"/>
      <c r="G22" s="1723"/>
      <c r="H22" s="1723"/>
      <c r="I22" s="1723"/>
      <c r="J22" s="4609" t="e">
        <f>J11/J19</f>
        <v>#VALUE!</v>
      </c>
      <c r="K22" s="4610"/>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4018</v>
      </c>
      <c r="B30" s="4657"/>
      <c r="C30" s="4657"/>
      <c r="D30" s="4657"/>
      <c r="E30" s="4657"/>
      <c r="F30" s="4657"/>
      <c r="G30" s="4657"/>
      <c r="H30" s="4657"/>
      <c r="I30" s="4657"/>
      <c r="J30" s="4657"/>
      <c r="K30" s="4658"/>
    </row>
    <row r="31" spans="1:13">
      <c r="A31" s="1715"/>
      <c r="B31" s="4659" t="s">
        <v>6178</v>
      </c>
      <c r="C31" s="4659"/>
      <c r="D31" s="4659"/>
      <c r="E31" s="4659"/>
      <c r="F31" s="4659"/>
      <c r="G31" s="4660" t="s">
        <v>3989</v>
      </c>
      <c r="H31" s="4661"/>
      <c r="I31" s="4661"/>
      <c r="J31" s="4661"/>
      <c r="K31" s="4662"/>
    </row>
    <row r="32" spans="1:13" ht="56.25" customHeight="1">
      <c r="A32" s="1992"/>
      <c r="B32" s="1735" t="s">
        <v>4017</v>
      </c>
      <c r="C32" s="1736" t="s">
        <v>4013</v>
      </c>
      <c r="D32" s="1736" t="s">
        <v>4012</v>
      </c>
      <c r="E32" s="4663" t="s">
        <v>6103</v>
      </c>
      <c r="F32" s="4664"/>
      <c r="G32" s="1737" t="s">
        <v>3990</v>
      </c>
      <c r="H32" s="1737" t="s">
        <v>3991</v>
      </c>
      <c r="J32" s="1737" t="s">
        <v>3992</v>
      </c>
      <c r="K32" s="1737" t="s">
        <v>3993</v>
      </c>
      <c r="L32" s="4665" t="s">
        <v>3994</v>
      </c>
      <c r="M32" s="4665"/>
    </row>
    <row r="33" spans="2:14" ht="12.75" customHeight="1">
      <c r="B33" s="2002"/>
      <c r="C33" s="2003"/>
      <c r="D33" s="2004"/>
      <c r="E33" s="4666"/>
      <c r="F33" s="4667"/>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2005"/>
      <c r="C34" s="2006"/>
      <c r="D34" s="2007"/>
      <c r="E34" s="4647"/>
      <c r="F34" s="4648"/>
      <c r="G34" s="1761" t="e">
        <f t="shared" si="0"/>
        <v>#VALUE!</v>
      </c>
      <c r="H34" s="1762" t="e">
        <f t="shared" ref="H34:H51" si="3">ROUNDUP(G34,0)</f>
        <v>#VALUE!</v>
      </c>
      <c r="I34" s="1759"/>
      <c r="J34" s="1763" t="e">
        <f t="shared" si="1"/>
        <v>#VALUE!</v>
      </c>
      <c r="K34" s="1763" t="e">
        <f t="shared" si="2"/>
        <v>#VALUE!</v>
      </c>
      <c r="L34" s="4665"/>
      <c r="M34" s="4665"/>
    </row>
    <row r="35" spans="2:14" ht="12.75" customHeight="1">
      <c r="B35" s="2005"/>
      <c r="C35" s="2006"/>
      <c r="D35" s="2007"/>
      <c r="E35" s="4647"/>
      <c r="F35" s="4648"/>
      <c r="G35" s="1761" t="e">
        <f t="shared" si="0"/>
        <v>#VALUE!</v>
      </c>
      <c r="H35" s="1762" t="e">
        <f t="shared" si="3"/>
        <v>#VALUE!</v>
      </c>
      <c r="I35" s="1759"/>
      <c r="J35" s="1763" t="e">
        <f t="shared" si="1"/>
        <v>#VALUE!</v>
      </c>
      <c r="K35" s="1763" t="e">
        <f t="shared" si="2"/>
        <v>#VALUE!</v>
      </c>
      <c r="L35" s="4665"/>
      <c r="M35" s="4665"/>
    </row>
    <row r="36" spans="2:14" ht="12.75" customHeight="1">
      <c r="B36" s="2005"/>
      <c r="C36" s="2006"/>
      <c r="D36" s="2007"/>
      <c r="E36" s="4647"/>
      <c r="F36" s="4648"/>
      <c r="G36" s="1761" t="e">
        <f t="shared" si="0"/>
        <v>#VALUE!</v>
      </c>
      <c r="H36" s="1762" t="e">
        <f t="shared" si="3"/>
        <v>#VALUE!</v>
      </c>
      <c r="I36" s="1759"/>
      <c r="J36" s="1763" t="e">
        <f t="shared" si="1"/>
        <v>#VALUE!</v>
      </c>
      <c r="K36" s="1763" t="e">
        <f t="shared" si="2"/>
        <v>#VALUE!</v>
      </c>
      <c r="L36" s="4665"/>
      <c r="M36" s="4665"/>
      <c r="N36" s="1710"/>
    </row>
    <row r="37" spans="2:14" ht="12.75" customHeight="1">
      <c r="B37" s="2005"/>
      <c r="C37" s="2006"/>
      <c r="D37" s="2007"/>
      <c r="E37" s="4647"/>
      <c r="F37" s="4648"/>
      <c r="G37" s="1761" t="e">
        <f t="shared" si="0"/>
        <v>#VALUE!</v>
      </c>
      <c r="H37" s="1762" t="e">
        <f t="shared" si="3"/>
        <v>#VALUE!</v>
      </c>
      <c r="I37" s="1759"/>
      <c r="J37" s="1763" t="e">
        <f t="shared" si="1"/>
        <v>#VALUE!</v>
      </c>
      <c r="K37" s="1763" t="e">
        <f t="shared" si="2"/>
        <v>#VALUE!</v>
      </c>
      <c r="L37" s="4665"/>
      <c r="M37" s="4665"/>
    </row>
    <row r="38" spans="2:14" ht="12.75" customHeight="1">
      <c r="B38" s="2005"/>
      <c r="C38" s="2006"/>
      <c r="D38" s="2007"/>
      <c r="E38" s="4647"/>
      <c r="F38" s="4648"/>
      <c r="G38" s="1761" t="e">
        <f t="shared" si="0"/>
        <v>#VALUE!</v>
      </c>
      <c r="H38" s="1762" t="e">
        <f t="shared" si="3"/>
        <v>#VALUE!</v>
      </c>
      <c r="I38" s="1759"/>
      <c r="J38" s="1763" t="e">
        <f t="shared" si="1"/>
        <v>#VALUE!</v>
      </c>
      <c r="K38" s="1763" t="e">
        <f t="shared" si="2"/>
        <v>#VALUE!</v>
      </c>
      <c r="L38" s="4665"/>
      <c r="M38" s="4665"/>
    </row>
    <row r="39" spans="2:14" ht="12.75" customHeight="1">
      <c r="B39" s="2005"/>
      <c r="C39" s="2006"/>
      <c r="D39" s="2007"/>
      <c r="E39" s="4647"/>
      <c r="F39" s="4648"/>
      <c r="G39" s="1761" t="e">
        <f t="shared" si="0"/>
        <v>#VALUE!</v>
      </c>
      <c r="H39" s="1762" t="e">
        <f t="shared" si="3"/>
        <v>#VALUE!</v>
      </c>
      <c r="I39" s="1759"/>
      <c r="J39" s="1763" t="e">
        <f t="shared" si="1"/>
        <v>#VALUE!</v>
      </c>
      <c r="K39" s="1763" t="e">
        <f t="shared" si="2"/>
        <v>#VALUE!</v>
      </c>
      <c r="L39" s="4665"/>
      <c r="M39" s="4665"/>
    </row>
    <row r="40" spans="2:14" ht="12.75" customHeight="1">
      <c r="B40" s="2005"/>
      <c r="C40" s="2006"/>
      <c r="D40" s="2007"/>
      <c r="E40" s="4647"/>
      <c r="F40" s="4648"/>
      <c r="G40" s="1761" t="e">
        <f t="shared" si="0"/>
        <v>#VALUE!</v>
      </c>
      <c r="H40" s="1762" t="e">
        <f t="shared" si="3"/>
        <v>#VALUE!</v>
      </c>
      <c r="I40" s="1759"/>
      <c r="J40" s="1763" t="e">
        <f t="shared" si="1"/>
        <v>#VALUE!</v>
      </c>
      <c r="K40" s="1763" t="e">
        <f t="shared" si="2"/>
        <v>#VALUE!</v>
      </c>
      <c r="L40" s="4665"/>
      <c r="M40" s="4665"/>
    </row>
    <row r="41" spans="2:14" ht="12.75" customHeight="1">
      <c r="B41" s="2005"/>
      <c r="C41" s="2006"/>
      <c r="D41" s="2007"/>
      <c r="E41" s="4647"/>
      <c r="F41" s="4648"/>
      <c r="G41" s="1761" t="e">
        <f t="shared" si="0"/>
        <v>#VALUE!</v>
      </c>
      <c r="H41" s="1762" t="e">
        <f t="shared" si="3"/>
        <v>#VALUE!</v>
      </c>
      <c r="I41" s="1759"/>
      <c r="J41" s="1763" t="e">
        <f t="shared" si="1"/>
        <v>#VALUE!</v>
      </c>
      <c r="K41" s="1763" t="e">
        <f t="shared" si="2"/>
        <v>#VALUE!</v>
      </c>
      <c r="L41" s="4665"/>
      <c r="M41" s="4665"/>
    </row>
    <row r="42" spans="2:14" ht="12.75" customHeight="1">
      <c r="B42" s="2005"/>
      <c r="C42" s="2006"/>
      <c r="D42" s="2007"/>
      <c r="E42" s="4647"/>
      <c r="F42" s="4648"/>
      <c r="G42" s="1761" t="e">
        <f t="shared" si="0"/>
        <v>#VALUE!</v>
      </c>
      <c r="H42" s="1762" t="e">
        <f t="shared" si="3"/>
        <v>#VALUE!</v>
      </c>
      <c r="I42" s="1759"/>
      <c r="J42" s="1763" t="e">
        <f t="shared" si="1"/>
        <v>#VALUE!</v>
      </c>
      <c r="K42" s="1763" t="e">
        <f t="shared" si="2"/>
        <v>#VALUE!</v>
      </c>
      <c r="L42" s="4665"/>
      <c r="M42" s="4665"/>
    </row>
    <row r="43" spans="2:14" ht="12.75" customHeight="1">
      <c r="B43" s="2005"/>
      <c r="C43" s="2006"/>
      <c r="D43" s="2007"/>
      <c r="E43" s="4647"/>
      <c r="F43" s="4648"/>
      <c r="G43" s="1761" t="e">
        <f t="shared" si="0"/>
        <v>#VALUE!</v>
      </c>
      <c r="H43" s="1762" t="e">
        <f t="shared" si="3"/>
        <v>#VALUE!</v>
      </c>
      <c r="I43" s="1759"/>
      <c r="J43" s="1763" t="e">
        <f t="shared" si="1"/>
        <v>#VALUE!</v>
      </c>
      <c r="K43" s="1763" t="e">
        <f t="shared" si="2"/>
        <v>#VALUE!</v>
      </c>
      <c r="L43" s="4665"/>
      <c r="M43" s="4665"/>
    </row>
    <row r="44" spans="2:14" ht="12.75" customHeight="1">
      <c r="B44" s="2005"/>
      <c r="C44" s="2006"/>
      <c r="D44" s="2007"/>
      <c r="E44" s="4647"/>
      <c r="F44" s="4648"/>
      <c r="G44" s="1761" t="e">
        <f t="shared" si="0"/>
        <v>#VALUE!</v>
      </c>
      <c r="H44" s="1762" t="e">
        <f t="shared" si="3"/>
        <v>#VALUE!</v>
      </c>
      <c r="I44" s="1759"/>
      <c r="J44" s="1763" t="e">
        <f t="shared" si="1"/>
        <v>#VALUE!</v>
      </c>
      <c r="K44" s="1763" t="e">
        <f t="shared" si="2"/>
        <v>#VALUE!</v>
      </c>
      <c r="L44" s="4665"/>
      <c r="M44" s="4665"/>
    </row>
    <row r="45" spans="2:14" ht="12.75" customHeight="1">
      <c r="B45" s="2005"/>
      <c r="C45" s="2006"/>
      <c r="D45" s="2007"/>
      <c r="E45" s="4647"/>
      <c r="F45" s="4648"/>
      <c r="G45" s="1761" t="e">
        <f t="shared" si="0"/>
        <v>#VALUE!</v>
      </c>
      <c r="H45" s="1762" t="e">
        <f t="shared" si="3"/>
        <v>#VALUE!</v>
      </c>
      <c r="I45" s="1759"/>
      <c r="J45" s="1763" t="e">
        <f t="shared" si="1"/>
        <v>#VALUE!</v>
      </c>
      <c r="K45" s="1763" t="e">
        <f t="shared" si="2"/>
        <v>#VALUE!</v>
      </c>
      <c r="L45" s="4665"/>
      <c r="M45" s="4665"/>
    </row>
    <row r="46" spans="2:14" ht="12.75" customHeight="1">
      <c r="B46" s="2005"/>
      <c r="C46" s="2006"/>
      <c r="D46" s="2007"/>
      <c r="E46" s="4647"/>
      <c r="F46" s="4648"/>
      <c r="G46" s="1761" t="e">
        <f t="shared" si="0"/>
        <v>#VALUE!</v>
      </c>
      <c r="H46" s="1762" t="e">
        <f t="shared" si="3"/>
        <v>#VALUE!</v>
      </c>
      <c r="I46" s="1759"/>
      <c r="J46" s="1763" t="e">
        <f t="shared" si="1"/>
        <v>#VALUE!</v>
      </c>
      <c r="K46" s="1763" t="e">
        <f t="shared" si="2"/>
        <v>#VALUE!</v>
      </c>
      <c r="L46" s="4665"/>
      <c r="M46" s="4665"/>
    </row>
    <row r="47" spans="2:14" ht="12.75" customHeight="1">
      <c r="B47" s="2005"/>
      <c r="C47" s="2006"/>
      <c r="D47" s="2007"/>
      <c r="E47" s="4647"/>
      <c r="F47" s="4648"/>
      <c r="G47" s="1761" t="e">
        <f t="shared" si="0"/>
        <v>#VALUE!</v>
      </c>
      <c r="H47" s="1762" t="e">
        <f t="shared" si="3"/>
        <v>#VALUE!</v>
      </c>
      <c r="I47" s="1759"/>
      <c r="J47" s="1763" t="e">
        <f t="shared" si="1"/>
        <v>#VALUE!</v>
      </c>
      <c r="K47" s="1763" t="e">
        <f t="shared" si="2"/>
        <v>#VALUE!</v>
      </c>
      <c r="L47" s="4665"/>
      <c r="M47" s="4665"/>
    </row>
    <row r="48" spans="2:14" ht="12.75" customHeight="1">
      <c r="B48" s="2005"/>
      <c r="C48" s="2006"/>
      <c r="D48" s="2007"/>
      <c r="E48" s="4647"/>
      <c r="F48" s="4648"/>
      <c r="G48" s="1761" t="e">
        <f t="shared" si="0"/>
        <v>#VALUE!</v>
      </c>
      <c r="H48" s="1762" t="e">
        <f t="shared" si="3"/>
        <v>#VALUE!</v>
      </c>
      <c r="I48" s="1759"/>
      <c r="J48" s="1763" t="e">
        <f t="shared" si="1"/>
        <v>#VALUE!</v>
      </c>
      <c r="K48" s="1763" t="e">
        <f t="shared" si="2"/>
        <v>#VALUE!</v>
      </c>
      <c r="L48" s="4665"/>
      <c r="M48" s="4665"/>
    </row>
    <row r="49" spans="1:13" ht="12.75" customHeight="1">
      <c r="B49" s="2005"/>
      <c r="C49" s="2006"/>
      <c r="D49" s="2007"/>
      <c r="E49" s="4647"/>
      <c r="F49" s="4648"/>
      <c r="G49" s="1761" t="e">
        <f t="shared" si="0"/>
        <v>#VALUE!</v>
      </c>
      <c r="H49" s="1762" t="e">
        <f t="shared" si="3"/>
        <v>#VALUE!</v>
      </c>
      <c r="I49" s="1759"/>
      <c r="J49" s="1763" t="e">
        <f t="shared" si="1"/>
        <v>#VALUE!</v>
      </c>
      <c r="K49" s="1763" t="e">
        <f t="shared" si="2"/>
        <v>#VALUE!</v>
      </c>
      <c r="L49" s="4665"/>
      <c r="M49" s="4665"/>
    </row>
    <row r="50" spans="1:13" ht="12.75" customHeight="1">
      <c r="B50" s="2005"/>
      <c r="C50" s="2006"/>
      <c r="D50" s="2007"/>
      <c r="E50" s="4647"/>
      <c r="F50" s="4648"/>
      <c r="G50" s="1761" t="e">
        <f t="shared" si="0"/>
        <v>#VALUE!</v>
      </c>
      <c r="H50" s="1762" t="e">
        <f t="shared" si="3"/>
        <v>#VALUE!</v>
      </c>
      <c r="I50" s="1759"/>
      <c r="J50" s="1763" t="e">
        <f t="shared" si="1"/>
        <v>#VALUE!</v>
      </c>
      <c r="K50" s="1763" t="e">
        <f t="shared" si="2"/>
        <v>#VALUE!</v>
      </c>
      <c r="L50" s="4665"/>
      <c r="M50" s="4665"/>
    </row>
    <row r="51" spans="1:13" ht="12.75" customHeight="1" thickBot="1">
      <c r="B51" s="2008"/>
      <c r="C51" s="2009"/>
      <c r="D51" s="2010"/>
      <c r="E51" s="4649"/>
      <c r="F51" s="4650"/>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3995</v>
      </c>
      <c r="H52" s="1739" t="e">
        <f>SUM(H33:H51)</f>
        <v>#VALUE!</v>
      </c>
      <c r="I52" s="1722"/>
      <c r="J52" s="1728" t="s">
        <v>3996</v>
      </c>
      <c r="K52" s="1724" t="e">
        <f>SUM(K33:K51)</f>
        <v>#VALUE!</v>
      </c>
      <c r="L52" s="4665"/>
      <c r="M52" s="4665"/>
    </row>
    <row r="53" spans="1:13" ht="15" customHeight="1">
      <c r="A53" s="1715"/>
      <c r="B53" s="1990"/>
      <c r="C53" s="4651" t="s">
        <v>3997</v>
      </c>
      <c r="D53" s="4651"/>
      <c r="E53" s="4651"/>
      <c r="F53" s="4651"/>
      <c r="G53" s="4651"/>
      <c r="H53" s="4651"/>
      <c r="I53" s="4651"/>
      <c r="J53" s="4652"/>
      <c r="K53" s="1730" t="str">
        <f>IF(J17="no",0,IF(J17="yes",J16,"Error"))</f>
        <v>Error</v>
      </c>
      <c r="L53" s="4665"/>
      <c r="M53" s="4665"/>
    </row>
    <row r="54" spans="1:13" ht="15" customHeight="1" thickBot="1">
      <c r="A54" s="1715"/>
      <c r="B54" s="1990"/>
      <c r="C54" s="4653" t="s">
        <v>3998</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3999</v>
      </c>
      <c r="B56" s="4623"/>
      <c r="C56" s="4623"/>
      <c r="D56" s="4623"/>
      <c r="E56" s="4623"/>
      <c r="F56" s="4623"/>
      <c r="G56" s="4623"/>
      <c r="H56" s="4623"/>
      <c r="I56" s="4623"/>
      <c r="J56" s="4623"/>
      <c r="K56" s="4624"/>
    </row>
    <row r="57" spans="1:13" ht="48" customHeight="1">
      <c r="A57" s="1712"/>
      <c r="B57" s="1703"/>
      <c r="C57" s="1714" t="s">
        <v>4000</v>
      </c>
      <c r="D57" s="1890" t="s">
        <v>6068</v>
      </c>
      <c r="E57" s="4636" t="s">
        <v>4016</v>
      </c>
      <c r="F57" s="4637"/>
      <c r="G57" s="4638" t="s">
        <v>4001</v>
      </c>
      <c r="H57" s="4639"/>
      <c r="I57" s="4636" t="s">
        <v>4015</v>
      </c>
      <c r="J57" s="4637"/>
      <c r="K57" s="4640"/>
    </row>
    <row r="58" spans="1:13" ht="15" customHeight="1">
      <c r="A58" s="1991"/>
      <c r="B58" s="1887"/>
      <c r="C58" s="1725">
        <f>SUMIF(C33:C51, "0", H33:H51)</f>
        <v>0</v>
      </c>
      <c r="D58" s="1891">
        <f t="shared" ref="D58:D63" si="4">ROUNDUP(C58*1.1,0)</f>
        <v>0</v>
      </c>
      <c r="E58" s="4642" t="s">
        <v>4002</v>
      </c>
      <c r="F58" s="4643"/>
      <c r="G58" s="4644">
        <v>153314.4</v>
      </c>
      <c r="H58" s="4645"/>
      <c r="I58" s="4646">
        <f t="shared" ref="I58:I63" si="5">D58*G58</f>
        <v>0</v>
      </c>
      <c r="J58" s="4646"/>
      <c r="K58" s="4641"/>
    </row>
    <row r="59" spans="1:13">
      <c r="A59" s="1991"/>
      <c r="B59" s="1887"/>
      <c r="C59" s="1726">
        <f>SUMIF(C33:C51, "1", H33:H51)</f>
        <v>0</v>
      </c>
      <c r="D59" s="1892">
        <f t="shared" si="4"/>
        <v>0</v>
      </c>
      <c r="E59" s="4626" t="s">
        <v>2463</v>
      </c>
      <c r="F59" s="4627"/>
      <c r="G59" s="4628">
        <v>175752</v>
      </c>
      <c r="H59" s="4629"/>
      <c r="I59" s="4630">
        <f t="shared" si="5"/>
        <v>0</v>
      </c>
      <c r="J59" s="4630"/>
      <c r="K59" s="4641"/>
    </row>
    <row r="60" spans="1:13" ht="15" customHeight="1">
      <c r="A60" s="1991"/>
      <c r="B60" s="1887"/>
      <c r="C60" s="1726">
        <f>SUMIF(C33:C51, "2", H33:H51)</f>
        <v>0</v>
      </c>
      <c r="D60" s="1892">
        <f t="shared" si="4"/>
        <v>0</v>
      </c>
      <c r="E60" s="4626" t="s">
        <v>2464</v>
      </c>
      <c r="F60" s="4627"/>
      <c r="G60" s="4628">
        <v>213717.6</v>
      </c>
      <c r="H60" s="4629"/>
      <c r="I60" s="4630">
        <f t="shared" si="5"/>
        <v>0</v>
      </c>
      <c r="J60" s="4630"/>
      <c r="K60" s="4641"/>
    </row>
    <row r="61" spans="1:13">
      <c r="A61" s="1991"/>
      <c r="B61" s="1887"/>
      <c r="C61" s="1726">
        <f>SUMIF(C33:C51, "3", H33:H51)</f>
        <v>0</v>
      </c>
      <c r="D61" s="1892">
        <f t="shared" si="4"/>
        <v>0</v>
      </c>
      <c r="E61" s="4626" t="s">
        <v>2467</v>
      </c>
      <c r="F61" s="4627"/>
      <c r="G61" s="4628">
        <v>276482.40000000002</v>
      </c>
      <c r="H61" s="4629"/>
      <c r="I61" s="4630">
        <f t="shared" si="5"/>
        <v>0</v>
      </c>
      <c r="J61" s="4630"/>
      <c r="K61" s="4641"/>
    </row>
    <row r="62" spans="1:13">
      <c r="A62" s="1991"/>
      <c r="B62" s="1887"/>
      <c r="C62" s="1726">
        <f>SUMIF(C33:C51, "4", H33:H51)</f>
        <v>0</v>
      </c>
      <c r="D62" s="1892">
        <f t="shared" si="4"/>
        <v>0</v>
      </c>
      <c r="E62" s="4626" t="s">
        <v>4003</v>
      </c>
      <c r="F62" s="4627"/>
      <c r="G62" s="4628">
        <v>303489.59999999998</v>
      </c>
      <c r="H62" s="4629"/>
      <c r="I62" s="4630">
        <f t="shared" si="5"/>
        <v>0</v>
      </c>
      <c r="J62" s="4630"/>
      <c r="K62" s="4641"/>
    </row>
    <row r="63" spans="1:13">
      <c r="A63" s="1888"/>
      <c r="B63" s="1889"/>
      <c r="C63" s="1727">
        <f>SUMIF(C33:C51, "5", H33:H51)</f>
        <v>0</v>
      </c>
      <c r="D63" s="1893">
        <f t="shared" si="4"/>
        <v>0</v>
      </c>
      <c r="E63" s="4631" t="s">
        <v>4004</v>
      </c>
      <c r="F63" s="4632"/>
      <c r="G63" s="4633">
        <v>303489.59999999998</v>
      </c>
      <c r="H63" s="4634"/>
      <c r="I63" s="4635">
        <f t="shared" si="5"/>
        <v>0</v>
      </c>
      <c r="J63" s="4635"/>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1"/>
      <c r="B65" s="4621"/>
      <c r="C65" s="4621"/>
      <c r="D65" s="4621"/>
      <c r="E65" s="4621"/>
      <c r="F65" s="4621"/>
      <c r="G65" s="4621"/>
      <c r="H65" s="4621"/>
      <c r="I65" s="4621"/>
      <c r="J65" s="4621"/>
    </row>
    <row r="66" spans="1:11">
      <c r="A66" s="4622" t="s">
        <v>4007</v>
      </c>
      <c r="B66" s="4623"/>
      <c r="C66" s="4623"/>
      <c r="D66" s="4623"/>
      <c r="E66" s="4623"/>
      <c r="F66" s="4623"/>
      <c r="G66" s="4623"/>
      <c r="H66" s="4623"/>
      <c r="I66" s="4623"/>
      <c r="J66" s="4623"/>
      <c r="K66" s="4624"/>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5" t="s">
        <v>4011</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8" t="str">
        <f>'Part I-Project Identification'!F29</f>
        <v xml:space="preserve">Gibson Park </v>
      </c>
      <c r="E3" s="4669"/>
      <c r="F3" s="4669"/>
      <c r="G3" s="4669"/>
      <c r="H3" s="4669"/>
      <c r="I3" s="4669"/>
      <c r="J3" s="4709" t="s">
        <v>3975</v>
      </c>
      <c r="K3" s="4710"/>
    </row>
    <row r="4" spans="1:11" ht="15" customHeight="1">
      <c r="A4" s="1696" t="s">
        <v>3973</v>
      </c>
      <c r="B4" s="1697"/>
      <c r="C4" s="1698"/>
      <c r="D4" s="4672" t="e">
        <f>CONCATENATE('Part I-Project Identification'!#REF!,", ",'Part I-Project Identification'!F30,", GA ",'Part I-Project Identification'!#REF!," (",'Part I-Project Identification'!J30," Co.)",)</f>
        <v>#REF!</v>
      </c>
      <c r="E4" s="4673"/>
      <c r="F4" s="4673"/>
      <c r="G4" s="4673"/>
      <c r="H4" s="4673"/>
      <c r="I4" s="4673"/>
      <c r="J4" s="4674" t="s">
        <v>4014</v>
      </c>
      <c r="K4" s="4675"/>
    </row>
    <row r="5" spans="1:11" ht="15" customHeight="1" thickBot="1">
      <c r="A5" s="1699" t="s">
        <v>3974</v>
      </c>
      <c r="B5" s="1700"/>
      <c r="C5" s="1701"/>
      <c r="D5" s="4678"/>
      <c r="E5" s="4679"/>
      <c r="F5" s="4679"/>
      <c r="G5" s="4679"/>
      <c r="H5" s="4679"/>
      <c r="I5" s="4679"/>
      <c r="J5" s="4676"/>
      <c r="K5" s="4677"/>
    </row>
    <row r="6" spans="1:11" ht="9" customHeight="1" thickBot="1">
      <c r="E6" s="1691"/>
    </row>
    <row r="7" spans="1:11">
      <c r="A7" s="4686" t="s">
        <v>3976</v>
      </c>
      <c r="B7" s="4687"/>
      <c r="C7" s="4687"/>
      <c r="D7" s="4687"/>
      <c r="E7" s="4687"/>
      <c r="F7" s="4687"/>
      <c r="G7" s="4687"/>
      <c r="H7" s="4687"/>
      <c r="I7" s="4687"/>
      <c r="J7" s="4687"/>
      <c r="K7" s="4688"/>
    </row>
    <row r="8" spans="1:11" ht="14.25" customHeight="1">
      <c r="A8" s="1717"/>
      <c r="B8" s="1717"/>
      <c r="C8" s="1731">
        <v>1</v>
      </c>
      <c r="D8" s="1718" t="s">
        <v>3977</v>
      </c>
      <c r="E8" s="1718"/>
      <c r="F8" s="1718"/>
      <c r="G8" s="1718"/>
      <c r="H8" s="1718"/>
      <c r="I8" s="1718"/>
      <c r="J8" s="4698"/>
      <c r="K8" s="4699"/>
    </row>
    <row r="9" spans="1:11" ht="7.15" customHeight="1">
      <c r="A9" s="4619"/>
      <c r="B9" s="4619"/>
      <c r="C9" s="4619"/>
      <c r="D9" s="4620"/>
      <c r="E9" s="4620"/>
      <c r="F9" s="4620"/>
      <c r="G9" s="4620"/>
      <c r="H9" s="4620"/>
      <c r="I9" s="4620"/>
      <c r="J9" s="4620"/>
      <c r="K9" s="1719"/>
    </row>
    <row r="10" spans="1:11">
      <c r="A10" s="4689" t="s">
        <v>3978</v>
      </c>
      <c r="B10" s="4690"/>
      <c r="C10" s="4690"/>
      <c r="D10" s="4690"/>
      <c r="E10" s="4690"/>
      <c r="F10" s="4690"/>
      <c r="G10" s="4690"/>
      <c r="H10" s="4690"/>
      <c r="I10" s="4690"/>
      <c r="J10" s="4690"/>
      <c r="K10" s="4691"/>
    </row>
    <row r="11" spans="1:11" ht="14.25" customHeight="1">
      <c r="A11" s="1717"/>
      <c r="B11" s="1717"/>
      <c r="C11" s="1731">
        <v>2</v>
      </c>
      <c r="D11" s="1718" t="s">
        <v>3979</v>
      </c>
      <c r="E11" s="1720"/>
      <c r="F11" s="1720"/>
      <c r="G11" s="1720"/>
      <c r="H11" s="1720"/>
      <c r="I11" s="1720"/>
      <c r="J11" s="4696"/>
      <c r="K11" s="4697"/>
    </row>
    <row r="12" spans="1:11" ht="7.15" customHeight="1">
      <c r="A12" s="4619"/>
      <c r="B12" s="4619"/>
      <c r="C12" s="4619"/>
      <c r="D12" s="4620"/>
      <c r="E12" s="4620"/>
      <c r="F12" s="4620"/>
      <c r="G12" s="4620"/>
      <c r="H12" s="4620"/>
      <c r="I12" s="4620"/>
      <c r="J12" s="4620"/>
      <c r="K12" s="1721"/>
    </row>
    <row r="13" spans="1:11">
      <c r="A13" s="4689" t="s">
        <v>3980</v>
      </c>
      <c r="B13" s="4690"/>
      <c r="C13" s="4690"/>
      <c r="D13" s="4690"/>
      <c r="E13" s="4690"/>
      <c r="F13" s="4690"/>
      <c r="G13" s="4690"/>
      <c r="H13" s="4690"/>
      <c r="I13" s="4690"/>
      <c r="J13" s="4690"/>
      <c r="K13" s="4691"/>
    </row>
    <row r="14" spans="1:11" ht="14.25" customHeight="1">
      <c r="A14" s="1697"/>
      <c r="B14" s="1697"/>
      <c r="C14" s="1732">
        <v>3</v>
      </c>
      <c r="D14" s="1722" t="s">
        <v>3981</v>
      </c>
      <c r="E14" s="1722"/>
      <c r="F14" s="1722"/>
      <c r="G14" s="1722"/>
      <c r="H14" s="1722"/>
      <c r="I14" s="1722"/>
      <c r="J14" s="4694"/>
      <c r="K14" s="4695"/>
    </row>
    <row r="15" spans="1:11" ht="14.25" customHeight="1">
      <c r="A15" s="1697"/>
      <c r="B15" s="1697"/>
      <c r="C15" s="1733">
        <v>4</v>
      </c>
      <c r="D15" s="1697" t="s">
        <v>3982</v>
      </c>
      <c r="E15" s="1697"/>
      <c r="F15" s="1697"/>
      <c r="G15" s="1697"/>
      <c r="H15" s="1697"/>
      <c r="I15" s="1697"/>
      <c r="J15" s="4692"/>
      <c r="K15" s="4693"/>
    </row>
    <row r="16" spans="1:11" ht="14.25" customHeight="1">
      <c r="A16" s="1697"/>
      <c r="B16" s="1697"/>
      <c r="C16" s="1733">
        <v>5</v>
      </c>
      <c r="D16" s="1697" t="s">
        <v>3983</v>
      </c>
      <c r="E16" s="1697"/>
      <c r="F16" s="1697"/>
      <c r="G16" s="1697"/>
      <c r="H16" s="1697"/>
      <c r="I16" s="1697"/>
      <c r="J16" s="4692"/>
      <c r="K16" s="4693"/>
    </row>
    <row r="17" spans="1:13" ht="14.25" customHeight="1">
      <c r="A17" s="1717"/>
      <c r="B17" s="1717"/>
      <c r="C17" s="1734">
        <v>6</v>
      </c>
      <c r="D17" s="1700" t="s">
        <v>3984</v>
      </c>
      <c r="E17" s="1700"/>
      <c r="F17" s="1700"/>
      <c r="G17" s="1700"/>
      <c r="H17" s="1700"/>
      <c r="I17" s="1700"/>
      <c r="J17" s="4700"/>
      <c r="K17" s="4701"/>
    </row>
    <row r="18" spans="1:13" ht="7.15" customHeight="1">
      <c r="A18" s="4619"/>
      <c r="B18" s="4619"/>
      <c r="C18" s="4619"/>
      <c r="D18" s="4620"/>
      <c r="E18" s="4620"/>
      <c r="F18" s="4620"/>
      <c r="G18" s="4620"/>
      <c r="H18" s="4620"/>
      <c r="I18" s="4620"/>
      <c r="J18" s="4620"/>
      <c r="K18" s="1721"/>
    </row>
    <row r="19" spans="1:13" ht="14.25" customHeight="1">
      <c r="A19" s="1697"/>
      <c r="B19" s="1697"/>
      <c r="C19" s="1732">
        <v>7</v>
      </c>
      <c r="D19" s="1722" t="s">
        <v>3985</v>
      </c>
      <c r="E19" s="1722"/>
      <c r="F19" s="1722"/>
      <c r="G19" s="1722"/>
      <c r="H19" s="1722"/>
      <c r="I19" s="1722"/>
      <c r="J19" s="4613" t="str">
        <f>IF(J17="No",J14-J15,IF(J17="Yes",J14-J15-J16,"Error"))</f>
        <v>Error</v>
      </c>
      <c r="K19" s="4614"/>
    </row>
    <row r="20" spans="1:13" ht="14.25" customHeight="1">
      <c r="A20" s="1717"/>
      <c r="B20" s="1717"/>
      <c r="C20" s="1734">
        <v>8</v>
      </c>
      <c r="D20" s="1700" t="s">
        <v>3986</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721"/>
    </row>
    <row r="22" spans="1:13" ht="14.25" customHeight="1" thickBot="1">
      <c r="A22" s="1697"/>
      <c r="B22" s="1697"/>
      <c r="C22" s="1731">
        <v>9</v>
      </c>
      <c r="D22" s="1723" t="s">
        <v>3987</v>
      </c>
      <c r="E22" s="1723"/>
      <c r="F22" s="1723"/>
      <c r="G22" s="1723"/>
      <c r="H22" s="1723"/>
      <c r="I22" s="1723"/>
      <c r="J22" s="4609" t="e">
        <f>J11/J19</f>
        <v>#VALUE!</v>
      </c>
      <c r="K22" s="4610"/>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4018</v>
      </c>
      <c r="B30" s="4657"/>
      <c r="C30" s="4657"/>
      <c r="D30" s="4657"/>
      <c r="E30" s="4657"/>
      <c r="F30" s="4657"/>
      <c r="G30" s="4657"/>
      <c r="H30" s="4657"/>
      <c r="I30" s="4657"/>
      <c r="J30" s="4657"/>
      <c r="K30" s="4658"/>
    </row>
    <row r="31" spans="1:13">
      <c r="A31" s="1715"/>
      <c r="B31" s="4706" t="s">
        <v>3975</v>
      </c>
      <c r="C31" s="4706"/>
      <c r="D31" s="4706"/>
      <c r="E31" s="4706"/>
      <c r="F31" s="4706"/>
      <c r="G31" s="4660" t="s">
        <v>3989</v>
      </c>
      <c r="H31" s="4661"/>
      <c r="I31" s="4661"/>
      <c r="J31" s="4661"/>
      <c r="K31" s="4662"/>
    </row>
    <row r="32" spans="1:13" ht="56.25" customHeight="1">
      <c r="A32" s="1716"/>
      <c r="B32" s="1735" t="s">
        <v>4017</v>
      </c>
      <c r="C32" s="1736" t="s">
        <v>4013</v>
      </c>
      <c r="D32" s="1736" t="s">
        <v>4012</v>
      </c>
      <c r="E32" s="4663" t="s">
        <v>6103</v>
      </c>
      <c r="F32" s="4664"/>
      <c r="G32" s="1737" t="s">
        <v>3990</v>
      </c>
      <c r="H32" s="1737" t="s">
        <v>3991</v>
      </c>
      <c r="J32" s="1737" t="s">
        <v>3992</v>
      </c>
      <c r="K32" s="1737" t="s">
        <v>3993</v>
      </c>
      <c r="L32" s="4665" t="s">
        <v>3994</v>
      </c>
      <c r="M32" s="4665"/>
    </row>
    <row r="33" spans="2:14" ht="12.75" customHeight="1">
      <c r="B33" s="1904"/>
      <c r="C33" s="1905"/>
      <c r="D33" s="1906"/>
      <c r="E33" s="4707"/>
      <c r="F33" s="4708"/>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1907"/>
      <c r="C34" s="1908"/>
      <c r="D34" s="1909"/>
      <c r="E34" s="4704"/>
      <c r="F34" s="4705"/>
      <c r="G34" s="1761" t="e">
        <f t="shared" si="0"/>
        <v>#VALUE!</v>
      </c>
      <c r="H34" s="1762" t="e">
        <f t="shared" ref="H34:H51" si="3">ROUNDUP(G34,0)</f>
        <v>#VALUE!</v>
      </c>
      <c r="I34" s="1759"/>
      <c r="J34" s="1763" t="e">
        <f t="shared" si="1"/>
        <v>#VALUE!</v>
      </c>
      <c r="K34" s="1763" t="e">
        <f t="shared" si="2"/>
        <v>#VALUE!</v>
      </c>
      <c r="L34" s="4665"/>
      <c r="M34" s="4665"/>
    </row>
    <row r="35" spans="2:14" ht="12.75" customHeight="1">
      <c r="B35" s="1907"/>
      <c r="C35" s="1908"/>
      <c r="D35" s="1909"/>
      <c r="E35" s="4704"/>
      <c r="F35" s="4705"/>
      <c r="G35" s="1761" t="e">
        <f t="shared" si="0"/>
        <v>#VALUE!</v>
      </c>
      <c r="H35" s="1762" t="e">
        <f t="shared" si="3"/>
        <v>#VALUE!</v>
      </c>
      <c r="I35" s="1759"/>
      <c r="J35" s="1763" t="e">
        <f t="shared" si="1"/>
        <v>#VALUE!</v>
      </c>
      <c r="K35" s="1763" t="e">
        <f t="shared" si="2"/>
        <v>#VALUE!</v>
      </c>
      <c r="L35" s="4665"/>
      <c r="M35" s="4665"/>
    </row>
    <row r="36" spans="2:14" ht="12.75" customHeight="1">
      <c r="B36" s="1907"/>
      <c r="C36" s="1908"/>
      <c r="D36" s="1909"/>
      <c r="E36" s="4704"/>
      <c r="F36" s="4705"/>
      <c r="G36" s="1761" t="e">
        <f t="shared" si="0"/>
        <v>#VALUE!</v>
      </c>
      <c r="H36" s="1762" t="e">
        <f t="shared" si="3"/>
        <v>#VALUE!</v>
      </c>
      <c r="I36" s="1759"/>
      <c r="J36" s="1763" t="e">
        <f t="shared" si="1"/>
        <v>#VALUE!</v>
      </c>
      <c r="K36" s="1763" t="e">
        <f t="shared" si="2"/>
        <v>#VALUE!</v>
      </c>
      <c r="L36" s="4665"/>
      <c r="M36" s="4665"/>
      <c r="N36" s="1710"/>
    </row>
    <row r="37" spans="2:14" ht="12.75" customHeight="1">
      <c r="B37" s="1907"/>
      <c r="C37" s="1908"/>
      <c r="D37" s="1909"/>
      <c r="E37" s="4704"/>
      <c r="F37" s="4705"/>
      <c r="G37" s="1761" t="e">
        <f t="shared" si="0"/>
        <v>#VALUE!</v>
      </c>
      <c r="H37" s="1762" t="e">
        <f t="shared" si="3"/>
        <v>#VALUE!</v>
      </c>
      <c r="I37" s="1759"/>
      <c r="J37" s="1763" t="e">
        <f t="shared" si="1"/>
        <v>#VALUE!</v>
      </c>
      <c r="K37" s="1763" t="e">
        <f t="shared" si="2"/>
        <v>#VALUE!</v>
      </c>
      <c r="L37" s="4665"/>
      <c r="M37" s="4665"/>
    </row>
    <row r="38" spans="2:14" ht="12.75" customHeight="1">
      <c r="B38" s="1907"/>
      <c r="C38" s="1908"/>
      <c r="D38" s="1909"/>
      <c r="E38" s="4704"/>
      <c r="F38" s="4705"/>
      <c r="G38" s="1761" t="e">
        <f t="shared" si="0"/>
        <v>#VALUE!</v>
      </c>
      <c r="H38" s="1762" t="e">
        <f t="shared" si="3"/>
        <v>#VALUE!</v>
      </c>
      <c r="I38" s="1759"/>
      <c r="J38" s="1763" t="e">
        <f t="shared" si="1"/>
        <v>#VALUE!</v>
      </c>
      <c r="K38" s="1763" t="e">
        <f t="shared" si="2"/>
        <v>#VALUE!</v>
      </c>
      <c r="L38" s="4665"/>
      <c r="M38" s="4665"/>
    </row>
    <row r="39" spans="2:14" ht="12.75" customHeight="1">
      <c r="B39" s="1907"/>
      <c r="C39" s="1908"/>
      <c r="D39" s="1909"/>
      <c r="E39" s="4704"/>
      <c r="F39" s="4705"/>
      <c r="G39" s="1761" t="e">
        <f t="shared" si="0"/>
        <v>#VALUE!</v>
      </c>
      <c r="H39" s="1762" t="e">
        <f t="shared" si="3"/>
        <v>#VALUE!</v>
      </c>
      <c r="I39" s="1759"/>
      <c r="J39" s="1763" t="e">
        <f t="shared" si="1"/>
        <v>#VALUE!</v>
      </c>
      <c r="K39" s="1763" t="e">
        <f t="shared" si="2"/>
        <v>#VALUE!</v>
      </c>
      <c r="L39" s="4665"/>
      <c r="M39" s="4665"/>
    </row>
    <row r="40" spans="2:14" ht="12.75" customHeight="1">
      <c r="B40" s="1907"/>
      <c r="C40" s="1908"/>
      <c r="D40" s="1909"/>
      <c r="E40" s="4704"/>
      <c r="F40" s="4705"/>
      <c r="G40" s="1761" t="e">
        <f t="shared" si="0"/>
        <v>#VALUE!</v>
      </c>
      <c r="H40" s="1762" t="e">
        <f t="shared" si="3"/>
        <v>#VALUE!</v>
      </c>
      <c r="I40" s="1759"/>
      <c r="J40" s="1763" t="e">
        <f t="shared" si="1"/>
        <v>#VALUE!</v>
      </c>
      <c r="K40" s="1763" t="e">
        <f t="shared" si="2"/>
        <v>#VALUE!</v>
      </c>
      <c r="L40" s="4665"/>
      <c r="M40" s="4665"/>
    </row>
    <row r="41" spans="2:14" ht="12.75" customHeight="1">
      <c r="B41" s="1907"/>
      <c r="C41" s="1908"/>
      <c r="D41" s="1909"/>
      <c r="E41" s="4704"/>
      <c r="F41" s="4705"/>
      <c r="G41" s="1761" t="e">
        <f t="shared" si="0"/>
        <v>#VALUE!</v>
      </c>
      <c r="H41" s="1762" t="e">
        <f t="shared" si="3"/>
        <v>#VALUE!</v>
      </c>
      <c r="I41" s="1759"/>
      <c r="J41" s="1763" t="e">
        <f t="shared" si="1"/>
        <v>#VALUE!</v>
      </c>
      <c r="K41" s="1763" t="e">
        <f t="shared" si="2"/>
        <v>#VALUE!</v>
      </c>
      <c r="L41" s="4665"/>
      <c r="M41" s="4665"/>
    </row>
    <row r="42" spans="2:14" ht="12.75" customHeight="1">
      <c r="B42" s="1907"/>
      <c r="C42" s="1908"/>
      <c r="D42" s="1909"/>
      <c r="E42" s="4704"/>
      <c r="F42" s="4705"/>
      <c r="G42" s="1761" t="e">
        <f t="shared" si="0"/>
        <v>#VALUE!</v>
      </c>
      <c r="H42" s="1762" t="e">
        <f>ROUNDUP(G42,0)</f>
        <v>#VALUE!</v>
      </c>
      <c r="I42" s="1759"/>
      <c r="J42" s="1763" t="e">
        <f t="shared" si="1"/>
        <v>#VALUE!</v>
      </c>
      <c r="K42" s="1763" t="e">
        <f t="shared" si="2"/>
        <v>#VALUE!</v>
      </c>
      <c r="L42" s="4665"/>
      <c r="M42" s="4665"/>
    </row>
    <row r="43" spans="2:14" ht="12.75" customHeight="1">
      <c r="B43" s="1907"/>
      <c r="C43" s="1908"/>
      <c r="D43" s="1909"/>
      <c r="E43" s="4704"/>
      <c r="F43" s="4705"/>
      <c r="G43" s="1761" t="e">
        <f t="shared" si="0"/>
        <v>#VALUE!</v>
      </c>
      <c r="H43" s="1762" t="e">
        <f>ROUNDUP(G43,0)</f>
        <v>#VALUE!</v>
      </c>
      <c r="I43" s="1759"/>
      <c r="J43" s="1763" t="e">
        <f t="shared" si="1"/>
        <v>#VALUE!</v>
      </c>
      <c r="K43" s="1763" t="e">
        <f t="shared" si="2"/>
        <v>#VALUE!</v>
      </c>
      <c r="L43" s="4665"/>
      <c r="M43" s="4665"/>
    </row>
    <row r="44" spans="2:14" ht="12.75" customHeight="1">
      <c r="B44" s="1907"/>
      <c r="C44" s="1908"/>
      <c r="D44" s="1909"/>
      <c r="E44" s="4704"/>
      <c r="F44" s="4705"/>
      <c r="G44" s="1761" t="e">
        <f t="shared" si="0"/>
        <v>#VALUE!</v>
      </c>
      <c r="H44" s="1762" t="e">
        <f>ROUNDUP(G44,0)</f>
        <v>#VALUE!</v>
      </c>
      <c r="I44" s="1759"/>
      <c r="J44" s="1763" t="e">
        <f t="shared" si="1"/>
        <v>#VALUE!</v>
      </c>
      <c r="K44" s="1763" t="e">
        <f t="shared" si="2"/>
        <v>#VALUE!</v>
      </c>
      <c r="L44" s="4665"/>
      <c r="M44" s="4665"/>
    </row>
    <row r="45" spans="2:14" ht="12.75" customHeight="1">
      <c r="B45" s="1907"/>
      <c r="C45" s="1908"/>
      <c r="D45" s="1909"/>
      <c r="E45" s="4704"/>
      <c r="F45" s="4705"/>
      <c r="G45" s="1761" t="e">
        <f t="shared" si="0"/>
        <v>#VALUE!</v>
      </c>
      <c r="H45" s="1762" t="e">
        <f>ROUNDUP(G45,0)</f>
        <v>#VALUE!</v>
      </c>
      <c r="I45" s="1759"/>
      <c r="J45" s="1763" t="e">
        <f t="shared" si="1"/>
        <v>#VALUE!</v>
      </c>
      <c r="K45" s="1763" t="e">
        <f t="shared" si="2"/>
        <v>#VALUE!</v>
      </c>
      <c r="L45" s="4665"/>
      <c r="M45" s="4665"/>
    </row>
    <row r="46" spans="2:14" ht="12.75" customHeight="1">
      <c r="B46" s="1907"/>
      <c r="C46" s="1908"/>
      <c r="D46" s="1909"/>
      <c r="E46" s="4704"/>
      <c r="F46" s="4705"/>
      <c r="G46" s="1761" t="e">
        <f t="shared" si="0"/>
        <v>#VALUE!</v>
      </c>
      <c r="H46" s="1762" t="e">
        <f t="shared" si="3"/>
        <v>#VALUE!</v>
      </c>
      <c r="I46" s="1759"/>
      <c r="J46" s="1763" t="e">
        <f t="shared" si="1"/>
        <v>#VALUE!</v>
      </c>
      <c r="K46" s="1763" t="e">
        <f t="shared" si="2"/>
        <v>#VALUE!</v>
      </c>
      <c r="L46" s="4665"/>
      <c r="M46" s="4665"/>
    </row>
    <row r="47" spans="2:14" ht="12.75" customHeight="1">
      <c r="B47" s="1907"/>
      <c r="C47" s="1908"/>
      <c r="D47" s="1909"/>
      <c r="E47" s="4704"/>
      <c r="F47" s="4705"/>
      <c r="G47" s="1761" t="e">
        <f t="shared" si="0"/>
        <v>#VALUE!</v>
      </c>
      <c r="H47" s="1762" t="e">
        <f t="shared" si="3"/>
        <v>#VALUE!</v>
      </c>
      <c r="I47" s="1759"/>
      <c r="J47" s="1763" t="e">
        <f t="shared" si="1"/>
        <v>#VALUE!</v>
      </c>
      <c r="K47" s="1763" t="e">
        <f t="shared" si="2"/>
        <v>#VALUE!</v>
      </c>
      <c r="L47" s="4665"/>
      <c r="M47" s="4665"/>
    </row>
    <row r="48" spans="2:14" ht="12.75" customHeight="1">
      <c r="B48" s="1907"/>
      <c r="C48" s="1908"/>
      <c r="D48" s="1909"/>
      <c r="E48" s="4704"/>
      <c r="F48" s="4705"/>
      <c r="G48" s="1761" t="e">
        <f t="shared" si="0"/>
        <v>#VALUE!</v>
      </c>
      <c r="H48" s="1762" t="e">
        <f>ROUNDUP(G48,0)</f>
        <v>#VALUE!</v>
      </c>
      <c r="I48" s="1759"/>
      <c r="J48" s="1763" t="e">
        <f t="shared" si="1"/>
        <v>#VALUE!</v>
      </c>
      <c r="K48" s="1763" t="e">
        <f t="shared" si="2"/>
        <v>#VALUE!</v>
      </c>
      <c r="L48" s="4665"/>
      <c r="M48" s="4665"/>
    </row>
    <row r="49" spans="1:13" ht="12.75" customHeight="1">
      <c r="B49" s="1907"/>
      <c r="C49" s="1908"/>
      <c r="D49" s="1909"/>
      <c r="E49" s="4704"/>
      <c r="F49" s="4705"/>
      <c r="G49" s="1761" t="e">
        <f t="shared" si="0"/>
        <v>#VALUE!</v>
      </c>
      <c r="H49" s="1762" t="e">
        <f t="shared" si="3"/>
        <v>#VALUE!</v>
      </c>
      <c r="I49" s="1759"/>
      <c r="J49" s="1763" t="e">
        <f t="shared" si="1"/>
        <v>#VALUE!</v>
      </c>
      <c r="K49" s="1763" t="e">
        <f t="shared" si="2"/>
        <v>#VALUE!</v>
      </c>
      <c r="L49" s="4665"/>
      <c r="M49" s="4665"/>
    </row>
    <row r="50" spans="1:13" ht="12.75" customHeight="1">
      <c r="B50" s="1907"/>
      <c r="C50" s="1908"/>
      <c r="D50" s="1909"/>
      <c r="E50" s="4704"/>
      <c r="F50" s="4705"/>
      <c r="G50" s="1761" t="e">
        <f t="shared" si="0"/>
        <v>#VALUE!</v>
      </c>
      <c r="H50" s="1762" t="e">
        <f t="shared" si="3"/>
        <v>#VALUE!</v>
      </c>
      <c r="I50" s="1759"/>
      <c r="J50" s="1763" t="e">
        <f t="shared" si="1"/>
        <v>#VALUE!</v>
      </c>
      <c r="K50" s="1763" t="e">
        <f t="shared" si="2"/>
        <v>#VALUE!</v>
      </c>
      <c r="L50" s="4665"/>
      <c r="M50" s="4665"/>
    </row>
    <row r="51" spans="1:13" ht="12.75" customHeight="1" thickBot="1">
      <c r="B51" s="1910"/>
      <c r="C51" s="1911"/>
      <c r="D51" s="1912"/>
      <c r="E51" s="4702"/>
      <c r="F51" s="4703"/>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3995</v>
      </c>
      <c r="H52" s="1739" t="e">
        <f>SUM(H33:H51)</f>
        <v>#VALUE!</v>
      </c>
      <c r="I52" s="1722"/>
      <c r="J52" s="1728" t="s">
        <v>3996</v>
      </c>
      <c r="K52" s="1724" t="e">
        <f>SUM(K33:K51)</f>
        <v>#VALUE!</v>
      </c>
      <c r="L52" s="4665"/>
      <c r="M52" s="4665"/>
    </row>
    <row r="53" spans="1:13" ht="15" customHeight="1">
      <c r="A53" s="1715"/>
      <c r="B53" s="1729"/>
      <c r="C53" s="4651" t="s">
        <v>3997</v>
      </c>
      <c r="D53" s="4651"/>
      <c r="E53" s="4651"/>
      <c r="F53" s="4651"/>
      <c r="G53" s="4651"/>
      <c r="H53" s="4651"/>
      <c r="I53" s="4651"/>
      <c r="J53" s="4652"/>
      <c r="K53" s="1730" t="str">
        <f>IF(J17="no",0,IF(J17="yes",J16,"Error"))</f>
        <v>Error</v>
      </c>
      <c r="L53" s="4665"/>
      <c r="M53" s="4665"/>
    </row>
    <row r="54" spans="1:13" ht="15" customHeight="1" thickBot="1">
      <c r="A54" s="1715"/>
      <c r="B54" s="1729"/>
      <c r="C54" s="4653" t="s">
        <v>3998</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3999</v>
      </c>
      <c r="B56" s="4623"/>
      <c r="C56" s="4623"/>
      <c r="D56" s="4623"/>
      <c r="E56" s="4623"/>
      <c r="F56" s="4623"/>
      <c r="G56" s="4623"/>
      <c r="H56" s="4623"/>
      <c r="I56" s="4623"/>
      <c r="J56" s="4623"/>
      <c r="K56" s="4624"/>
    </row>
    <row r="57" spans="1:13" ht="48" customHeight="1">
      <c r="A57" s="1712"/>
      <c r="B57" s="1703"/>
      <c r="C57" s="1714" t="s">
        <v>4000</v>
      </c>
      <c r="D57" s="1890" t="s">
        <v>6068</v>
      </c>
      <c r="E57" s="4636" t="s">
        <v>4016</v>
      </c>
      <c r="F57" s="4637"/>
      <c r="G57" s="4638" t="s">
        <v>4001</v>
      </c>
      <c r="H57" s="4639"/>
      <c r="I57" s="4636" t="s">
        <v>4015</v>
      </c>
      <c r="J57" s="4637"/>
      <c r="K57" s="4640"/>
    </row>
    <row r="58" spans="1:13" ht="15" customHeight="1">
      <c r="A58" s="1867"/>
      <c r="B58" s="1887"/>
      <c r="C58" s="1725">
        <f>SUMIF(C33:C51, "0", H33:H51)</f>
        <v>0</v>
      </c>
      <c r="D58" s="1891">
        <f t="shared" ref="D58:D63" si="4">ROUNDUP(C58*1.1,0)</f>
        <v>0</v>
      </c>
      <c r="E58" s="4642" t="s">
        <v>4002</v>
      </c>
      <c r="F58" s="4643"/>
      <c r="G58" s="4644">
        <v>153314.4</v>
      </c>
      <c r="H58" s="4645"/>
      <c r="I58" s="4646">
        <f t="shared" ref="I58:I63" si="5">D58*G58</f>
        <v>0</v>
      </c>
      <c r="J58" s="4646"/>
      <c r="K58" s="4641"/>
    </row>
    <row r="59" spans="1:13">
      <c r="A59" s="1867"/>
      <c r="B59" s="1887"/>
      <c r="C59" s="1726">
        <f>SUMIF(C33:C51, "1", H33:H51)</f>
        <v>0</v>
      </c>
      <c r="D59" s="1892">
        <f t="shared" si="4"/>
        <v>0</v>
      </c>
      <c r="E59" s="4626" t="s">
        <v>2463</v>
      </c>
      <c r="F59" s="4627"/>
      <c r="G59" s="4628">
        <v>175752</v>
      </c>
      <c r="H59" s="4629"/>
      <c r="I59" s="4630">
        <f t="shared" si="5"/>
        <v>0</v>
      </c>
      <c r="J59" s="4630"/>
      <c r="K59" s="4641"/>
    </row>
    <row r="60" spans="1:13" ht="15" customHeight="1">
      <c r="A60" s="1867"/>
      <c r="B60" s="1887"/>
      <c r="C60" s="1726">
        <f>SUMIF(C33:C51, "2", H33:H51)</f>
        <v>0</v>
      </c>
      <c r="D60" s="1892">
        <f t="shared" si="4"/>
        <v>0</v>
      </c>
      <c r="E60" s="4626" t="s">
        <v>2464</v>
      </c>
      <c r="F60" s="4627"/>
      <c r="G60" s="4628">
        <v>213717.6</v>
      </c>
      <c r="H60" s="4629"/>
      <c r="I60" s="4630">
        <f t="shared" si="5"/>
        <v>0</v>
      </c>
      <c r="J60" s="4630"/>
      <c r="K60" s="4641"/>
    </row>
    <row r="61" spans="1:13">
      <c r="A61" s="1867"/>
      <c r="B61" s="1887"/>
      <c r="C61" s="1726">
        <f>SUMIF(C33:C51, "3", H33:H51)</f>
        <v>0</v>
      </c>
      <c r="D61" s="1892">
        <f t="shared" si="4"/>
        <v>0</v>
      </c>
      <c r="E61" s="4626" t="s">
        <v>2467</v>
      </c>
      <c r="F61" s="4627"/>
      <c r="G61" s="4628">
        <v>276482.40000000002</v>
      </c>
      <c r="H61" s="4629"/>
      <c r="I61" s="4630">
        <f t="shared" si="5"/>
        <v>0</v>
      </c>
      <c r="J61" s="4630"/>
      <c r="K61" s="4641"/>
    </row>
    <row r="62" spans="1:13">
      <c r="A62" s="1867"/>
      <c r="B62" s="1887"/>
      <c r="C62" s="1726">
        <f>SUMIF(C33:C51, "4", H33:H51)</f>
        <v>0</v>
      </c>
      <c r="D62" s="1892">
        <f t="shared" si="4"/>
        <v>0</v>
      </c>
      <c r="E62" s="4626" t="s">
        <v>4003</v>
      </c>
      <c r="F62" s="4627"/>
      <c r="G62" s="4628">
        <v>303489.59999999998</v>
      </c>
      <c r="H62" s="4629"/>
      <c r="I62" s="4630">
        <f t="shared" si="5"/>
        <v>0</v>
      </c>
      <c r="J62" s="4630"/>
      <c r="K62" s="4641"/>
    </row>
    <row r="63" spans="1:13">
      <c r="A63" s="1888"/>
      <c r="B63" s="1889"/>
      <c r="C63" s="1727">
        <f>SUMIF(C33:C51, "5", H33:H51)</f>
        <v>0</v>
      </c>
      <c r="D63" s="1893">
        <f t="shared" si="4"/>
        <v>0</v>
      </c>
      <c r="E63" s="4631" t="s">
        <v>4004</v>
      </c>
      <c r="F63" s="4632"/>
      <c r="G63" s="4633">
        <v>303489.59999999998</v>
      </c>
      <c r="H63" s="4634"/>
      <c r="I63" s="4635">
        <f t="shared" si="5"/>
        <v>0</v>
      </c>
      <c r="J63" s="4635"/>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21"/>
      <c r="B65" s="4621"/>
      <c r="C65" s="4621"/>
      <c r="D65" s="4621"/>
      <c r="E65" s="4621"/>
      <c r="F65" s="4621"/>
      <c r="G65" s="4621"/>
      <c r="H65" s="4621"/>
      <c r="I65" s="4621"/>
      <c r="J65" s="4621"/>
    </row>
    <row r="66" spans="1:11">
      <c r="A66" s="4622" t="s">
        <v>4007</v>
      </c>
      <c r="B66" s="4623"/>
      <c r="C66" s="4623"/>
      <c r="D66" s="4623"/>
      <c r="E66" s="4623"/>
      <c r="F66" s="4623"/>
      <c r="G66" s="4623"/>
      <c r="H66" s="4623"/>
      <c r="I66" s="4623"/>
      <c r="J66" s="4623"/>
      <c r="K66" s="4624"/>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5" t="s">
        <v>4011</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 xml:space="preserve">Gibson Park </v>
      </c>
    </row>
    <row r="2" spans="1:11">
      <c r="A2" s="711" t="s">
        <v>2884</v>
      </c>
      <c r="H2" s="774" t="str">
        <f>'Sensitivity Analysis'!E8</f>
        <v>2022-0</v>
      </c>
    </row>
    <row r="3" spans="1:11" ht="3" customHeight="1"/>
    <row r="4" spans="1:11" ht="51.75" customHeight="1">
      <c r="A4" s="4711" t="s">
        <v>2980</v>
      </c>
      <c r="B4" s="4711"/>
      <c r="C4" s="4711"/>
      <c r="D4" s="4711"/>
      <c r="E4" s="4711"/>
      <c r="F4" s="4711"/>
      <c r="G4" s="4711"/>
      <c r="H4" s="4711"/>
      <c r="J4" s="1282">
        <f>SUM('Part VI-Pro Forma'!B15:B17)/12</f>
        <v>67197.875400000004</v>
      </c>
      <c r="K4" s="1281" t="s">
        <v>3666</v>
      </c>
    </row>
    <row r="5" spans="1:11" ht="1.5" customHeight="1">
      <c r="C5" s="816"/>
      <c r="D5" s="816"/>
      <c r="E5" s="816"/>
      <c r="F5" s="816"/>
      <c r="G5" s="816"/>
      <c r="H5" s="816"/>
    </row>
    <row r="6" spans="1:11" ht="12.75" customHeight="1">
      <c r="B6" s="817" t="s">
        <v>2241</v>
      </c>
      <c r="C6" s="4711" t="s">
        <v>2885</v>
      </c>
      <c r="D6" s="4711"/>
      <c r="E6" s="4711"/>
      <c r="F6" s="4711"/>
      <c r="G6" s="4711"/>
      <c r="H6" s="4711"/>
    </row>
    <row r="7" spans="1:11" ht="12.75" customHeight="1">
      <c r="B7" s="817" t="s">
        <v>2242</v>
      </c>
      <c r="C7" s="4711" t="s">
        <v>2886</v>
      </c>
      <c r="D7" s="4711"/>
      <c r="E7" s="4711"/>
      <c r="F7" s="4711"/>
      <c r="G7" s="4711"/>
      <c r="H7" s="4711"/>
    </row>
    <row r="8" spans="1:11" ht="3" customHeight="1"/>
    <row r="9" spans="1:11">
      <c r="A9" s="774" t="s">
        <v>2887</v>
      </c>
    </row>
    <row r="10" spans="1:11" ht="1.5" customHeight="1"/>
    <row r="11" spans="1:11" ht="26.25" customHeight="1">
      <c r="A11" s="818" t="s">
        <v>1842</v>
      </c>
      <c r="B11" s="4717" t="s">
        <v>2977</v>
      </c>
      <c r="C11" s="4717"/>
      <c r="D11" s="4717"/>
      <c r="E11" s="4717"/>
      <c r="F11" s="4717"/>
      <c r="G11" s="4718">
        <f>'Part II-Sources of Funds'!I51+'Part II-Sources of Funds'!I52</f>
        <v>11619295</v>
      </c>
      <c r="H11" s="4718"/>
    </row>
    <row r="12" spans="1:11" ht="1.5" customHeight="1">
      <c r="G12" s="787"/>
      <c r="H12" s="787"/>
    </row>
    <row r="13" spans="1:11" ht="26.25" customHeight="1">
      <c r="A13" s="818" t="s">
        <v>1844</v>
      </c>
      <c r="B13" s="4717" t="s">
        <v>2978</v>
      </c>
      <c r="C13" s="4717"/>
      <c r="D13" s="4717"/>
      <c r="E13" s="4717"/>
      <c r="F13" s="4717"/>
      <c r="G13" s="4719" t="s">
        <v>2815</v>
      </c>
      <c r="H13" s="4719"/>
    </row>
    <row r="14" spans="1:11" ht="12" hidden="1" customHeight="1">
      <c r="A14" s="818"/>
      <c r="B14" s="4598"/>
      <c r="C14" s="4598"/>
      <c r="D14" s="4598"/>
      <c r="E14" s="4598"/>
      <c r="F14" s="4598"/>
      <c r="G14" s="4598"/>
      <c r="H14" s="4598"/>
    </row>
    <row r="15" spans="1:11" ht="1.5" customHeight="1"/>
    <row r="16" spans="1:11" ht="12" customHeight="1">
      <c r="A16" s="818" t="s">
        <v>698</v>
      </c>
      <c r="B16" s="774" t="s">
        <v>2981</v>
      </c>
      <c r="F16" s="810"/>
      <c r="G16" s="4592" t="s">
        <v>2654</v>
      </c>
      <c r="H16" s="4592"/>
    </row>
    <row r="17" spans="1:8" ht="1.5" customHeight="1">
      <c r="G17" s="792"/>
    </row>
    <row r="18" spans="1:8" ht="12" customHeight="1">
      <c r="A18" s="818" t="s">
        <v>1963</v>
      </c>
      <c r="B18" s="787" t="s">
        <v>2979</v>
      </c>
      <c r="C18" s="818"/>
      <c r="D18" s="818"/>
      <c r="E18" s="818"/>
      <c r="G18" s="4598" t="s">
        <v>2516</v>
      </c>
      <c r="H18" s="4598"/>
    </row>
    <row r="19" spans="1:8" ht="12" hidden="1" customHeight="1">
      <c r="B19" s="4598"/>
      <c r="C19" s="4598"/>
      <c r="D19" s="4598"/>
      <c r="E19" s="4598"/>
      <c r="F19" s="4598"/>
      <c r="G19" s="4598"/>
      <c r="H19" s="4598"/>
    </row>
    <row r="20" spans="1:8" ht="13.5" customHeight="1"/>
    <row r="21" spans="1:8" ht="12" customHeight="1">
      <c r="A21" s="711" t="s">
        <v>2888</v>
      </c>
    </row>
    <row r="22" spans="1:8" ht="3" customHeight="1"/>
    <row r="23" spans="1:8" ht="24.75" customHeight="1">
      <c r="A23" s="4720" t="s">
        <v>4085</v>
      </c>
      <c r="B23" s="4720"/>
      <c r="C23" s="4720"/>
      <c r="D23" s="4720"/>
      <c r="E23" s="4720"/>
      <c r="F23" s="4720"/>
      <c r="G23" s="4720"/>
      <c r="H23" s="4720"/>
    </row>
    <row r="24" spans="1:8" ht="9" customHeight="1" thickBot="1">
      <c r="A24" s="777"/>
    </row>
    <row r="25" spans="1:8" ht="16.149999999999999" customHeight="1" thickBot="1">
      <c r="A25" s="4712">
        <v>20</v>
      </c>
      <c r="B25" s="4713"/>
      <c r="C25" s="1851" t="s">
        <v>976</v>
      </c>
    </row>
    <row r="26" spans="1:8" ht="9" customHeight="1">
      <c r="A26" s="777"/>
    </row>
    <row r="27" spans="1:8" ht="28.15" customHeight="1">
      <c r="A27" s="4716" t="s">
        <v>4090</v>
      </c>
      <c r="B27" s="4716"/>
      <c r="C27" s="4716"/>
      <c r="D27" s="4716"/>
      <c r="E27" s="4716"/>
      <c r="F27" s="4716"/>
      <c r="G27" s="4716"/>
      <c r="H27" s="4716"/>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11" t="s">
        <v>2890</v>
      </c>
      <c r="G31" s="4711"/>
      <c r="H31" s="4711"/>
    </row>
    <row r="32" spans="1:8" ht="12.75" customHeight="1">
      <c r="C32" s="823" t="s">
        <v>1276</v>
      </c>
      <c r="D32" s="821" t="s">
        <v>1847</v>
      </c>
      <c r="E32" s="4711" t="s">
        <v>2987</v>
      </c>
      <c r="F32" s="4711"/>
      <c r="G32" s="4711"/>
      <c r="H32" s="4711"/>
    </row>
    <row r="33" spans="1:11" ht="12.75" customHeight="1">
      <c r="C33" s="1849" t="s">
        <v>4088</v>
      </c>
      <c r="E33" s="4711" t="s">
        <v>3124</v>
      </c>
      <c r="F33" s="4711"/>
      <c r="G33" s="4711"/>
      <c r="H33" s="4711"/>
    </row>
    <row r="34" spans="1:11" ht="12.75" customHeight="1">
      <c r="C34" s="1850"/>
      <c r="D34" s="1848" t="s">
        <v>2986</v>
      </c>
      <c r="E34" s="4714" t="s">
        <v>3125</v>
      </c>
      <c r="F34" s="4714"/>
      <c r="G34" s="4714"/>
      <c r="H34" s="4714"/>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11" t="s">
        <v>2987</v>
      </c>
      <c r="F37" s="4711"/>
      <c r="G37" s="4711"/>
      <c r="H37" s="4711"/>
    </row>
    <row r="38" spans="1:11" ht="12.75" customHeight="1">
      <c r="C38" s="1849" t="s">
        <v>4088</v>
      </c>
      <c r="E38" s="4711" t="s">
        <v>3124</v>
      </c>
      <c r="F38" s="4711"/>
      <c r="G38" s="4711"/>
      <c r="H38" s="4711"/>
    </row>
    <row r="39" spans="1:11" ht="12.75" customHeight="1">
      <c r="C39" s="1850"/>
      <c r="D39" s="1848" t="s">
        <v>2986</v>
      </c>
      <c r="E39" s="4714" t="s">
        <v>3125</v>
      </c>
      <c r="F39" s="4714"/>
      <c r="G39" s="4714"/>
      <c r="H39" s="4714"/>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11" t="s">
        <v>2987</v>
      </c>
      <c r="F42" s="4711"/>
      <c r="G42" s="4711"/>
      <c r="H42" s="4711"/>
    </row>
    <row r="43" spans="1:11" ht="12.75" customHeight="1">
      <c r="C43" s="1849" t="s">
        <v>4088</v>
      </c>
      <c r="E43" s="4711" t="s">
        <v>3124</v>
      </c>
      <c r="F43" s="4711"/>
      <c r="G43" s="4711"/>
      <c r="H43" s="4711"/>
    </row>
    <row r="44" spans="1:11" ht="12.75" customHeight="1">
      <c r="C44" s="1850"/>
      <c r="D44" s="1848" t="s">
        <v>2986</v>
      </c>
      <c r="E44" s="4714" t="s">
        <v>3125</v>
      </c>
      <c r="F44" s="4714"/>
      <c r="G44" s="4714"/>
      <c r="H44" s="4714"/>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11" t="s">
        <v>2987</v>
      </c>
      <c r="F49" s="4711"/>
      <c r="G49" s="4711"/>
      <c r="H49" s="4711"/>
      <c r="K49" s="1865"/>
    </row>
    <row r="50" spans="1:11" ht="12.75" customHeight="1">
      <c r="C50" s="1849" t="s">
        <v>4088</v>
      </c>
      <c r="E50" s="4711" t="s">
        <v>3124</v>
      </c>
      <c r="F50" s="4711"/>
      <c r="G50" s="4711"/>
      <c r="H50" s="4711"/>
    </row>
    <row r="51" spans="1:11" ht="12.75" customHeight="1">
      <c r="C51" s="1850"/>
      <c r="D51" s="1847" t="s">
        <v>2986</v>
      </c>
      <c r="E51" s="4715" t="s">
        <v>3125</v>
      </c>
      <c r="F51" s="4715"/>
      <c r="G51" s="4715"/>
      <c r="H51" s="4715"/>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11" t="s">
        <v>2987</v>
      </c>
      <c r="F54" s="4711"/>
      <c r="G54" s="4711"/>
      <c r="H54" s="4711"/>
    </row>
    <row r="55" spans="1:11" ht="12.75" customHeight="1">
      <c r="C55" s="1849" t="s">
        <v>4088</v>
      </c>
      <c r="E55" s="4711" t="s">
        <v>3124</v>
      </c>
      <c r="F55" s="4711"/>
      <c r="G55" s="4711"/>
      <c r="H55" s="4711"/>
    </row>
    <row r="56" spans="1:11" ht="12.75" customHeight="1">
      <c r="C56" s="1850"/>
      <c r="D56" s="1848" t="s">
        <v>2986</v>
      </c>
      <c r="E56" s="4714" t="s">
        <v>3125</v>
      </c>
      <c r="F56" s="4714"/>
      <c r="G56" s="4714"/>
      <c r="H56" s="4714"/>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11" t="s">
        <v>2987</v>
      </c>
      <c r="F59" s="4711"/>
      <c r="G59" s="4711"/>
      <c r="H59" s="4711"/>
    </row>
    <row r="60" spans="1:11" ht="12.75" customHeight="1">
      <c r="C60" s="1849" t="s">
        <v>4088</v>
      </c>
      <c r="E60" s="4711" t="s">
        <v>3124</v>
      </c>
      <c r="F60" s="4711"/>
      <c r="G60" s="4711"/>
      <c r="H60" s="4711"/>
    </row>
    <row r="61" spans="1:11" ht="12.75" customHeight="1">
      <c r="C61" s="1850"/>
      <c r="D61" s="1848" t="s">
        <v>2986</v>
      </c>
      <c r="E61" s="4714" t="s">
        <v>3125</v>
      </c>
      <c r="F61" s="4714"/>
      <c r="G61" s="4714"/>
      <c r="H61" s="4714"/>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11" t="s">
        <v>2987</v>
      </c>
      <c r="F66" s="4711"/>
      <c r="G66" s="4711"/>
      <c r="H66" s="4711"/>
    </row>
    <row r="67" spans="1:8" ht="12.75" customHeight="1">
      <c r="C67" s="1849" t="s">
        <v>4088</v>
      </c>
      <c r="E67" s="4711" t="s">
        <v>3124</v>
      </c>
      <c r="F67" s="4711"/>
      <c r="G67" s="4711"/>
      <c r="H67" s="4711"/>
    </row>
    <row r="68" spans="1:8" ht="12.75" customHeight="1">
      <c r="C68" s="1850"/>
      <c r="D68" s="1847" t="s">
        <v>2986</v>
      </c>
      <c r="E68" s="4715" t="s">
        <v>3125</v>
      </c>
      <c r="F68" s="4715"/>
      <c r="G68" s="4715"/>
      <c r="H68" s="4715"/>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1" t="s">
        <v>2987</v>
      </c>
      <c r="F71" s="4711"/>
      <c r="G71" s="4711"/>
      <c r="H71" s="4711"/>
    </row>
    <row r="72" spans="1:8" ht="12.75" customHeight="1">
      <c r="C72" s="1849" t="s">
        <v>4088</v>
      </c>
      <c r="E72" s="4711" t="s">
        <v>3124</v>
      </c>
      <c r="F72" s="4711"/>
      <c r="G72" s="4711"/>
      <c r="H72" s="4711"/>
    </row>
    <row r="73" spans="1:8" ht="12.75" customHeight="1">
      <c r="C73" s="1850"/>
      <c r="D73" s="1848" t="s">
        <v>2986</v>
      </c>
      <c r="E73" s="4714" t="s">
        <v>3125</v>
      </c>
      <c r="F73" s="4714"/>
      <c r="G73" s="4714"/>
      <c r="H73" s="4714"/>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11" t="s">
        <v>2987</v>
      </c>
      <c r="F76" s="4711"/>
      <c r="G76" s="4711"/>
      <c r="H76" s="4711"/>
    </row>
    <row r="77" spans="1:8" ht="12.75" customHeight="1">
      <c r="C77" s="1849" t="s">
        <v>4088</v>
      </c>
      <c r="E77" s="4711" t="s">
        <v>3124</v>
      </c>
      <c r="F77" s="4711"/>
      <c r="G77" s="4711"/>
      <c r="H77" s="4711"/>
    </row>
    <row r="78" spans="1:8" ht="12.75" customHeight="1">
      <c r="C78" s="1850"/>
      <c r="D78" s="1848" t="s">
        <v>2986</v>
      </c>
      <c r="E78" s="4714" t="s">
        <v>3125</v>
      </c>
      <c r="F78" s="4714"/>
      <c r="G78" s="4714"/>
      <c r="H78" s="4714"/>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11" t="s">
        <v>2987</v>
      </c>
      <c r="F83" s="4711"/>
      <c r="G83" s="4711"/>
      <c r="H83" s="4711"/>
    </row>
    <row r="84" spans="3:8" ht="12.75" customHeight="1">
      <c r="C84" s="1849" t="s">
        <v>4088</v>
      </c>
      <c r="E84" s="4711" t="s">
        <v>3124</v>
      </c>
      <c r="F84" s="4711"/>
      <c r="G84" s="4711"/>
      <c r="H84" s="4711"/>
    </row>
    <row r="85" spans="3:8" ht="12.75" customHeight="1">
      <c r="C85" s="1850"/>
      <c r="D85" s="1847" t="s">
        <v>2986</v>
      </c>
      <c r="E85" s="4715" t="s">
        <v>3125</v>
      </c>
      <c r="F85" s="4715"/>
      <c r="G85" s="4715"/>
      <c r="H85" s="4715"/>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11" t="s">
        <v>2987</v>
      </c>
      <c r="F88" s="4711"/>
      <c r="G88" s="4711"/>
      <c r="H88" s="4711"/>
    </row>
    <row r="89" spans="3:8" ht="12.75" customHeight="1">
      <c r="C89" s="1849" t="s">
        <v>4088</v>
      </c>
      <c r="E89" s="4711" t="s">
        <v>3124</v>
      </c>
      <c r="F89" s="4711"/>
      <c r="G89" s="4711"/>
      <c r="H89" s="4711"/>
    </row>
    <row r="90" spans="3:8" ht="12.75" customHeight="1">
      <c r="C90" s="1850"/>
      <c r="D90" s="1848" t="s">
        <v>2986</v>
      </c>
      <c r="E90" s="4714" t="s">
        <v>3125</v>
      </c>
      <c r="F90" s="4714"/>
      <c r="G90" s="4714"/>
      <c r="H90" s="4714"/>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11" t="s">
        <v>2987</v>
      </c>
      <c r="F93" s="4711"/>
      <c r="G93" s="4711"/>
      <c r="H93" s="4711"/>
    </row>
    <row r="94" spans="3:8" ht="12.75" customHeight="1">
      <c r="C94" s="1849" t="s">
        <v>4088</v>
      </c>
      <c r="E94" s="4711" t="s">
        <v>3124</v>
      </c>
      <c r="F94" s="4711"/>
      <c r="G94" s="4711"/>
      <c r="H94" s="4711"/>
    </row>
    <row r="95" spans="3:8" ht="12.75" customHeight="1">
      <c r="C95" s="1850"/>
      <c r="D95" s="1848" t="s">
        <v>2986</v>
      </c>
      <c r="E95" s="4714" t="s">
        <v>3125</v>
      </c>
      <c r="F95" s="4714"/>
      <c r="G95" s="4714"/>
      <c r="H95" s="4714"/>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11" t="s">
        <v>2890</v>
      </c>
      <c r="G99" s="4711"/>
      <c r="H99" s="4711"/>
      <c r="K99" s="774" t="s">
        <v>233</v>
      </c>
    </row>
    <row r="100" spans="1:11" ht="12.75" customHeight="1">
      <c r="C100" s="823" t="s">
        <v>1276</v>
      </c>
      <c r="D100" s="821" t="s">
        <v>1847</v>
      </c>
      <c r="E100" s="4711" t="s">
        <v>2988</v>
      </c>
      <c r="F100" s="4711"/>
      <c r="G100" s="4711"/>
      <c r="H100" s="4711"/>
    </row>
    <row r="101" spans="1:11" ht="12.75" customHeight="1">
      <c r="E101" s="4711" t="s">
        <v>3124</v>
      </c>
      <c r="F101" s="4711"/>
      <c r="G101" s="4711"/>
      <c r="H101" s="4711"/>
    </row>
    <row r="102" spans="1:11" ht="12.75" customHeight="1">
      <c r="D102" s="824" t="s">
        <v>2986</v>
      </c>
      <c r="E102" s="4711" t="s">
        <v>3125</v>
      </c>
      <c r="F102" s="4711"/>
      <c r="G102" s="4711"/>
      <c r="H102" s="4711"/>
    </row>
    <row r="103" spans="1:11" ht="9" customHeight="1" thickBot="1"/>
    <row r="104" spans="1:11" ht="16.149999999999999" customHeight="1" thickBot="1">
      <c r="A104" s="4712">
        <v>30</v>
      </c>
      <c r="B104" s="4713"/>
      <c r="C104" s="1851" t="s">
        <v>976</v>
      </c>
    </row>
    <row r="105" spans="1:11" ht="9" customHeight="1">
      <c r="A105" s="777"/>
    </row>
    <row r="106" spans="1:11" ht="28.15" customHeight="1">
      <c r="A106" s="4716" t="s">
        <v>4091</v>
      </c>
      <c r="B106" s="4716"/>
      <c r="C106" s="4716"/>
      <c r="D106" s="4716"/>
      <c r="E106" s="4716"/>
      <c r="F106" s="4716"/>
      <c r="G106" s="4716"/>
      <c r="H106" s="4716"/>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11" t="s">
        <v>2890</v>
      </c>
      <c r="G110" s="4711"/>
      <c r="H110" s="4711"/>
    </row>
    <row r="111" spans="1:11" ht="12.75" customHeight="1">
      <c r="C111" s="823" t="s">
        <v>1276</v>
      </c>
      <c r="D111" s="821" t="s">
        <v>1847</v>
      </c>
      <c r="E111" s="4711" t="s">
        <v>2987</v>
      </c>
      <c r="F111" s="4711"/>
      <c r="G111" s="4711"/>
      <c r="H111" s="4711"/>
    </row>
    <row r="112" spans="1:11" ht="12.75" customHeight="1">
      <c r="C112" s="1849" t="s">
        <v>4088</v>
      </c>
      <c r="E112" s="4711" t="s">
        <v>3124</v>
      </c>
      <c r="F112" s="4711"/>
      <c r="G112" s="4711"/>
      <c r="H112" s="4711"/>
    </row>
    <row r="113" spans="1:8" ht="12.75" customHeight="1">
      <c r="C113" s="1850"/>
      <c r="D113" s="1848" t="s">
        <v>2986</v>
      </c>
      <c r="E113" s="4714" t="s">
        <v>3125</v>
      </c>
      <c r="F113" s="4714"/>
      <c r="G113" s="4714"/>
      <c r="H113" s="4714"/>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11" t="s">
        <v>2987</v>
      </c>
      <c r="F116" s="4711"/>
      <c r="G116" s="4711"/>
      <c r="H116" s="4711"/>
    </row>
    <row r="117" spans="1:8" ht="12.75" customHeight="1">
      <c r="C117" s="1849" t="s">
        <v>4088</v>
      </c>
      <c r="E117" s="4711" t="s">
        <v>3124</v>
      </c>
      <c r="F117" s="4711"/>
      <c r="G117" s="4711"/>
      <c r="H117" s="4711"/>
    </row>
    <row r="118" spans="1:8" ht="12.75" customHeight="1">
      <c r="C118" s="1850"/>
      <c r="D118" s="1848" t="s">
        <v>2986</v>
      </c>
      <c r="E118" s="4714" t="s">
        <v>3125</v>
      </c>
      <c r="F118" s="4714"/>
      <c r="G118" s="4714"/>
      <c r="H118" s="4714"/>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11" t="s">
        <v>2987</v>
      </c>
      <c r="F121" s="4711"/>
      <c r="G121" s="4711"/>
      <c r="H121" s="4711"/>
    </row>
    <row r="122" spans="1:8" ht="12.75" customHeight="1">
      <c r="C122" s="1849" t="s">
        <v>4088</v>
      </c>
      <c r="E122" s="4711" t="s">
        <v>3124</v>
      </c>
      <c r="F122" s="4711"/>
      <c r="G122" s="4711"/>
      <c r="H122" s="4711"/>
    </row>
    <row r="123" spans="1:8" ht="12.75" customHeight="1">
      <c r="C123" s="1850"/>
      <c r="D123" s="1848" t="s">
        <v>2986</v>
      </c>
      <c r="E123" s="4714" t="s">
        <v>3125</v>
      </c>
      <c r="F123" s="4714"/>
      <c r="G123" s="4714"/>
      <c r="H123" s="4714"/>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11" t="s">
        <v>2987</v>
      </c>
      <c r="F128" s="4711"/>
      <c r="G128" s="4711"/>
      <c r="H128" s="4711"/>
    </row>
    <row r="129" spans="1:8" ht="12.75" customHeight="1">
      <c r="C129" s="1849" t="s">
        <v>4088</v>
      </c>
      <c r="E129" s="4711" t="s">
        <v>3124</v>
      </c>
      <c r="F129" s="4711"/>
      <c r="G129" s="4711"/>
      <c r="H129" s="4711"/>
    </row>
    <row r="130" spans="1:8" ht="12.75" customHeight="1">
      <c r="C130" s="1850"/>
      <c r="D130" s="1847" t="s">
        <v>2986</v>
      </c>
      <c r="E130" s="4715" t="s">
        <v>3125</v>
      </c>
      <c r="F130" s="4715"/>
      <c r="G130" s="4715"/>
      <c r="H130" s="4715"/>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11" t="s">
        <v>2987</v>
      </c>
      <c r="F133" s="4711"/>
      <c r="G133" s="4711"/>
      <c r="H133" s="4711"/>
    </row>
    <row r="134" spans="1:8" ht="12.75" customHeight="1">
      <c r="C134" s="1849" t="s">
        <v>4088</v>
      </c>
      <c r="E134" s="4711" t="s">
        <v>3124</v>
      </c>
      <c r="F134" s="4711"/>
      <c r="G134" s="4711"/>
      <c r="H134" s="4711"/>
    </row>
    <row r="135" spans="1:8" ht="12.75" customHeight="1">
      <c r="C135" s="1850"/>
      <c r="D135" s="1848" t="s">
        <v>2986</v>
      </c>
      <c r="E135" s="4714" t="s">
        <v>3125</v>
      </c>
      <c r="F135" s="4714"/>
      <c r="G135" s="4714"/>
      <c r="H135" s="4714"/>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11" t="s">
        <v>2987</v>
      </c>
      <c r="F138" s="4711"/>
      <c r="G138" s="4711"/>
      <c r="H138" s="4711"/>
    </row>
    <row r="139" spans="1:8" ht="12.75" customHeight="1">
      <c r="C139" s="1849" t="s">
        <v>4088</v>
      </c>
      <c r="E139" s="4711" t="s">
        <v>3124</v>
      </c>
      <c r="F139" s="4711"/>
      <c r="G139" s="4711"/>
      <c r="H139" s="4711"/>
    </row>
    <row r="140" spans="1:8" ht="12.75" customHeight="1">
      <c r="C140" s="1850"/>
      <c r="D140" s="1848" t="s">
        <v>2986</v>
      </c>
      <c r="E140" s="4714" t="s">
        <v>3125</v>
      </c>
      <c r="F140" s="4714"/>
      <c r="G140" s="4714"/>
      <c r="H140" s="4714"/>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11" t="s">
        <v>2987</v>
      </c>
      <c r="F145" s="4711"/>
      <c r="G145" s="4711"/>
      <c r="H145" s="4711"/>
    </row>
    <row r="146" spans="1:8" ht="12.75" customHeight="1">
      <c r="C146" s="1849" t="s">
        <v>4088</v>
      </c>
      <c r="E146" s="4711" t="s">
        <v>3124</v>
      </c>
      <c r="F146" s="4711"/>
      <c r="G146" s="4711"/>
      <c r="H146" s="4711"/>
    </row>
    <row r="147" spans="1:8" ht="12.75" customHeight="1">
      <c r="C147" s="1850"/>
      <c r="D147" s="1847" t="s">
        <v>2986</v>
      </c>
      <c r="E147" s="4715" t="s">
        <v>3125</v>
      </c>
      <c r="F147" s="4715"/>
      <c r="G147" s="4715"/>
      <c r="H147" s="4715"/>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11" t="s">
        <v>2987</v>
      </c>
      <c r="F150" s="4711"/>
      <c r="G150" s="4711"/>
      <c r="H150" s="4711"/>
    </row>
    <row r="151" spans="1:8" ht="12.75" customHeight="1">
      <c r="C151" s="1849" t="s">
        <v>4088</v>
      </c>
      <c r="E151" s="4711" t="s">
        <v>3124</v>
      </c>
      <c r="F151" s="4711"/>
      <c r="G151" s="4711"/>
      <c r="H151" s="4711"/>
    </row>
    <row r="152" spans="1:8" ht="12.75" customHeight="1">
      <c r="C152" s="1850"/>
      <c r="D152" s="1848" t="s">
        <v>2986</v>
      </c>
      <c r="E152" s="4714" t="s">
        <v>3125</v>
      </c>
      <c r="F152" s="4714"/>
      <c r="G152" s="4714"/>
      <c r="H152" s="4714"/>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11" t="s">
        <v>2987</v>
      </c>
      <c r="F155" s="4711"/>
      <c r="G155" s="4711"/>
      <c r="H155" s="4711"/>
    </row>
    <row r="156" spans="1:8" ht="12.75" customHeight="1">
      <c r="C156" s="1849" t="s">
        <v>4088</v>
      </c>
      <c r="E156" s="4711" t="s">
        <v>3124</v>
      </c>
      <c r="F156" s="4711"/>
      <c r="G156" s="4711"/>
      <c r="H156" s="4711"/>
    </row>
    <row r="157" spans="1:8" ht="12.75" customHeight="1">
      <c r="C157" s="1850"/>
      <c r="D157" s="1848" t="s">
        <v>2986</v>
      </c>
      <c r="E157" s="4714" t="s">
        <v>3125</v>
      </c>
      <c r="F157" s="4714"/>
      <c r="G157" s="4714"/>
      <c r="H157" s="4714"/>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11" t="s">
        <v>2987</v>
      </c>
      <c r="F162" s="4711"/>
      <c r="G162" s="4711"/>
      <c r="H162" s="4711"/>
    </row>
    <row r="163" spans="1:8" ht="12.75" customHeight="1">
      <c r="C163" s="1849" t="s">
        <v>4088</v>
      </c>
      <c r="E163" s="4711" t="s">
        <v>3124</v>
      </c>
      <c r="F163" s="4711"/>
      <c r="G163" s="4711"/>
      <c r="H163" s="4711"/>
    </row>
    <row r="164" spans="1:8" ht="12.75" customHeight="1">
      <c r="C164" s="1850"/>
      <c r="D164" s="1847" t="s">
        <v>2986</v>
      </c>
      <c r="E164" s="4715" t="s">
        <v>3125</v>
      </c>
      <c r="F164" s="4715"/>
      <c r="G164" s="4715"/>
      <c r="H164" s="4715"/>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11" t="s">
        <v>2987</v>
      </c>
      <c r="F167" s="4711"/>
      <c r="G167" s="4711"/>
      <c r="H167" s="4711"/>
    </row>
    <row r="168" spans="1:8" ht="12.75" customHeight="1">
      <c r="C168" s="1849" t="s">
        <v>4088</v>
      </c>
      <c r="E168" s="4711" t="s">
        <v>3124</v>
      </c>
      <c r="F168" s="4711"/>
      <c r="G168" s="4711"/>
      <c r="H168" s="4711"/>
    </row>
    <row r="169" spans="1:8" ht="12.75" customHeight="1">
      <c r="C169" s="1850"/>
      <c r="D169" s="1848" t="s">
        <v>2986</v>
      </c>
      <c r="E169" s="4714" t="s">
        <v>3125</v>
      </c>
      <c r="F169" s="4714"/>
      <c r="G169" s="4714"/>
      <c r="H169" s="4714"/>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11" t="s">
        <v>2987</v>
      </c>
      <c r="F172" s="4711"/>
      <c r="G172" s="4711"/>
      <c r="H172" s="4711"/>
    </row>
    <row r="173" spans="1:8" ht="12.75" customHeight="1">
      <c r="C173" s="1849" t="s">
        <v>4088</v>
      </c>
      <c r="E173" s="4711" t="s">
        <v>3124</v>
      </c>
      <c r="F173" s="4711"/>
      <c r="G173" s="4711"/>
      <c r="H173" s="4711"/>
    </row>
    <row r="174" spans="1:8" ht="12.75" customHeight="1">
      <c r="C174" s="1850"/>
      <c r="D174" s="1848" t="s">
        <v>2986</v>
      </c>
      <c r="E174" s="4714" t="s">
        <v>3125</v>
      </c>
      <c r="F174" s="4714"/>
      <c r="G174" s="4714"/>
      <c r="H174" s="4714"/>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11" t="s">
        <v>2890</v>
      </c>
      <c r="G178" s="4711"/>
      <c r="H178" s="4711"/>
      <c r="K178" s="774" t="s">
        <v>233</v>
      </c>
    </row>
    <row r="179" spans="1:11" ht="12.75" customHeight="1">
      <c r="C179" s="823" t="s">
        <v>1276</v>
      </c>
      <c r="D179" s="821" t="s">
        <v>1847</v>
      </c>
      <c r="E179" s="4711" t="s">
        <v>2988</v>
      </c>
      <c r="F179" s="4711"/>
      <c r="G179" s="4711"/>
      <c r="H179" s="4711"/>
    </row>
    <row r="180" spans="1:11" ht="12.75" customHeight="1">
      <c r="E180" s="4711" t="s">
        <v>3124</v>
      </c>
      <c r="F180" s="4711"/>
      <c r="G180" s="4711"/>
      <c r="H180" s="4711"/>
    </row>
    <row r="181" spans="1:11" ht="12.75" customHeight="1">
      <c r="D181" s="824" t="s">
        <v>2986</v>
      </c>
      <c r="E181" s="4711" t="s">
        <v>3125</v>
      </c>
      <c r="F181" s="4711"/>
      <c r="G181" s="4711"/>
      <c r="H181" s="4711"/>
    </row>
    <row r="182" spans="1:11" ht="9" customHeight="1" thickBot="1"/>
    <row r="183" spans="1:11" ht="16.149999999999999" customHeight="1" thickBot="1">
      <c r="A183" s="4712">
        <v>40</v>
      </c>
      <c r="B183" s="4713"/>
      <c r="C183" s="1851" t="s">
        <v>976</v>
      </c>
    </row>
    <row r="184" spans="1:11" ht="9" customHeight="1">
      <c r="A184" s="777"/>
    </row>
    <row r="185" spans="1:11" ht="28.15" customHeight="1">
      <c r="A185" s="4716" t="s">
        <v>4092</v>
      </c>
      <c r="B185" s="4716"/>
      <c r="C185" s="4716"/>
      <c r="D185" s="4716"/>
      <c r="E185" s="4716"/>
      <c r="F185" s="4716"/>
      <c r="G185" s="4716"/>
      <c r="H185" s="4716"/>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11" t="s">
        <v>2890</v>
      </c>
      <c r="G189" s="4711"/>
      <c r="H189" s="4711"/>
    </row>
    <row r="190" spans="1:11" ht="12.75" customHeight="1">
      <c r="C190" s="823" t="s">
        <v>1276</v>
      </c>
      <c r="D190" s="821" t="s">
        <v>1847</v>
      </c>
      <c r="E190" s="4711" t="s">
        <v>2987</v>
      </c>
      <c r="F190" s="4711"/>
      <c r="G190" s="4711"/>
      <c r="H190" s="4711"/>
    </row>
    <row r="191" spans="1:11" ht="12.75" customHeight="1">
      <c r="C191" s="1849" t="s">
        <v>4088</v>
      </c>
      <c r="E191" s="4711" t="s">
        <v>3124</v>
      </c>
      <c r="F191" s="4711"/>
      <c r="G191" s="4711"/>
      <c r="H191" s="4711"/>
    </row>
    <row r="192" spans="1:11" ht="12.75" customHeight="1">
      <c r="C192" s="1850"/>
      <c r="D192" s="1848" t="s">
        <v>2986</v>
      </c>
      <c r="E192" s="4714" t="s">
        <v>3125</v>
      </c>
      <c r="F192" s="4714"/>
      <c r="G192" s="4714"/>
      <c r="H192" s="4714"/>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11" t="s">
        <v>2987</v>
      </c>
      <c r="F195" s="4711"/>
      <c r="G195" s="4711"/>
      <c r="H195" s="4711"/>
    </row>
    <row r="196" spans="1:8" ht="12.75" customHeight="1">
      <c r="C196" s="1849" t="s">
        <v>4088</v>
      </c>
      <c r="E196" s="4711" t="s">
        <v>3124</v>
      </c>
      <c r="F196" s="4711"/>
      <c r="G196" s="4711"/>
      <c r="H196" s="4711"/>
    </row>
    <row r="197" spans="1:8" ht="12.75" customHeight="1">
      <c r="C197" s="1850"/>
      <c r="D197" s="1848" t="s">
        <v>2986</v>
      </c>
      <c r="E197" s="4714" t="s">
        <v>3125</v>
      </c>
      <c r="F197" s="4714"/>
      <c r="G197" s="4714"/>
      <c r="H197" s="4714"/>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11" t="s">
        <v>2987</v>
      </c>
      <c r="F200" s="4711"/>
      <c r="G200" s="4711"/>
      <c r="H200" s="4711"/>
    </row>
    <row r="201" spans="1:8" ht="12.75" customHeight="1">
      <c r="C201" s="1849" t="s">
        <v>4088</v>
      </c>
      <c r="E201" s="4711" t="s">
        <v>3124</v>
      </c>
      <c r="F201" s="4711"/>
      <c r="G201" s="4711"/>
      <c r="H201" s="4711"/>
    </row>
    <row r="202" spans="1:8" ht="12.75" customHeight="1">
      <c r="C202" s="1850"/>
      <c r="D202" s="1848" t="s">
        <v>2986</v>
      </c>
      <c r="E202" s="4714" t="s">
        <v>3125</v>
      </c>
      <c r="F202" s="4714"/>
      <c r="G202" s="4714"/>
      <c r="H202" s="4714"/>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11" t="s">
        <v>2987</v>
      </c>
      <c r="F207" s="4711"/>
      <c r="G207" s="4711"/>
      <c r="H207" s="4711"/>
    </row>
    <row r="208" spans="1:8" ht="12.75" customHeight="1">
      <c r="C208" s="1849" t="s">
        <v>4088</v>
      </c>
      <c r="E208" s="4711" t="s">
        <v>3124</v>
      </c>
      <c r="F208" s="4711"/>
      <c r="G208" s="4711"/>
      <c r="H208" s="4711"/>
    </row>
    <row r="209" spans="1:8" ht="12.75" customHeight="1">
      <c r="C209" s="1850"/>
      <c r="D209" s="1847" t="s">
        <v>2986</v>
      </c>
      <c r="E209" s="4715" t="s">
        <v>3125</v>
      </c>
      <c r="F209" s="4715"/>
      <c r="G209" s="4715"/>
      <c r="H209" s="4715"/>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11" t="s">
        <v>2987</v>
      </c>
      <c r="F212" s="4711"/>
      <c r="G212" s="4711"/>
      <c r="H212" s="4711"/>
    </row>
    <row r="213" spans="1:8" ht="12.75" customHeight="1">
      <c r="C213" s="1849" t="s">
        <v>4088</v>
      </c>
      <c r="E213" s="4711" t="s">
        <v>3124</v>
      </c>
      <c r="F213" s="4711"/>
      <c r="G213" s="4711"/>
      <c r="H213" s="4711"/>
    </row>
    <row r="214" spans="1:8" ht="12.75" customHeight="1">
      <c r="C214" s="1850"/>
      <c r="D214" s="1848" t="s">
        <v>2986</v>
      </c>
      <c r="E214" s="4714" t="s">
        <v>3125</v>
      </c>
      <c r="F214" s="4714"/>
      <c r="G214" s="4714"/>
      <c r="H214" s="4714"/>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11" t="s">
        <v>2987</v>
      </c>
      <c r="F217" s="4711"/>
      <c r="G217" s="4711"/>
      <c r="H217" s="4711"/>
    </row>
    <row r="218" spans="1:8" ht="12.75" customHeight="1">
      <c r="C218" s="1849" t="s">
        <v>4088</v>
      </c>
      <c r="E218" s="4711" t="s">
        <v>3124</v>
      </c>
      <c r="F218" s="4711"/>
      <c r="G218" s="4711"/>
      <c r="H218" s="4711"/>
    </row>
    <row r="219" spans="1:8" ht="12.75" customHeight="1">
      <c r="C219" s="1850"/>
      <c r="D219" s="1848" t="s">
        <v>2986</v>
      </c>
      <c r="E219" s="4714" t="s">
        <v>3125</v>
      </c>
      <c r="F219" s="4714"/>
      <c r="G219" s="4714"/>
      <c r="H219" s="4714"/>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11" t="s">
        <v>2987</v>
      </c>
      <c r="F224" s="4711"/>
      <c r="G224" s="4711"/>
      <c r="H224" s="4711"/>
    </row>
    <row r="225" spans="1:8" ht="12.75" customHeight="1">
      <c r="C225" s="1849" t="s">
        <v>4088</v>
      </c>
      <c r="E225" s="4711" t="s">
        <v>3124</v>
      </c>
      <c r="F225" s="4711"/>
      <c r="G225" s="4711"/>
      <c r="H225" s="4711"/>
    </row>
    <row r="226" spans="1:8" ht="12.75" customHeight="1">
      <c r="C226" s="1850"/>
      <c r="D226" s="1847" t="s">
        <v>2986</v>
      </c>
      <c r="E226" s="4715" t="s">
        <v>3125</v>
      </c>
      <c r="F226" s="4715"/>
      <c r="G226" s="4715"/>
      <c r="H226" s="4715"/>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11" t="s">
        <v>2987</v>
      </c>
      <c r="F229" s="4711"/>
      <c r="G229" s="4711"/>
      <c r="H229" s="4711"/>
    </row>
    <row r="230" spans="1:8" ht="12.75" customHeight="1">
      <c r="C230" s="1849" t="s">
        <v>4088</v>
      </c>
      <c r="E230" s="4711" t="s">
        <v>3124</v>
      </c>
      <c r="F230" s="4711"/>
      <c r="G230" s="4711"/>
      <c r="H230" s="4711"/>
    </row>
    <row r="231" spans="1:8" ht="12.75" customHeight="1">
      <c r="C231" s="1850"/>
      <c r="D231" s="1848" t="s">
        <v>2986</v>
      </c>
      <c r="E231" s="4714" t="s">
        <v>3125</v>
      </c>
      <c r="F231" s="4714"/>
      <c r="G231" s="4714"/>
      <c r="H231" s="4714"/>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11" t="s">
        <v>2987</v>
      </c>
      <c r="F234" s="4711"/>
      <c r="G234" s="4711"/>
      <c r="H234" s="4711"/>
    </row>
    <row r="235" spans="1:8" ht="12.75" customHeight="1">
      <c r="C235" s="1849" t="s">
        <v>4088</v>
      </c>
      <c r="E235" s="4711" t="s">
        <v>3124</v>
      </c>
      <c r="F235" s="4711"/>
      <c r="G235" s="4711"/>
      <c r="H235" s="4711"/>
    </row>
    <row r="236" spans="1:8" ht="12.75" customHeight="1">
      <c r="C236" s="1850"/>
      <c r="D236" s="1848" t="s">
        <v>2986</v>
      </c>
      <c r="E236" s="4714" t="s">
        <v>3125</v>
      </c>
      <c r="F236" s="4714"/>
      <c r="G236" s="4714"/>
      <c r="H236" s="4714"/>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11" t="s">
        <v>2987</v>
      </c>
      <c r="F241" s="4711"/>
      <c r="G241" s="4711"/>
      <c r="H241" s="4711"/>
    </row>
    <row r="242" spans="1:8" ht="12.75" customHeight="1">
      <c r="C242" s="1849" t="s">
        <v>4088</v>
      </c>
      <c r="E242" s="4711" t="s">
        <v>3124</v>
      </c>
      <c r="F242" s="4711"/>
      <c r="G242" s="4711"/>
      <c r="H242" s="4711"/>
    </row>
    <row r="243" spans="1:8" ht="12.75" customHeight="1">
      <c r="C243" s="1850"/>
      <c r="D243" s="1847" t="s">
        <v>2986</v>
      </c>
      <c r="E243" s="4715" t="s">
        <v>3125</v>
      </c>
      <c r="F243" s="4715"/>
      <c r="G243" s="4715"/>
      <c r="H243" s="4715"/>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11" t="s">
        <v>2987</v>
      </c>
      <c r="F246" s="4711"/>
      <c r="G246" s="4711"/>
      <c r="H246" s="4711"/>
    </row>
    <row r="247" spans="1:8" ht="12.75" customHeight="1">
      <c r="C247" s="1849" t="s">
        <v>4088</v>
      </c>
      <c r="E247" s="4711" t="s">
        <v>3124</v>
      </c>
      <c r="F247" s="4711"/>
      <c r="G247" s="4711"/>
      <c r="H247" s="4711"/>
    </row>
    <row r="248" spans="1:8" ht="12.75" customHeight="1">
      <c r="C248" s="1850"/>
      <c r="D248" s="1848" t="s">
        <v>2986</v>
      </c>
      <c r="E248" s="4714" t="s">
        <v>3125</v>
      </c>
      <c r="F248" s="4714"/>
      <c r="G248" s="4714"/>
      <c r="H248" s="4714"/>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11" t="s">
        <v>2987</v>
      </c>
      <c r="F251" s="4711"/>
      <c r="G251" s="4711"/>
      <c r="H251" s="4711"/>
    </row>
    <row r="252" spans="1:8" ht="12.75" customHeight="1">
      <c r="C252" s="1849" t="s">
        <v>4088</v>
      </c>
      <c r="E252" s="4711" t="s">
        <v>3124</v>
      </c>
      <c r="F252" s="4711"/>
      <c r="G252" s="4711"/>
      <c r="H252" s="4711"/>
    </row>
    <row r="253" spans="1:8" ht="12.75" customHeight="1">
      <c r="C253" s="1850"/>
      <c r="D253" s="1848" t="s">
        <v>2986</v>
      </c>
      <c r="E253" s="4714" t="s">
        <v>3125</v>
      </c>
      <c r="F253" s="4714"/>
      <c r="G253" s="4714"/>
      <c r="H253" s="4714"/>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11" t="s">
        <v>2890</v>
      </c>
      <c r="G257" s="4711"/>
      <c r="H257" s="4711"/>
      <c r="K257" s="774" t="s">
        <v>233</v>
      </c>
    </row>
    <row r="258" spans="1:11" ht="12.75" customHeight="1">
      <c r="C258" s="823" t="s">
        <v>1276</v>
      </c>
      <c r="D258" s="821" t="s">
        <v>1847</v>
      </c>
      <c r="E258" s="4711" t="s">
        <v>2988</v>
      </c>
      <c r="F258" s="4711"/>
      <c r="G258" s="4711"/>
      <c r="H258" s="4711"/>
    </row>
    <row r="259" spans="1:11" ht="12.75" customHeight="1">
      <c r="E259" s="4711" t="s">
        <v>3124</v>
      </c>
      <c r="F259" s="4711"/>
      <c r="G259" s="4711"/>
      <c r="H259" s="4711"/>
    </row>
    <row r="260" spans="1:11" ht="12.75" customHeight="1">
      <c r="D260" s="824" t="s">
        <v>2986</v>
      </c>
      <c r="E260" s="4711" t="s">
        <v>3125</v>
      </c>
      <c r="F260" s="4711"/>
      <c r="G260" s="4711"/>
      <c r="H260" s="4711"/>
    </row>
    <row r="261" spans="1:11" ht="9" customHeight="1" thickBot="1"/>
    <row r="262" spans="1:11" ht="16.149999999999999" customHeight="1" thickBot="1">
      <c r="A262" s="4712">
        <v>50</v>
      </c>
      <c r="B262" s="4713"/>
      <c r="C262" s="1851" t="s">
        <v>976</v>
      </c>
    </row>
    <row r="263" spans="1:11" ht="9" customHeight="1">
      <c r="A263" s="777"/>
    </row>
    <row r="264" spans="1:11" ht="28.15" customHeight="1">
      <c r="A264" s="4716" t="s">
        <v>4089</v>
      </c>
      <c r="B264" s="4716"/>
      <c r="C264" s="4716"/>
      <c r="D264" s="4716"/>
      <c r="E264" s="4716"/>
      <c r="F264" s="4716"/>
      <c r="G264" s="4716"/>
      <c r="H264" s="4716"/>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11" t="s">
        <v>2890</v>
      </c>
      <c r="G268" s="4711"/>
      <c r="H268" s="4711"/>
    </row>
    <row r="269" spans="1:11" ht="12.75" customHeight="1">
      <c r="C269" s="823" t="s">
        <v>1276</v>
      </c>
      <c r="D269" s="821" t="s">
        <v>1847</v>
      </c>
      <c r="E269" s="4711" t="s">
        <v>2987</v>
      </c>
      <c r="F269" s="4711"/>
      <c r="G269" s="4711"/>
      <c r="H269" s="4711"/>
    </row>
    <row r="270" spans="1:11" ht="12.75" customHeight="1">
      <c r="C270" s="1849" t="s">
        <v>4088</v>
      </c>
      <c r="E270" s="4711" t="s">
        <v>3124</v>
      </c>
      <c r="F270" s="4711"/>
      <c r="G270" s="4711"/>
      <c r="H270" s="4711"/>
    </row>
    <row r="271" spans="1:11" ht="12.75" customHeight="1">
      <c r="C271" s="1850"/>
      <c r="D271" s="1848" t="s">
        <v>2986</v>
      </c>
      <c r="E271" s="4714" t="s">
        <v>3125</v>
      </c>
      <c r="F271" s="4714"/>
      <c r="G271" s="4714"/>
      <c r="H271" s="4714"/>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11" t="s">
        <v>2987</v>
      </c>
      <c r="F274" s="4711"/>
      <c r="G274" s="4711"/>
      <c r="H274" s="4711"/>
    </row>
    <row r="275" spans="1:8" ht="12.75" customHeight="1">
      <c r="C275" s="1849" t="s">
        <v>4088</v>
      </c>
      <c r="E275" s="4711" t="s">
        <v>3124</v>
      </c>
      <c r="F275" s="4711"/>
      <c r="G275" s="4711"/>
      <c r="H275" s="4711"/>
    </row>
    <row r="276" spans="1:8" ht="12.75" customHeight="1">
      <c r="C276" s="1850"/>
      <c r="D276" s="1848" t="s">
        <v>2986</v>
      </c>
      <c r="E276" s="4714" t="s">
        <v>3125</v>
      </c>
      <c r="F276" s="4714"/>
      <c r="G276" s="4714"/>
      <c r="H276" s="4714"/>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11" t="s">
        <v>2987</v>
      </c>
      <c r="F279" s="4711"/>
      <c r="G279" s="4711"/>
      <c r="H279" s="4711"/>
    </row>
    <row r="280" spans="1:8" ht="12.75" customHeight="1">
      <c r="C280" s="1849" t="s">
        <v>4088</v>
      </c>
      <c r="E280" s="4711" t="s">
        <v>3124</v>
      </c>
      <c r="F280" s="4711"/>
      <c r="G280" s="4711"/>
      <c r="H280" s="4711"/>
    </row>
    <row r="281" spans="1:8" ht="12.75" customHeight="1">
      <c r="C281" s="1850"/>
      <c r="D281" s="1848" t="s">
        <v>2986</v>
      </c>
      <c r="E281" s="4714" t="s">
        <v>3125</v>
      </c>
      <c r="F281" s="4714"/>
      <c r="G281" s="4714"/>
      <c r="H281" s="4714"/>
    </row>
    <row r="282" spans="1:8" ht="6" customHeight="1">
      <c r="D282" s="821"/>
      <c r="E282" s="1846"/>
      <c r="F282" s="1846"/>
      <c r="G282" s="1846"/>
      <c r="H282" s="1846"/>
    </row>
    <row r="283" spans="1:8">
      <c r="A283" s="792" t="s">
        <v>2982</v>
      </c>
      <c r="B283" s="819">
        <f>IF('Part V-Revenues &amp; Expenses'!$L$59=0,"",'Part V-Revenues &amp; Expenses'!$L$59)</f>
        <v>1</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11" t="s">
        <v>2987</v>
      </c>
      <c r="F286" s="4711"/>
      <c r="G286" s="4711"/>
      <c r="H286" s="4711"/>
    </row>
    <row r="287" spans="1:8" ht="12.75" customHeight="1">
      <c r="C287" s="1849" t="s">
        <v>4088</v>
      </c>
      <c r="E287" s="4711" t="s">
        <v>3124</v>
      </c>
      <c r="F287" s="4711"/>
      <c r="G287" s="4711"/>
      <c r="H287" s="4711"/>
    </row>
    <row r="288" spans="1:8" ht="12.75" customHeight="1">
      <c r="C288" s="1850"/>
      <c r="D288" s="1847" t="s">
        <v>2986</v>
      </c>
      <c r="E288" s="4715" t="s">
        <v>3125</v>
      </c>
      <c r="F288" s="4715"/>
      <c r="G288" s="4715"/>
      <c r="H288" s="4715"/>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11" t="s">
        <v>2987</v>
      </c>
      <c r="F291" s="4711"/>
      <c r="G291" s="4711"/>
      <c r="H291" s="4711"/>
    </row>
    <row r="292" spans="1:8" ht="12.75" customHeight="1">
      <c r="C292" s="1849" t="s">
        <v>4088</v>
      </c>
      <c r="E292" s="4711" t="s">
        <v>3124</v>
      </c>
      <c r="F292" s="4711"/>
      <c r="G292" s="4711"/>
      <c r="H292" s="4711"/>
    </row>
    <row r="293" spans="1:8" ht="12.75" customHeight="1">
      <c r="C293" s="1850"/>
      <c r="D293" s="1848" t="s">
        <v>2986</v>
      </c>
      <c r="E293" s="4714" t="s">
        <v>3125</v>
      </c>
      <c r="F293" s="4714"/>
      <c r="G293" s="4714"/>
      <c r="H293" s="4714"/>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11" t="s">
        <v>2987</v>
      </c>
      <c r="F296" s="4711"/>
      <c r="G296" s="4711"/>
      <c r="H296" s="4711"/>
    </row>
    <row r="297" spans="1:8" ht="12.75" customHeight="1">
      <c r="C297" s="1849" t="s">
        <v>4088</v>
      </c>
      <c r="E297" s="4711" t="s">
        <v>3124</v>
      </c>
      <c r="F297" s="4711"/>
      <c r="G297" s="4711"/>
      <c r="H297" s="4711"/>
    </row>
    <row r="298" spans="1:8" ht="12.75" customHeight="1">
      <c r="C298" s="1850"/>
      <c r="D298" s="1848" t="s">
        <v>2986</v>
      </c>
      <c r="E298" s="4714" t="s">
        <v>3125</v>
      </c>
      <c r="F298" s="4714"/>
      <c r="G298" s="4714"/>
      <c r="H298" s="4714"/>
    </row>
    <row r="299" spans="1:8" ht="6" customHeight="1">
      <c r="D299" s="821"/>
      <c r="E299" s="1846"/>
      <c r="F299" s="1846"/>
      <c r="G299" s="1846"/>
      <c r="H299" s="1846"/>
    </row>
    <row r="300" spans="1:8">
      <c r="A300" s="792" t="s">
        <v>2982</v>
      </c>
      <c r="B300" s="819">
        <f>IF('Part V-Revenues &amp; Expenses'!$M$59=0,"",'Part V-Revenues &amp; Expenses'!$M$59)</f>
        <v>9</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11" t="s">
        <v>2987</v>
      </c>
      <c r="F303" s="4711"/>
      <c r="G303" s="4711"/>
      <c r="H303" s="4711"/>
    </row>
    <row r="304" spans="1:8" ht="12.75" customHeight="1">
      <c r="C304" s="1849" t="s">
        <v>4088</v>
      </c>
      <c r="E304" s="4711" t="s">
        <v>3124</v>
      </c>
      <c r="F304" s="4711"/>
      <c r="G304" s="4711"/>
      <c r="H304" s="4711"/>
    </row>
    <row r="305" spans="1:8" ht="12.75" customHeight="1">
      <c r="C305" s="1850"/>
      <c r="D305" s="1847" t="s">
        <v>2986</v>
      </c>
      <c r="E305" s="4715" t="s">
        <v>3125</v>
      </c>
      <c r="F305" s="4715"/>
      <c r="G305" s="4715"/>
      <c r="H305" s="4715"/>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11" t="s">
        <v>2987</v>
      </c>
      <c r="F308" s="4711"/>
      <c r="G308" s="4711"/>
      <c r="H308" s="4711"/>
    </row>
    <row r="309" spans="1:8" ht="12.75" customHeight="1">
      <c r="C309" s="1849" t="s">
        <v>4088</v>
      </c>
      <c r="E309" s="4711" t="s">
        <v>3124</v>
      </c>
      <c r="F309" s="4711"/>
      <c r="G309" s="4711"/>
      <c r="H309" s="4711"/>
    </row>
    <row r="310" spans="1:8" ht="12.75" customHeight="1">
      <c r="C310" s="1850"/>
      <c r="D310" s="1848" t="s">
        <v>2986</v>
      </c>
      <c r="E310" s="4714" t="s">
        <v>3125</v>
      </c>
      <c r="F310" s="4714"/>
      <c r="G310" s="4714"/>
      <c r="H310" s="4714"/>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11" t="s">
        <v>2987</v>
      </c>
      <c r="F313" s="4711"/>
      <c r="G313" s="4711"/>
      <c r="H313" s="4711"/>
    </row>
    <row r="314" spans="1:8" ht="12.75" customHeight="1">
      <c r="C314" s="1849" t="s">
        <v>4088</v>
      </c>
      <c r="E314" s="4711" t="s">
        <v>3124</v>
      </c>
      <c r="F314" s="4711"/>
      <c r="G314" s="4711"/>
      <c r="H314" s="4711"/>
    </row>
    <row r="315" spans="1:8" ht="12.75" customHeight="1">
      <c r="C315" s="1850"/>
      <c r="D315" s="1848" t="s">
        <v>2986</v>
      </c>
      <c r="E315" s="4714" t="s">
        <v>3125</v>
      </c>
      <c r="F315" s="4714"/>
      <c r="G315" s="4714"/>
      <c r="H315" s="4714"/>
    </row>
    <row r="316" spans="1:8" ht="6" customHeight="1">
      <c r="D316" s="821"/>
      <c r="E316" s="1846"/>
      <c r="F316" s="1846"/>
      <c r="G316" s="1846"/>
      <c r="H316" s="1846"/>
    </row>
    <row r="317" spans="1:8">
      <c r="A317" s="792" t="s">
        <v>2982</v>
      </c>
      <c r="B317" s="819">
        <f>IF('Part V-Revenues &amp; Expenses'!$N$59=0,"",'Part V-Revenues &amp; Expenses'!$N$59)</f>
        <v>5</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11" t="s">
        <v>2987</v>
      </c>
      <c r="F320" s="4711"/>
      <c r="G320" s="4711"/>
      <c r="H320" s="4711"/>
    </row>
    <row r="321" spans="1:11" ht="12.75" customHeight="1">
      <c r="C321" s="1849" t="s">
        <v>4088</v>
      </c>
      <c r="E321" s="4711" t="s">
        <v>3124</v>
      </c>
      <c r="F321" s="4711"/>
      <c r="G321" s="4711"/>
      <c r="H321" s="4711"/>
    </row>
    <row r="322" spans="1:11" ht="12.75" customHeight="1">
      <c r="C322" s="1850"/>
      <c r="D322" s="1847" t="s">
        <v>2986</v>
      </c>
      <c r="E322" s="4715" t="s">
        <v>3125</v>
      </c>
      <c r="F322" s="4715"/>
      <c r="G322" s="4715"/>
      <c r="H322" s="4715"/>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11" t="s">
        <v>2987</v>
      </c>
      <c r="F325" s="4711"/>
      <c r="G325" s="4711"/>
      <c r="H325" s="4711"/>
    </row>
    <row r="326" spans="1:11" ht="12.75" customHeight="1">
      <c r="C326" s="1849" t="s">
        <v>4088</v>
      </c>
      <c r="E326" s="4711" t="s">
        <v>3124</v>
      </c>
      <c r="F326" s="4711"/>
      <c r="G326" s="4711"/>
      <c r="H326" s="4711"/>
    </row>
    <row r="327" spans="1:11" ht="12.75" customHeight="1">
      <c r="C327" s="1850"/>
      <c r="D327" s="1848" t="s">
        <v>2986</v>
      </c>
      <c r="E327" s="4714" t="s">
        <v>3125</v>
      </c>
      <c r="F327" s="4714"/>
      <c r="G327" s="4714"/>
      <c r="H327" s="4714"/>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11" t="s">
        <v>2987</v>
      </c>
      <c r="F330" s="4711"/>
      <c r="G330" s="4711"/>
      <c r="H330" s="4711"/>
    </row>
    <row r="331" spans="1:11" ht="12.75" customHeight="1">
      <c r="C331" s="1849" t="s">
        <v>4088</v>
      </c>
      <c r="E331" s="4711" t="s">
        <v>3124</v>
      </c>
      <c r="F331" s="4711"/>
      <c r="G331" s="4711"/>
      <c r="H331" s="4711"/>
    </row>
    <row r="332" spans="1:11" ht="12.75" customHeight="1">
      <c r="C332" s="1850"/>
      <c r="D332" s="1848" t="s">
        <v>2986</v>
      </c>
      <c r="E332" s="4714" t="s">
        <v>3125</v>
      </c>
      <c r="F332" s="4714"/>
      <c r="G332" s="4714"/>
      <c r="H332" s="4714"/>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11" t="s">
        <v>2890</v>
      </c>
      <c r="G336" s="4711"/>
      <c r="H336" s="4711"/>
      <c r="K336" s="774" t="s">
        <v>233</v>
      </c>
    </row>
    <row r="337" spans="1:8" ht="12.75" customHeight="1">
      <c r="C337" s="823" t="s">
        <v>1276</v>
      </c>
      <c r="D337" s="821" t="s">
        <v>1847</v>
      </c>
      <c r="E337" s="4711" t="s">
        <v>2988</v>
      </c>
      <c r="F337" s="4711"/>
      <c r="G337" s="4711"/>
      <c r="H337" s="4711"/>
    </row>
    <row r="338" spans="1:8" ht="12.75" customHeight="1">
      <c r="E338" s="4711" t="s">
        <v>3124</v>
      </c>
      <c r="F338" s="4711"/>
      <c r="G338" s="4711"/>
      <c r="H338" s="4711"/>
    </row>
    <row r="339" spans="1:8" ht="12.75" customHeight="1">
      <c r="D339" s="824" t="s">
        <v>2986</v>
      </c>
      <c r="E339" s="4711" t="s">
        <v>3125</v>
      </c>
      <c r="F339" s="4711"/>
      <c r="G339" s="4711"/>
      <c r="H339" s="4711"/>
    </row>
    <row r="340" spans="1:8" ht="9" customHeight="1"/>
    <row r="341" spans="1:8" ht="7.5" customHeight="1" thickBot="1">
      <c r="E341" s="4711"/>
      <c r="F341" s="4711"/>
      <c r="G341" s="4711"/>
      <c r="H341" s="4711"/>
    </row>
    <row r="342" spans="1:8" ht="16.149999999999999" customHeight="1" thickBot="1">
      <c r="A342" s="4712">
        <v>60</v>
      </c>
      <c r="B342" s="4713"/>
      <c r="C342" s="1851" t="s">
        <v>976</v>
      </c>
    </row>
    <row r="343" spans="1:8" ht="9" customHeight="1">
      <c r="A343" s="777"/>
    </row>
    <row r="344" spans="1:8" ht="28.15" customHeight="1">
      <c r="A344" s="4716" t="s">
        <v>4093</v>
      </c>
      <c r="B344" s="4716"/>
      <c r="C344" s="4716"/>
      <c r="D344" s="4716"/>
      <c r="E344" s="4716"/>
      <c r="F344" s="4716"/>
      <c r="G344" s="4716"/>
      <c r="H344" s="4716"/>
    </row>
    <row r="345" spans="1:8" ht="9" customHeight="1">
      <c r="A345" s="777"/>
    </row>
    <row r="346" spans="1:8">
      <c r="A346" s="792" t="s">
        <v>2982</v>
      </c>
      <c r="B346" s="819" t="str">
        <f>IF('Part V-Revenues &amp; Expenses'!$K$58=0,"",'Part V-Revenues &amp; Expenses'!$K$58)</f>
        <v/>
      </c>
      <c r="C346" s="792" t="s">
        <v>4083</v>
      </c>
      <c r="D346" s="820" t="s">
        <v>4084</v>
      </c>
    </row>
    <row r="347" spans="1:8" ht="1.9" customHeight="1"/>
    <row r="348" spans="1:8" ht="12.75" customHeight="1">
      <c r="C348" s="787" t="s">
        <v>2889</v>
      </c>
      <c r="D348" s="821" t="s">
        <v>1845</v>
      </c>
      <c r="E348" s="822"/>
      <c r="F348" s="4711" t="s">
        <v>2890</v>
      </c>
      <c r="G348" s="4711"/>
      <c r="H348" s="4711"/>
    </row>
    <row r="349" spans="1:8" ht="12.75" customHeight="1">
      <c r="C349" s="823" t="s">
        <v>1276</v>
      </c>
      <c r="D349" s="821" t="s">
        <v>1847</v>
      </c>
      <c r="E349" s="4711" t="s">
        <v>2987</v>
      </c>
      <c r="F349" s="4711"/>
      <c r="G349" s="4711"/>
      <c r="H349" s="4711"/>
    </row>
    <row r="350" spans="1:8" ht="12.75" customHeight="1">
      <c r="C350" s="1849" t="s">
        <v>4088</v>
      </c>
      <c r="E350" s="4711" t="s">
        <v>3124</v>
      </c>
      <c r="F350" s="4711"/>
      <c r="G350" s="4711"/>
      <c r="H350" s="4711"/>
    </row>
    <row r="351" spans="1:8" ht="12.75" customHeight="1">
      <c r="C351" s="1850"/>
      <c r="D351" s="1848" t="s">
        <v>2986</v>
      </c>
      <c r="E351" s="4714" t="s">
        <v>3125</v>
      </c>
      <c r="F351" s="4714"/>
      <c r="G351" s="4714"/>
      <c r="H351" s="4714"/>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11" t="s">
        <v>2987</v>
      </c>
      <c r="F354" s="4711"/>
      <c r="G354" s="4711"/>
      <c r="H354" s="4711"/>
    </row>
    <row r="355" spans="1:8" ht="12.75" customHeight="1">
      <c r="C355" s="1849" t="s">
        <v>4088</v>
      </c>
      <c r="E355" s="4711" t="s">
        <v>3124</v>
      </c>
      <c r="F355" s="4711"/>
      <c r="G355" s="4711"/>
      <c r="H355" s="4711"/>
    </row>
    <row r="356" spans="1:8" ht="12.75" customHeight="1">
      <c r="C356" s="1850"/>
      <c r="D356" s="1848" t="s">
        <v>2986</v>
      </c>
      <c r="E356" s="4714" t="s">
        <v>3125</v>
      </c>
      <c r="F356" s="4714"/>
      <c r="G356" s="4714"/>
      <c r="H356" s="4714"/>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11" t="s">
        <v>2987</v>
      </c>
      <c r="F359" s="4711"/>
      <c r="G359" s="4711"/>
      <c r="H359" s="4711"/>
    </row>
    <row r="360" spans="1:8" ht="12.75" customHeight="1">
      <c r="C360" s="1849" t="s">
        <v>4088</v>
      </c>
      <c r="E360" s="4711" t="s">
        <v>3124</v>
      </c>
      <c r="F360" s="4711"/>
      <c r="G360" s="4711"/>
      <c r="H360" s="4711"/>
    </row>
    <row r="361" spans="1:8" ht="12.75" customHeight="1">
      <c r="C361" s="1850"/>
      <c r="D361" s="1848" t="s">
        <v>2986</v>
      </c>
      <c r="E361" s="4714" t="s">
        <v>3125</v>
      </c>
      <c r="F361" s="4714"/>
      <c r="G361" s="4714"/>
      <c r="H361" s="4714"/>
    </row>
    <row r="362" spans="1:8" ht="6" customHeight="1">
      <c r="D362" s="821"/>
      <c r="E362" s="1846"/>
      <c r="F362" s="1846"/>
      <c r="G362" s="1846"/>
      <c r="H362" s="1846"/>
    </row>
    <row r="363" spans="1:8">
      <c r="A363" s="792" t="s">
        <v>2982</v>
      </c>
      <c r="B363" s="819">
        <f>IF('Part V-Revenues &amp; Expenses'!$L$58=0,"",'Part V-Revenues &amp; Expenses'!$L$58)</f>
        <v>10</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11" t="s">
        <v>2987</v>
      </c>
      <c r="F366" s="4711"/>
      <c r="G366" s="4711"/>
      <c r="H366" s="4711"/>
    </row>
    <row r="367" spans="1:8" ht="12.75" customHeight="1">
      <c r="C367" s="1849" t="s">
        <v>4088</v>
      </c>
      <c r="E367" s="4711" t="s">
        <v>3124</v>
      </c>
      <c r="F367" s="4711"/>
      <c r="G367" s="4711"/>
      <c r="H367" s="4711"/>
    </row>
    <row r="368" spans="1:8" ht="12.75" customHeight="1">
      <c r="C368" s="1850"/>
      <c r="D368" s="1847" t="s">
        <v>2986</v>
      </c>
      <c r="E368" s="4715" t="s">
        <v>3125</v>
      </c>
      <c r="F368" s="4715"/>
      <c r="G368" s="4715"/>
      <c r="H368" s="4715"/>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11" t="s">
        <v>2987</v>
      </c>
      <c r="F371" s="4711"/>
      <c r="G371" s="4711"/>
      <c r="H371" s="4711"/>
    </row>
    <row r="372" spans="1:8" ht="12.75" customHeight="1">
      <c r="C372" s="1849" t="s">
        <v>4088</v>
      </c>
      <c r="E372" s="4711" t="s">
        <v>3124</v>
      </c>
      <c r="F372" s="4711"/>
      <c r="G372" s="4711"/>
      <c r="H372" s="4711"/>
    </row>
    <row r="373" spans="1:8" ht="12.75" customHeight="1">
      <c r="C373" s="1850"/>
      <c r="D373" s="1848" t="s">
        <v>2986</v>
      </c>
      <c r="E373" s="4714" t="s">
        <v>3125</v>
      </c>
      <c r="F373" s="4714"/>
      <c r="G373" s="4714"/>
      <c r="H373" s="4714"/>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11" t="s">
        <v>2987</v>
      </c>
      <c r="F376" s="4711"/>
      <c r="G376" s="4711"/>
      <c r="H376" s="4711"/>
    </row>
    <row r="377" spans="1:8" ht="12.75" customHeight="1">
      <c r="C377" s="1849" t="s">
        <v>4088</v>
      </c>
      <c r="E377" s="4711" t="s">
        <v>3124</v>
      </c>
      <c r="F377" s="4711"/>
      <c r="G377" s="4711"/>
      <c r="H377" s="4711"/>
    </row>
    <row r="378" spans="1:8" ht="12.75" customHeight="1">
      <c r="C378" s="1850"/>
      <c r="D378" s="1848" t="s">
        <v>2986</v>
      </c>
      <c r="E378" s="4714" t="s">
        <v>3125</v>
      </c>
      <c r="F378" s="4714"/>
      <c r="G378" s="4714"/>
      <c r="H378" s="4714"/>
    </row>
    <row r="379" spans="1:8" ht="6" customHeight="1">
      <c r="D379" s="821"/>
      <c r="E379" s="1846"/>
      <c r="F379" s="1846"/>
      <c r="G379" s="1846"/>
      <c r="H379" s="1846"/>
    </row>
    <row r="380" spans="1:8">
      <c r="A380" s="792" t="s">
        <v>2982</v>
      </c>
      <c r="B380" s="819">
        <f>IF('Part V-Revenues &amp; Expenses'!$M$58=0,"",'Part V-Revenues &amp; Expenses'!$M$58)</f>
        <v>24</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11" t="s">
        <v>2987</v>
      </c>
      <c r="F383" s="4711"/>
      <c r="G383" s="4711"/>
      <c r="H383" s="4711"/>
    </row>
    <row r="384" spans="1:8" ht="12.75" customHeight="1">
      <c r="C384" s="1849" t="s">
        <v>4088</v>
      </c>
      <c r="E384" s="4711" t="s">
        <v>3124</v>
      </c>
      <c r="F384" s="4711"/>
      <c r="G384" s="4711"/>
      <c r="H384" s="4711"/>
    </row>
    <row r="385" spans="1:8" ht="12.75" customHeight="1">
      <c r="C385" s="1850"/>
      <c r="D385" s="1847" t="s">
        <v>2986</v>
      </c>
      <c r="E385" s="4715" t="s">
        <v>3125</v>
      </c>
      <c r="F385" s="4715"/>
      <c r="G385" s="4715"/>
      <c r="H385" s="4715"/>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11" t="s">
        <v>2987</v>
      </c>
      <c r="F388" s="4711"/>
      <c r="G388" s="4711"/>
      <c r="H388" s="4711"/>
    </row>
    <row r="389" spans="1:8" ht="12.75" customHeight="1">
      <c r="C389" s="1849" t="s">
        <v>4088</v>
      </c>
      <c r="E389" s="4711" t="s">
        <v>3124</v>
      </c>
      <c r="F389" s="4711"/>
      <c r="G389" s="4711"/>
      <c r="H389" s="4711"/>
    </row>
    <row r="390" spans="1:8" ht="12.75" customHeight="1">
      <c r="C390" s="1850"/>
      <c r="D390" s="1848" t="s">
        <v>2986</v>
      </c>
      <c r="E390" s="4714" t="s">
        <v>3125</v>
      </c>
      <c r="F390" s="4714"/>
      <c r="G390" s="4714"/>
      <c r="H390" s="4714"/>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11" t="s">
        <v>2987</v>
      </c>
      <c r="F393" s="4711"/>
      <c r="G393" s="4711"/>
      <c r="H393" s="4711"/>
    </row>
    <row r="394" spans="1:8" ht="12.75" customHeight="1">
      <c r="C394" s="1849" t="s">
        <v>4088</v>
      </c>
      <c r="E394" s="4711" t="s">
        <v>3124</v>
      </c>
      <c r="F394" s="4711"/>
      <c r="G394" s="4711"/>
      <c r="H394" s="4711"/>
    </row>
    <row r="395" spans="1:8" ht="12.75" customHeight="1">
      <c r="C395" s="1850"/>
      <c r="D395" s="1848" t="s">
        <v>2986</v>
      </c>
      <c r="E395" s="4714" t="s">
        <v>3125</v>
      </c>
      <c r="F395" s="4714"/>
      <c r="G395" s="4714"/>
      <c r="H395" s="4714"/>
    </row>
    <row r="396" spans="1:8" ht="6" customHeight="1">
      <c r="D396" s="821"/>
      <c r="E396" s="1846"/>
      <c r="F396" s="1846"/>
      <c r="G396" s="1846"/>
      <c r="H396" s="1846"/>
    </row>
    <row r="397" spans="1:8">
      <c r="A397" s="792" t="s">
        <v>2982</v>
      </c>
      <c r="B397" s="819">
        <f>IF('Part V-Revenues &amp; Expenses'!$N$58=0,"",'Part V-Revenues &amp; Expenses'!$N$58)</f>
        <v>15</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11" t="s">
        <v>2987</v>
      </c>
      <c r="F400" s="4711"/>
      <c r="G400" s="4711"/>
      <c r="H400" s="4711"/>
    </row>
    <row r="401" spans="1:11" ht="12.75" customHeight="1">
      <c r="C401" s="1849" t="s">
        <v>4088</v>
      </c>
      <c r="E401" s="4711" t="s">
        <v>3124</v>
      </c>
      <c r="F401" s="4711"/>
      <c r="G401" s="4711"/>
      <c r="H401" s="4711"/>
    </row>
    <row r="402" spans="1:11" ht="12.75" customHeight="1">
      <c r="C402" s="1850"/>
      <c r="D402" s="1847" t="s">
        <v>2986</v>
      </c>
      <c r="E402" s="4715" t="s">
        <v>3125</v>
      </c>
      <c r="F402" s="4715"/>
      <c r="G402" s="4715"/>
      <c r="H402" s="4715"/>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11" t="s">
        <v>2987</v>
      </c>
      <c r="F405" s="4711"/>
      <c r="G405" s="4711"/>
      <c r="H405" s="4711"/>
    </row>
    <row r="406" spans="1:11" ht="12.75" customHeight="1">
      <c r="C406" s="1849" t="s">
        <v>4088</v>
      </c>
      <c r="E406" s="4711" t="s">
        <v>3124</v>
      </c>
      <c r="F406" s="4711"/>
      <c r="G406" s="4711"/>
      <c r="H406" s="4711"/>
    </row>
    <row r="407" spans="1:11" ht="12.75" customHeight="1">
      <c r="C407" s="1850"/>
      <c r="D407" s="1848" t="s">
        <v>2986</v>
      </c>
      <c r="E407" s="4714" t="s">
        <v>3125</v>
      </c>
      <c r="F407" s="4714"/>
      <c r="G407" s="4714"/>
      <c r="H407" s="4714"/>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11" t="s">
        <v>2987</v>
      </c>
      <c r="F410" s="4711"/>
      <c r="G410" s="4711"/>
      <c r="H410" s="4711"/>
    </row>
    <row r="411" spans="1:11" ht="12.75" customHeight="1">
      <c r="C411" s="1849" t="s">
        <v>4088</v>
      </c>
      <c r="E411" s="4711" t="s">
        <v>3124</v>
      </c>
      <c r="F411" s="4711"/>
      <c r="G411" s="4711"/>
      <c r="H411" s="4711"/>
    </row>
    <row r="412" spans="1:11" ht="12.75" customHeight="1">
      <c r="C412" s="1850"/>
      <c r="D412" s="1848" t="s">
        <v>2986</v>
      </c>
      <c r="E412" s="4714" t="s">
        <v>3125</v>
      </c>
      <c r="F412" s="4714"/>
      <c r="G412" s="4714"/>
      <c r="H412" s="4714"/>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11" t="s">
        <v>2890</v>
      </c>
      <c r="G416" s="4711"/>
      <c r="H416" s="4711"/>
      <c r="K416" s="774" t="s">
        <v>233</v>
      </c>
    </row>
    <row r="417" spans="1:8" ht="12.75" customHeight="1">
      <c r="C417" s="823" t="s">
        <v>1276</v>
      </c>
      <c r="D417" s="821" t="s">
        <v>1847</v>
      </c>
      <c r="E417" s="4711" t="s">
        <v>2988</v>
      </c>
      <c r="F417" s="4711"/>
      <c r="G417" s="4711"/>
      <c r="H417" s="4711"/>
    </row>
    <row r="418" spans="1:8" ht="12.75" customHeight="1">
      <c r="E418" s="4711" t="s">
        <v>3124</v>
      </c>
      <c r="F418" s="4711"/>
      <c r="G418" s="4711"/>
      <c r="H418" s="4711"/>
    </row>
    <row r="419" spans="1:8" ht="12.75" customHeight="1">
      <c r="D419" s="824" t="s">
        <v>2986</v>
      </c>
      <c r="E419" s="4711" t="s">
        <v>3125</v>
      </c>
      <c r="F419" s="4711"/>
      <c r="G419" s="4711"/>
      <c r="H419" s="4711"/>
    </row>
    <row r="420" spans="1:8" ht="9" customHeight="1" thickBot="1"/>
    <row r="421" spans="1:8" ht="16.149999999999999" customHeight="1" thickBot="1">
      <c r="A421" s="4712">
        <v>70</v>
      </c>
      <c r="B421" s="4713"/>
      <c r="C421" s="1851" t="s">
        <v>976</v>
      </c>
    </row>
    <row r="422" spans="1:8" ht="9" customHeight="1">
      <c r="A422" s="777"/>
    </row>
    <row r="423" spans="1:8" ht="28.15" customHeight="1">
      <c r="A423" s="4716" t="s">
        <v>4094</v>
      </c>
      <c r="B423" s="4716"/>
      <c r="C423" s="4716"/>
      <c r="D423" s="4716"/>
      <c r="E423" s="4716"/>
      <c r="F423" s="4716"/>
      <c r="G423" s="4716"/>
      <c r="H423" s="4716"/>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11" t="s">
        <v>2890</v>
      </c>
      <c r="G427" s="4711"/>
      <c r="H427" s="4711"/>
    </row>
    <row r="428" spans="1:8" ht="12.75" customHeight="1">
      <c r="C428" s="823" t="s">
        <v>1276</v>
      </c>
      <c r="D428" s="821" t="s">
        <v>1847</v>
      </c>
      <c r="E428" s="4711" t="s">
        <v>2987</v>
      </c>
      <c r="F428" s="4711"/>
      <c r="G428" s="4711"/>
      <c r="H428" s="4711"/>
    </row>
    <row r="429" spans="1:8" ht="12.75" customHeight="1">
      <c r="C429" s="1849" t="s">
        <v>4088</v>
      </c>
      <c r="E429" s="4711" t="s">
        <v>3124</v>
      </c>
      <c r="F429" s="4711"/>
      <c r="G429" s="4711"/>
      <c r="H429" s="4711"/>
    </row>
    <row r="430" spans="1:8" ht="12.75" customHeight="1">
      <c r="C430" s="1850"/>
      <c r="D430" s="1848" t="s">
        <v>2986</v>
      </c>
      <c r="E430" s="4714" t="s">
        <v>3125</v>
      </c>
      <c r="F430" s="4714"/>
      <c r="G430" s="4714"/>
      <c r="H430" s="4714"/>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11" t="s">
        <v>2987</v>
      </c>
      <c r="F433" s="4711"/>
      <c r="G433" s="4711"/>
      <c r="H433" s="4711"/>
    </row>
    <row r="434" spans="1:8" ht="12.75" customHeight="1">
      <c r="C434" s="1849" t="s">
        <v>4088</v>
      </c>
      <c r="E434" s="4711" t="s">
        <v>3124</v>
      </c>
      <c r="F434" s="4711"/>
      <c r="G434" s="4711"/>
      <c r="H434" s="4711"/>
    </row>
    <row r="435" spans="1:8" ht="12.75" customHeight="1">
      <c r="C435" s="1850"/>
      <c r="D435" s="1848" t="s">
        <v>2986</v>
      </c>
      <c r="E435" s="4714" t="s">
        <v>3125</v>
      </c>
      <c r="F435" s="4714"/>
      <c r="G435" s="4714"/>
      <c r="H435" s="4714"/>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11" t="s">
        <v>2987</v>
      </c>
      <c r="F438" s="4711"/>
      <c r="G438" s="4711"/>
      <c r="H438" s="4711"/>
    </row>
    <row r="439" spans="1:8" ht="12.75" customHeight="1">
      <c r="C439" s="1849" t="s">
        <v>4088</v>
      </c>
      <c r="E439" s="4711" t="s">
        <v>3124</v>
      </c>
      <c r="F439" s="4711"/>
      <c r="G439" s="4711"/>
      <c r="H439" s="4711"/>
    </row>
    <row r="440" spans="1:8" ht="12.75" customHeight="1">
      <c r="C440" s="1850"/>
      <c r="D440" s="1848" t="s">
        <v>2986</v>
      </c>
      <c r="E440" s="4714" t="s">
        <v>3125</v>
      </c>
      <c r="F440" s="4714"/>
      <c r="G440" s="4714"/>
      <c r="H440" s="4714"/>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11" t="s">
        <v>2987</v>
      </c>
      <c r="F445" s="4711"/>
      <c r="G445" s="4711"/>
      <c r="H445" s="4711"/>
    </row>
    <row r="446" spans="1:8" ht="12.75" customHeight="1">
      <c r="C446" s="1849" t="s">
        <v>4088</v>
      </c>
      <c r="E446" s="4711" t="s">
        <v>3124</v>
      </c>
      <c r="F446" s="4711"/>
      <c r="G446" s="4711"/>
      <c r="H446" s="4711"/>
    </row>
    <row r="447" spans="1:8" ht="12.75" customHeight="1">
      <c r="C447" s="1850"/>
      <c r="D447" s="1847" t="s">
        <v>2986</v>
      </c>
      <c r="E447" s="4715" t="s">
        <v>3125</v>
      </c>
      <c r="F447" s="4715"/>
      <c r="G447" s="4715"/>
      <c r="H447" s="4715"/>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11" t="s">
        <v>2987</v>
      </c>
      <c r="F450" s="4711"/>
      <c r="G450" s="4711"/>
      <c r="H450" s="4711"/>
    </row>
    <row r="451" spans="1:8" ht="12.75" customHeight="1">
      <c r="C451" s="1849" t="s">
        <v>4088</v>
      </c>
      <c r="E451" s="4711" t="s">
        <v>3124</v>
      </c>
      <c r="F451" s="4711"/>
      <c r="G451" s="4711"/>
      <c r="H451" s="4711"/>
    </row>
    <row r="452" spans="1:8" ht="12.75" customHeight="1">
      <c r="C452" s="1850"/>
      <c r="D452" s="1848" t="s">
        <v>2986</v>
      </c>
      <c r="E452" s="4714" t="s">
        <v>3125</v>
      </c>
      <c r="F452" s="4714"/>
      <c r="G452" s="4714"/>
      <c r="H452" s="4714"/>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11" t="s">
        <v>2987</v>
      </c>
      <c r="F455" s="4711"/>
      <c r="G455" s="4711"/>
      <c r="H455" s="4711"/>
    </row>
    <row r="456" spans="1:8" ht="12.75" customHeight="1">
      <c r="C456" s="1849" t="s">
        <v>4088</v>
      </c>
      <c r="E456" s="4711" t="s">
        <v>3124</v>
      </c>
      <c r="F456" s="4711"/>
      <c r="G456" s="4711"/>
      <c r="H456" s="4711"/>
    </row>
    <row r="457" spans="1:8" ht="12.75" customHeight="1">
      <c r="C457" s="1850"/>
      <c r="D457" s="1848" t="s">
        <v>2986</v>
      </c>
      <c r="E457" s="4714" t="s">
        <v>3125</v>
      </c>
      <c r="F457" s="4714"/>
      <c r="G457" s="4714"/>
      <c r="H457" s="4714"/>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11" t="s">
        <v>2987</v>
      </c>
      <c r="F462" s="4711"/>
      <c r="G462" s="4711"/>
      <c r="H462" s="4711"/>
    </row>
    <row r="463" spans="1:8" ht="12.75" customHeight="1">
      <c r="C463" s="1849" t="s">
        <v>4088</v>
      </c>
      <c r="E463" s="4711" t="s">
        <v>3124</v>
      </c>
      <c r="F463" s="4711"/>
      <c r="G463" s="4711"/>
      <c r="H463" s="4711"/>
    </row>
    <row r="464" spans="1:8" ht="12.75" customHeight="1">
      <c r="C464" s="1850"/>
      <c r="D464" s="1847" t="s">
        <v>2986</v>
      </c>
      <c r="E464" s="4715" t="s">
        <v>3125</v>
      </c>
      <c r="F464" s="4715"/>
      <c r="G464" s="4715"/>
      <c r="H464" s="4715"/>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11" t="s">
        <v>2987</v>
      </c>
      <c r="F467" s="4711"/>
      <c r="G467" s="4711"/>
      <c r="H467" s="4711"/>
    </row>
    <row r="468" spans="1:8" ht="12.75" customHeight="1">
      <c r="C468" s="1849" t="s">
        <v>4088</v>
      </c>
      <c r="E468" s="4711" t="s">
        <v>3124</v>
      </c>
      <c r="F468" s="4711"/>
      <c r="G468" s="4711"/>
      <c r="H468" s="4711"/>
    </row>
    <row r="469" spans="1:8" ht="12.75" customHeight="1">
      <c r="C469" s="1850"/>
      <c r="D469" s="1848" t="s">
        <v>2986</v>
      </c>
      <c r="E469" s="4714" t="s">
        <v>3125</v>
      </c>
      <c r="F469" s="4714"/>
      <c r="G469" s="4714"/>
      <c r="H469" s="4714"/>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11" t="s">
        <v>2987</v>
      </c>
      <c r="F472" s="4711"/>
      <c r="G472" s="4711"/>
      <c r="H472" s="4711"/>
    </row>
    <row r="473" spans="1:8" ht="12.75" customHeight="1">
      <c r="C473" s="1849" t="s">
        <v>4088</v>
      </c>
      <c r="E473" s="4711" t="s">
        <v>3124</v>
      </c>
      <c r="F473" s="4711"/>
      <c r="G473" s="4711"/>
      <c r="H473" s="4711"/>
    </row>
    <row r="474" spans="1:8" ht="12.75" customHeight="1">
      <c r="C474" s="1850"/>
      <c r="D474" s="1848" t="s">
        <v>2986</v>
      </c>
      <c r="E474" s="4714" t="s">
        <v>3125</v>
      </c>
      <c r="F474" s="4714"/>
      <c r="G474" s="4714"/>
      <c r="H474" s="4714"/>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11" t="s">
        <v>2987</v>
      </c>
      <c r="F479" s="4711"/>
      <c r="G479" s="4711"/>
      <c r="H479" s="4711"/>
    </row>
    <row r="480" spans="1:8" ht="12.75" customHeight="1">
      <c r="C480" s="1849" t="s">
        <v>4088</v>
      </c>
      <c r="E480" s="4711" t="s">
        <v>3124</v>
      </c>
      <c r="F480" s="4711"/>
      <c r="G480" s="4711"/>
      <c r="H480" s="4711"/>
    </row>
    <row r="481" spans="1:11" ht="12.75" customHeight="1">
      <c r="C481" s="1850"/>
      <c r="D481" s="1847" t="s">
        <v>2986</v>
      </c>
      <c r="E481" s="4715" t="s">
        <v>3125</v>
      </c>
      <c r="F481" s="4715"/>
      <c r="G481" s="4715"/>
      <c r="H481" s="4715"/>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11" t="s">
        <v>2987</v>
      </c>
      <c r="F484" s="4711"/>
      <c r="G484" s="4711"/>
      <c r="H484" s="4711"/>
    </row>
    <row r="485" spans="1:11" ht="12.75" customHeight="1">
      <c r="C485" s="1849" t="s">
        <v>4088</v>
      </c>
      <c r="E485" s="4711" t="s">
        <v>3124</v>
      </c>
      <c r="F485" s="4711"/>
      <c r="G485" s="4711"/>
      <c r="H485" s="4711"/>
    </row>
    <row r="486" spans="1:11" ht="12.75" customHeight="1">
      <c r="C486" s="1850"/>
      <c r="D486" s="1848" t="s">
        <v>2986</v>
      </c>
      <c r="E486" s="4714" t="s">
        <v>3125</v>
      </c>
      <c r="F486" s="4714"/>
      <c r="G486" s="4714"/>
      <c r="H486" s="4714"/>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11" t="s">
        <v>2987</v>
      </c>
      <c r="F489" s="4711"/>
      <c r="G489" s="4711"/>
      <c r="H489" s="4711"/>
    </row>
    <row r="490" spans="1:11" ht="12.75" customHeight="1">
      <c r="C490" s="1849" t="s">
        <v>4088</v>
      </c>
      <c r="E490" s="4711" t="s">
        <v>3124</v>
      </c>
      <c r="F490" s="4711"/>
      <c r="G490" s="4711"/>
      <c r="H490" s="4711"/>
    </row>
    <row r="491" spans="1:11" ht="12.75" customHeight="1">
      <c r="C491" s="1850"/>
      <c r="D491" s="1848" t="s">
        <v>2986</v>
      </c>
      <c r="E491" s="4714" t="s">
        <v>3125</v>
      </c>
      <c r="F491" s="4714"/>
      <c r="G491" s="4714"/>
      <c r="H491" s="4714"/>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11" t="s">
        <v>2890</v>
      </c>
      <c r="G495" s="4711"/>
      <c r="H495" s="4711"/>
      <c r="K495" s="774" t="s">
        <v>233</v>
      </c>
    </row>
    <row r="496" spans="1:11" ht="12.75" customHeight="1">
      <c r="C496" s="823" t="s">
        <v>1276</v>
      </c>
      <c r="D496" s="821" t="s">
        <v>1847</v>
      </c>
      <c r="E496" s="4711" t="s">
        <v>2988</v>
      </c>
      <c r="F496" s="4711"/>
      <c r="G496" s="4711"/>
      <c r="H496" s="4711"/>
    </row>
    <row r="497" spans="1:8" ht="12.75" customHeight="1">
      <c r="E497" s="4711" t="s">
        <v>3124</v>
      </c>
      <c r="F497" s="4711"/>
      <c r="G497" s="4711"/>
      <c r="H497" s="4711"/>
    </row>
    <row r="498" spans="1:8" ht="12.75" customHeight="1">
      <c r="D498" s="824" t="s">
        <v>2986</v>
      </c>
      <c r="E498" s="4711" t="s">
        <v>3125</v>
      </c>
      <c r="F498" s="4711"/>
      <c r="G498" s="4711"/>
      <c r="H498" s="4711"/>
    </row>
    <row r="499" spans="1:8" ht="9" customHeight="1" thickBot="1"/>
    <row r="500" spans="1:8" ht="16.149999999999999" customHeight="1" thickBot="1">
      <c r="A500" s="4712">
        <v>80</v>
      </c>
      <c r="B500" s="4713"/>
      <c r="C500" s="1851" t="s">
        <v>976</v>
      </c>
    </row>
    <row r="501" spans="1:8" ht="9" customHeight="1">
      <c r="A501" s="777"/>
    </row>
    <row r="502" spans="1:8" ht="28.15" customHeight="1">
      <c r="A502" s="4716" t="s">
        <v>4095</v>
      </c>
      <c r="B502" s="4716"/>
      <c r="C502" s="4716"/>
      <c r="D502" s="4716"/>
      <c r="E502" s="4716"/>
      <c r="F502" s="4716"/>
      <c r="G502" s="4716"/>
      <c r="H502" s="4716"/>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11" t="s">
        <v>2890</v>
      </c>
      <c r="G506" s="4711"/>
      <c r="H506" s="4711"/>
    </row>
    <row r="507" spans="1:8" ht="12.75" customHeight="1">
      <c r="C507" s="823" t="s">
        <v>1276</v>
      </c>
      <c r="D507" s="821" t="s">
        <v>1847</v>
      </c>
      <c r="E507" s="4711" t="s">
        <v>2987</v>
      </c>
      <c r="F507" s="4711"/>
      <c r="G507" s="4711"/>
      <c r="H507" s="4711"/>
    </row>
    <row r="508" spans="1:8" ht="12.75" customHeight="1">
      <c r="C508" s="1849" t="s">
        <v>4088</v>
      </c>
      <c r="E508" s="4711" t="s">
        <v>3124</v>
      </c>
      <c r="F508" s="4711"/>
      <c r="G508" s="4711"/>
      <c r="H508" s="4711"/>
    </row>
    <row r="509" spans="1:8" ht="12.75" customHeight="1">
      <c r="C509" s="1850"/>
      <c r="D509" s="1848" t="s">
        <v>2986</v>
      </c>
      <c r="E509" s="4714" t="s">
        <v>3125</v>
      </c>
      <c r="F509" s="4714"/>
      <c r="G509" s="4714"/>
      <c r="H509" s="4714"/>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11" t="s">
        <v>2987</v>
      </c>
      <c r="F512" s="4711"/>
      <c r="G512" s="4711"/>
      <c r="H512" s="4711"/>
    </row>
    <row r="513" spans="1:8" ht="12.75" customHeight="1">
      <c r="C513" s="1849" t="s">
        <v>4088</v>
      </c>
      <c r="E513" s="4711" t="s">
        <v>3124</v>
      </c>
      <c r="F513" s="4711"/>
      <c r="G513" s="4711"/>
      <c r="H513" s="4711"/>
    </row>
    <row r="514" spans="1:8" ht="12.75" customHeight="1">
      <c r="C514" s="1850"/>
      <c r="D514" s="1848" t="s">
        <v>2986</v>
      </c>
      <c r="E514" s="4714" t="s">
        <v>3125</v>
      </c>
      <c r="F514" s="4714"/>
      <c r="G514" s="4714"/>
      <c r="H514" s="4714"/>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11" t="s">
        <v>2987</v>
      </c>
      <c r="F517" s="4711"/>
      <c r="G517" s="4711"/>
      <c r="H517" s="4711"/>
    </row>
    <row r="518" spans="1:8" ht="12.75" customHeight="1">
      <c r="C518" s="1849" t="s">
        <v>4088</v>
      </c>
      <c r="E518" s="4711" t="s">
        <v>3124</v>
      </c>
      <c r="F518" s="4711"/>
      <c r="G518" s="4711"/>
      <c r="H518" s="4711"/>
    </row>
    <row r="519" spans="1:8" ht="12.75" customHeight="1">
      <c r="C519" s="1850"/>
      <c r="D519" s="1848" t="s">
        <v>2986</v>
      </c>
      <c r="E519" s="4714" t="s">
        <v>3125</v>
      </c>
      <c r="F519" s="4714"/>
      <c r="G519" s="4714"/>
      <c r="H519" s="4714"/>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11" t="s">
        <v>2987</v>
      </c>
      <c r="F524" s="4711"/>
      <c r="G524" s="4711"/>
      <c r="H524" s="4711"/>
    </row>
    <row r="525" spans="1:8" ht="12.75" customHeight="1">
      <c r="C525" s="1849" t="s">
        <v>4088</v>
      </c>
      <c r="E525" s="4711" t="s">
        <v>3124</v>
      </c>
      <c r="F525" s="4711"/>
      <c r="G525" s="4711"/>
      <c r="H525" s="4711"/>
    </row>
    <row r="526" spans="1:8" ht="12.75" customHeight="1">
      <c r="C526" s="1850"/>
      <c r="D526" s="1847" t="s">
        <v>2986</v>
      </c>
      <c r="E526" s="4715" t="s">
        <v>3125</v>
      </c>
      <c r="F526" s="4715"/>
      <c r="G526" s="4715"/>
      <c r="H526" s="4715"/>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11" t="s">
        <v>2987</v>
      </c>
      <c r="F529" s="4711"/>
      <c r="G529" s="4711"/>
      <c r="H529" s="4711"/>
    </row>
    <row r="530" spans="1:8" ht="12.75" customHeight="1">
      <c r="C530" s="1849" t="s">
        <v>4088</v>
      </c>
      <c r="E530" s="4711" t="s">
        <v>3124</v>
      </c>
      <c r="F530" s="4711"/>
      <c r="G530" s="4711"/>
      <c r="H530" s="4711"/>
    </row>
    <row r="531" spans="1:8" ht="12.75" customHeight="1">
      <c r="C531" s="1850"/>
      <c r="D531" s="1848" t="s">
        <v>2986</v>
      </c>
      <c r="E531" s="4714" t="s">
        <v>3125</v>
      </c>
      <c r="F531" s="4714"/>
      <c r="G531" s="4714"/>
      <c r="H531" s="4714"/>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11" t="s">
        <v>2987</v>
      </c>
      <c r="F534" s="4711"/>
      <c r="G534" s="4711"/>
      <c r="H534" s="4711"/>
    </row>
    <row r="535" spans="1:8" ht="12.75" customHeight="1">
      <c r="C535" s="1849" t="s">
        <v>4088</v>
      </c>
      <c r="E535" s="4711" t="s">
        <v>3124</v>
      </c>
      <c r="F535" s="4711"/>
      <c r="G535" s="4711"/>
      <c r="H535" s="4711"/>
    </row>
    <row r="536" spans="1:8" ht="12.75" customHeight="1">
      <c r="C536" s="1850"/>
      <c r="D536" s="1848" t="s">
        <v>2986</v>
      </c>
      <c r="E536" s="4714" t="s">
        <v>3125</v>
      </c>
      <c r="F536" s="4714"/>
      <c r="G536" s="4714"/>
      <c r="H536" s="4714"/>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11" t="s">
        <v>2987</v>
      </c>
      <c r="F541" s="4711"/>
      <c r="G541" s="4711"/>
      <c r="H541" s="4711"/>
    </row>
    <row r="542" spans="1:8" ht="12.75" customHeight="1">
      <c r="C542" s="1849" t="s">
        <v>4088</v>
      </c>
      <c r="E542" s="4711" t="s">
        <v>3124</v>
      </c>
      <c r="F542" s="4711"/>
      <c r="G542" s="4711"/>
      <c r="H542" s="4711"/>
    </row>
    <row r="543" spans="1:8" ht="12.75" customHeight="1">
      <c r="C543" s="1850"/>
      <c r="D543" s="1847" t="s">
        <v>2986</v>
      </c>
      <c r="E543" s="4715" t="s">
        <v>3125</v>
      </c>
      <c r="F543" s="4715"/>
      <c r="G543" s="4715"/>
      <c r="H543" s="4715"/>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11" t="s">
        <v>2987</v>
      </c>
      <c r="F546" s="4711"/>
      <c r="G546" s="4711"/>
      <c r="H546" s="4711"/>
    </row>
    <row r="547" spans="1:8" ht="12.75" customHeight="1">
      <c r="C547" s="1849" t="s">
        <v>4088</v>
      </c>
      <c r="E547" s="4711" t="s">
        <v>3124</v>
      </c>
      <c r="F547" s="4711"/>
      <c r="G547" s="4711"/>
      <c r="H547" s="4711"/>
    </row>
    <row r="548" spans="1:8" ht="12.75" customHeight="1">
      <c r="C548" s="1850"/>
      <c r="D548" s="1848" t="s">
        <v>2986</v>
      </c>
      <c r="E548" s="4714" t="s">
        <v>3125</v>
      </c>
      <c r="F548" s="4714"/>
      <c r="G548" s="4714"/>
      <c r="H548" s="4714"/>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11" t="s">
        <v>2987</v>
      </c>
      <c r="F551" s="4711"/>
      <c r="G551" s="4711"/>
      <c r="H551" s="4711"/>
    </row>
    <row r="552" spans="1:8" ht="12.75" customHeight="1">
      <c r="C552" s="1849" t="s">
        <v>4088</v>
      </c>
      <c r="E552" s="4711" t="s">
        <v>3124</v>
      </c>
      <c r="F552" s="4711"/>
      <c r="G552" s="4711"/>
      <c r="H552" s="4711"/>
    </row>
    <row r="553" spans="1:8" ht="12.75" customHeight="1">
      <c r="C553" s="1850"/>
      <c r="D553" s="1848" t="s">
        <v>2986</v>
      </c>
      <c r="E553" s="4714" t="s">
        <v>3125</v>
      </c>
      <c r="F553" s="4714"/>
      <c r="G553" s="4714"/>
      <c r="H553" s="4714"/>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11" t="s">
        <v>2987</v>
      </c>
      <c r="F558" s="4711"/>
      <c r="G558" s="4711"/>
      <c r="H558" s="4711"/>
    </row>
    <row r="559" spans="1:8" ht="12.75" customHeight="1">
      <c r="C559" s="1849" t="s">
        <v>4088</v>
      </c>
      <c r="E559" s="4711" t="s">
        <v>3124</v>
      </c>
      <c r="F559" s="4711"/>
      <c r="G559" s="4711"/>
      <c r="H559" s="4711"/>
    </row>
    <row r="560" spans="1:8" ht="12.75" customHeight="1">
      <c r="C560" s="1850"/>
      <c r="D560" s="1847" t="s">
        <v>2986</v>
      </c>
      <c r="E560" s="4715" t="s">
        <v>3125</v>
      </c>
      <c r="F560" s="4715"/>
      <c r="G560" s="4715"/>
      <c r="H560" s="4715"/>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11" t="s">
        <v>2987</v>
      </c>
      <c r="F563" s="4711"/>
      <c r="G563" s="4711"/>
      <c r="H563" s="4711"/>
    </row>
    <row r="564" spans="1:11" ht="12.75" customHeight="1">
      <c r="C564" s="1849" t="s">
        <v>4088</v>
      </c>
      <c r="E564" s="4711" t="s">
        <v>3124</v>
      </c>
      <c r="F564" s="4711"/>
      <c r="G564" s="4711"/>
      <c r="H564" s="4711"/>
    </row>
    <row r="565" spans="1:11" ht="12.75" customHeight="1">
      <c r="C565" s="1850"/>
      <c r="D565" s="1848" t="s">
        <v>2986</v>
      </c>
      <c r="E565" s="4714" t="s">
        <v>3125</v>
      </c>
      <c r="F565" s="4714"/>
      <c r="G565" s="4714"/>
      <c r="H565" s="4714"/>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11" t="s">
        <v>2987</v>
      </c>
      <c r="F568" s="4711"/>
      <c r="G568" s="4711"/>
      <c r="H568" s="4711"/>
    </row>
    <row r="569" spans="1:11" ht="12.75" customHeight="1">
      <c r="C569" s="1849" t="s">
        <v>4088</v>
      </c>
      <c r="E569" s="4711" t="s">
        <v>3124</v>
      </c>
      <c r="F569" s="4711"/>
      <c r="G569" s="4711"/>
      <c r="H569" s="4711"/>
    </row>
    <row r="570" spans="1:11" ht="12.75" customHeight="1">
      <c r="C570" s="1850"/>
      <c r="D570" s="1848" t="s">
        <v>2986</v>
      </c>
      <c r="E570" s="4714" t="s">
        <v>3125</v>
      </c>
      <c r="F570" s="4714"/>
      <c r="G570" s="4714"/>
      <c r="H570" s="4714"/>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11" t="s">
        <v>2890</v>
      </c>
      <c r="G574" s="4711"/>
      <c r="H574" s="4711"/>
      <c r="K574" s="774" t="s">
        <v>233</v>
      </c>
    </row>
    <row r="575" spans="1:11" ht="12.75" customHeight="1">
      <c r="C575" s="823" t="s">
        <v>1276</v>
      </c>
      <c r="D575" s="821" t="s">
        <v>1847</v>
      </c>
      <c r="E575" s="4711" t="s">
        <v>2988</v>
      </c>
      <c r="F575" s="4711"/>
      <c r="G575" s="4711"/>
      <c r="H575" s="4711"/>
    </row>
    <row r="576" spans="1:11" ht="12.75" customHeight="1">
      <c r="E576" s="4711" t="s">
        <v>3124</v>
      </c>
      <c r="F576" s="4711"/>
      <c r="G576" s="4711"/>
      <c r="H576" s="4711"/>
    </row>
    <row r="577" spans="4:8" ht="12.75" customHeight="1">
      <c r="D577" s="824" t="s">
        <v>2986</v>
      </c>
      <c r="E577" s="4711" t="s">
        <v>3125</v>
      </c>
      <c r="F577" s="4711"/>
      <c r="G577" s="4711"/>
      <c r="H577" s="4711"/>
    </row>
    <row r="578" spans="4:8" ht="9" customHeight="1"/>
    <row r="579" spans="4:8" ht="7.5" customHeight="1">
      <c r="E579" s="4711"/>
      <c r="F579" s="4711"/>
      <c r="G579" s="4711"/>
      <c r="H579" s="471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 xml:space="preserve">Gibson Park </v>
      </c>
    </row>
    <row r="2" spans="1:14">
      <c r="A2" s="711" t="s">
        <v>2884</v>
      </c>
      <c r="H2" s="774" t="str">
        <f>'Sensitivity Analysis'!E8</f>
        <v>2022-0</v>
      </c>
    </row>
    <row r="3" spans="1:14" ht="3" customHeight="1"/>
    <row r="4" spans="1:14" ht="69.599999999999994" customHeight="1">
      <c r="A4" s="4717" t="s">
        <v>2980</v>
      </c>
      <c r="B4" s="4717"/>
      <c r="C4" s="4717"/>
      <c r="D4" s="4717"/>
      <c r="E4" s="4717"/>
      <c r="F4" s="4717"/>
      <c r="G4" s="4717"/>
      <c r="H4" s="4717"/>
      <c r="I4" s="4717"/>
      <c r="J4" s="4717"/>
      <c r="K4" s="4717"/>
      <c r="L4" s="4759">
        <f>SUM('Part VI-Pro Forma'!B15:B17)/12</f>
        <v>67197.875400000004</v>
      </c>
      <c r="M4" s="4759"/>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7" t="s">
        <v>2886</v>
      </c>
      <c r="D7" s="4717"/>
      <c r="E7" s="4717"/>
      <c r="F7" s="4717"/>
      <c r="G7" s="4717"/>
      <c r="H7" s="4717"/>
      <c r="I7" s="4717"/>
      <c r="J7" s="4717"/>
      <c r="K7" s="4717"/>
      <c r="L7" s="4717"/>
      <c r="M7" s="4717"/>
    </row>
    <row r="8" spans="1:14" ht="3" customHeight="1"/>
    <row r="9" spans="1:14">
      <c r="A9" s="774" t="s">
        <v>2887</v>
      </c>
    </row>
    <row r="10" spans="1:14" ht="1.5" customHeight="1"/>
    <row r="11" spans="1:14" ht="26.25" customHeight="1">
      <c r="A11" s="818" t="s">
        <v>1842</v>
      </c>
      <c r="B11" s="4717" t="s">
        <v>2977</v>
      </c>
      <c r="C11" s="4717"/>
      <c r="D11" s="4717"/>
      <c r="E11" s="4717"/>
      <c r="F11" s="4717"/>
      <c r="G11" s="4717"/>
      <c r="H11" s="4717"/>
      <c r="I11" s="4717"/>
      <c r="J11" s="4717"/>
      <c r="K11" s="4717"/>
      <c r="L11" s="4718">
        <f>'Part II-Sources of Funds'!I51+'Part II-Sources of Funds'!I52</f>
        <v>11619295</v>
      </c>
      <c r="M11" s="4718"/>
    </row>
    <row r="12" spans="1:14" ht="1.5" customHeight="1">
      <c r="G12" s="787"/>
      <c r="H12" s="787"/>
    </row>
    <row r="13" spans="1:14" ht="25.9" customHeight="1">
      <c r="A13" s="818" t="s">
        <v>1844</v>
      </c>
      <c r="B13" s="4717" t="s">
        <v>2978</v>
      </c>
      <c r="C13" s="4717"/>
      <c r="D13" s="4717"/>
      <c r="E13" s="4717"/>
      <c r="F13" s="4717"/>
      <c r="G13" s="4717"/>
      <c r="H13" s="4717"/>
      <c r="I13" s="4717"/>
      <c r="J13" s="4717"/>
      <c r="K13" s="4717"/>
      <c r="L13" s="4719" t="s">
        <v>2815</v>
      </c>
      <c r="M13" s="4719"/>
    </row>
    <row r="14" spans="1:14">
      <c r="A14" s="818"/>
      <c r="B14" s="4598"/>
      <c r="C14" s="4598"/>
      <c r="D14" s="4598"/>
      <c r="E14" s="4598"/>
      <c r="F14" s="4598"/>
      <c r="G14" s="4598"/>
      <c r="H14" s="4598"/>
    </row>
    <row r="15" spans="1:14" ht="3" customHeight="1"/>
    <row r="16" spans="1:14">
      <c r="A16" s="818" t="s">
        <v>698</v>
      </c>
      <c r="B16" s="774" t="s">
        <v>2981</v>
      </c>
      <c r="F16" s="810"/>
      <c r="L16" s="4592" t="s">
        <v>2654</v>
      </c>
      <c r="M16" s="4592"/>
    </row>
    <row r="17" spans="1:19" ht="1.5" customHeight="1">
      <c r="L17" s="792"/>
    </row>
    <row r="18" spans="1:19" ht="12" customHeight="1">
      <c r="A18" s="818" t="s">
        <v>1963</v>
      </c>
      <c r="B18" s="787" t="s">
        <v>2979</v>
      </c>
      <c r="C18" s="818"/>
      <c r="D18" s="818"/>
      <c r="E18" s="818"/>
      <c r="L18" s="4598" t="s">
        <v>2516</v>
      </c>
      <c r="M18" s="4598"/>
    </row>
    <row r="19" spans="1:19" ht="12" hidden="1" customHeight="1">
      <c r="B19" s="4598"/>
      <c r="C19" s="4598"/>
      <c r="D19" s="4598"/>
      <c r="E19" s="4598"/>
      <c r="F19" s="4598"/>
      <c r="G19" s="4598"/>
      <c r="H19" s="4598"/>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2" t="s">
        <v>4085</v>
      </c>
      <c r="B23" s="4732"/>
      <c r="C23" s="4732"/>
      <c r="D23" s="4732"/>
      <c r="E23" s="4732"/>
      <c r="F23" s="4732"/>
      <c r="G23" s="4732"/>
      <c r="H23" s="4732"/>
      <c r="I23" s="4732"/>
      <c r="J23" s="4732"/>
      <c r="K23" s="4732"/>
      <c r="L23" s="4732"/>
      <c r="M23" s="4732"/>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10</v>
      </c>
      <c r="G27" s="2036">
        <f>'Part V-Revenues &amp; Expenses'!M58</f>
        <v>24</v>
      </c>
      <c r="H27" s="2036">
        <f>'Part V-Revenues &amp; Expenses'!N58</f>
        <v>15</v>
      </c>
      <c r="I27" s="2036">
        <f>'Part V-Revenues &amp; Expenses'!O58</f>
        <v>0</v>
      </c>
      <c r="J27" s="2037">
        <f>'Part V-Revenues &amp; Expenses'!P58</f>
        <v>49</v>
      </c>
    </row>
    <row r="28" spans="1:19" s="562" customFormat="1" ht="15" customHeight="1">
      <c r="C28" s="2031" t="s">
        <v>112</v>
      </c>
      <c r="D28" s="2023"/>
      <c r="E28" s="2035">
        <f>'Part V-Revenues &amp; Expenses'!K59</f>
        <v>0</v>
      </c>
      <c r="F28" s="2036">
        <f>'Part V-Revenues &amp; Expenses'!L59</f>
        <v>1</v>
      </c>
      <c r="G28" s="2036">
        <f>'Part V-Revenues &amp; Expenses'!M59</f>
        <v>9</v>
      </c>
      <c r="H28" s="2036">
        <f>'Part V-Revenues &amp; Expenses'!N59</f>
        <v>5</v>
      </c>
      <c r="I28" s="2036">
        <f>'Part V-Revenues &amp; Expenses'!O59</f>
        <v>0</v>
      </c>
      <c r="J28" s="2037">
        <f>'Part V-Revenues &amp; Expenses'!P59</f>
        <v>15</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11</v>
      </c>
      <c r="G32" s="2029">
        <f>'Part V-Revenues &amp; Expenses'!M63</f>
        <v>33</v>
      </c>
      <c r="H32" s="2029">
        <f>'Part V-Revenues &amp; Expenses'!N63</f>
        <v>20</v>
      </c>
      <c r="I32" s="2029">
        <f>'Part V-Revenues &amp; Expenses'!O63</f>
        <v>0</v>
      </c>
      <c r="J32" s="2039">
        <f>'Part V-Revenues &amp; Expenses'!P63</f>
        <v>64</v>
      </c>
    </row>
    <row r="33" spans="1:12" s="562" customFormat="1" ht="13.15" customHeight="1" thickBot="1">
      <c r="K33" s="2016"/>
    </row>
    <row r="34" spans="1:12" s="562" customFormat="1" ht="14.25" customHeight="1" thickBot="1">
      <c r="A34" s="2016"/>
      <c r="B34" s="4733" t="s">
        <v>6179</v>
      </c>
      <c r="E34" s="4734" t="s">
        <v>6072</v>
      </c>
      <c r="F34" s="4735"/>
      <c r="G34" s="4735"/>
      <c r="H34" s="4735"/>
      <c r="I34" s="4735"/>
      <c r="J34" s="4735"/>
      <c r="K34" s="4735"/>
      <c r="L34" s="4736"/>
    </row>
    <row r="35" spans="1:12" s="562" customFormat="1" ht="14.25" customHeight="1">
      <c r="A35" s="2016"/>
      <c r="B35" s="4733"/>
      <c r="C35" s="4737" t="s">
        <v>6180</v>
      </c>
      <c r="D35" s="4733" t="s">
        <v>6181</v>
      </c>
      <c r="E35" s="4738" t="s">
        <v>6075</v>
      </c>
      <c r="F35" s="4739"/>
      <c r="G35" s="4742" t="s">
        <v>1276</v>
      </c>
      <c r="H35" s="4744" t="s">
        <v>6071</v>
      </c>
      <c r="I35" s="4745"/>
      <c r="J35" s="4745"/>
      <c r="K35" s="4745"/>
      <c r="L35" s="4746"/>
    </row>
    <row r="36" spans="1:12" s="562" customFormat="1" ht="23.25" customHeight="1">
      <c r="A36" s="4737" t="s">
        <v>976</v>
      </c>
      <c r="B36" s="4733"/>
      <c r="C36" s="4737"/>
      <c r="D36" s="4733"/>
      <c r="E36" s="4740"/>
      <c r="F36" s="4741"/>
      <c r="G36" s="4743"/>
      <c r="H36" s="4747" t="s">
        <v>6073</v>
      </c>
      <c r="I36" s="4748"/>
      <c r="J36" s="4751" t="s">
        <v>1276</v>
      </c>
      <c r="K36" s="4748" t="s">
        <v>6074</v>
      </c>
      <c r="L36" s="4753"/>
    </row>
    <row r="37" spans="1:12" s="562" customFormat="1" ht="23.25" customHeight="1">
      <c r="A37" s="4737"/>
      <c r="B37" s="4733"/>
      <c r="C37" s="4737"/>
      <c r="D37" s="4733"/>
      <c r="E37" s="4740"/>
      <c r="F37" s="4741"/>
      <c r="G37" s="4743"/>
      <c r="H37" s="4747"/>
      <c r="I37" s="4748"/>
      <c r="J37" s="4752"/>
      <c r="K37" s="4748"/>
      <c r="L37" s="4753"/>
    </row>
    <row r="38" spans="1:12" s="562" customFormat="1" ht="23.25" customHeight="1">
      <c r="A38" s="4733"/>
      <c r="B38" s="4733"/>
      <c r="C38" s="4733"/>
      <c r="D38" s="4733"/>
      <c r="E38" s="4740"/>
      <c r="F38" s="4741"/>
      <c r="G38" s="4743"/>
      <c r="H38" s="4749"/>
      <c r="I38" s="4750"/>
      <c r="J38" s="4752"/>
      <c r="K38" s="4750"/>
      <c r="L38" s="4754"/>
    </row>
    <row r="39" spans="1:12" s="562" customFormat="1" ht="13.15" customHeight="1">
      <c r="A39" s="2020">
        <f>'Part V-Revenues &amp; Expenses'!B18</f>
        <v>50</v>
      </c>
      <c r="B39" s="2021">
        <f>'Part V-Revenues &amp; Expenses'!E18</f>
        <v>1</v>
      </c>
      <c r="C39" s="2022" t="str">
        <f>_xlfn.CONCAT('Part V-Revenues &amp; Expenses'!C18," / ",'Part V-Revenues &amp; Expenses'!D18)</f>
        <v>1 / 1</v>
      </c>
      <c r="D39" s="2021">
        <f>'Part V-Revenues &amp; Expenses'!F18</f>
        <v>800</v>
      </c>
      <c r="E39" s="4757">
        <f>'Part V-Revenues &amp; Expenses'!H18</f>
        <v>808</v>
      </c>
      <c r="F39" s="4758"/>
      <c r="G39" s="2023"/>
      <c r="H39" s="4726"/>
      <c r="I39" s="4727"/>
      <c r="J39" s="4727"/>
      <c r="K39" s="4727"/>
      <c r="L39" s="4728"/>
    </row>
    <row r="40" spans="1:12" s="562" customFormat="1" ht="13.15" customHeight="1">
      <c r="A40" s="2024">
        <f>'Part V-Revenues &amp; Expenses'!B19</f>
        <v>50</v>
      </c>
      <c r="B40" s="2025">
        <f>'Part V-Revenues &amp; Expenses'!E19</f>
        <v>9</v>
      </c>
      <c r="C40" s="2026" t="str">
        <f>_xlfn.CONCAT('Part V-Revenues &amp; Expenses'!C19," / ",'Part V-Revenues &amp; Expenses'!D19)</f>
        <v>2 / 2</v>
      </c>
      <c r="D40" s="2025">
        <f>'Part V-Revenues &amp; Expenses'!F19</f>
        <v>1100</v>
      </c>
      <c r="E40" s="4724">
        <f>'Part V-Revenues &amp; Expenses'!H19</f>
        <v>970</v>
      </c>
      <c r="F40" s="4725"/>
      <c r="G40" s="2023"/>
      <c r="H40" s="4721"/>
      <c r="I40" s="4722"/>
      <c r="J40" s="4722"/>
      <c r="K40" s="4722"/>
      <c r="L40" s="4723"/>
    </row>
    <row r="41" spans="1:12" s="562" customFormat="1" ht="13.15" customHeight="1">
      <c r="A41" s="2024">
        <f>'Part V-Revenues &amp; Expenses'!B20</f>
        <v>50</v>
      </c>
      <c r="B41" s="2025">
        <f>'Part V-Revenues &amp; Expenses'!E20</f>
        <v>5</v>
      </c>
      <c r="C41" s="2026" t="str">
        <f>_xlfn.CONCAT('Part V-Revenues &amp; Expenses'!C20," / ",'Part V-Revenues &amp; Expenses'!D20)</f>
        <v>3 / 2</v>
      </c>
      <c r="D41" s="2025">
        <f>'Part V-Revenues &amp; Expenses'!F20</f>
        <v>1250</v>
      </c>
      <c r="E41" s="4724">
        <f>'Part V-Revenues &amp; Expenses'!H20</f>
        <v>1120</v>
      </c>
      <c r="F41" s="4725"/>
      <c r="G41" s="2023"/>
      <c r="H41" s="4721"/>
      <c r="I41" s="4722"/>
      <c r="J41" s="4722"/>
      <c r="K41" s="4722"/>
      <c r="L41" s="4723"/>
    </row>
    <row r="42" spans="1:12" s="562" customFormat="1" ht="13.15" customHeight="1">
      <c r="A42" s="2024">
        <f>'Part V-Revenues &amp; Expenses'!B21</f>
        <v>60</v>
      </c>
      <c r="B42" s="2025">
        <f>'Part V-Revenues &amp; Expenses'!E21</f>
        <v>10</v>
      </c>
      <c r="C42" s="2026" t="str">
        <f>_xlfn.CONCAT('Part V-Revenues &amp; Expenses'!C21," / ",'Part V-Revenues &amp; Expenses'!D21)</f>
        <v>1 / 1</v>
      </c>
      <c r="D42" s="2025">
        <f>'Part V-Revenues &amp; Expenses'!F21</f>
        <v>800</v>
      </c>
      <c r="E42" s="4724">
        <f>'Part V-Revenues &amp; Expenses'!H21</f>
        <v>970</v>
      </c>
      <c r="F42" s="4725"/>
      <c r="G42" s="2023"/>
      <c r="H42" s="4721"/>
      <c r="I42" s="4722"/>
      <c r="J42" s="4722"/>
      <c r="K42" s="4722"/>
      <c r="L42" s="4723"/>
    </row>
    <row r="43" spans="1:12" s="562" customFormat="1" ht="13.15" customHeight="1">
      <c r="A43" s="2024">
        <f>'Part V-Revenues &amp; Expenses'!B22</f>
        <v>60</v>
      </c>
      <c r="B43" s="2025">
        <f>'Part V-Revenues &amp; Expenses'!E22</f>
        <v>24</v>
      </c>
      <c r="C43" s="2026" t="str">
        <f>_xlfn.CONCAT('Part V-Revenues &amp; Expenses'!C22," / ",'Part V-Revenues &amp; Expenses'!D22)</f>
        <v>2 / 2</v>
      </c>
      <c r="D43" s="2025">
        <f>'Part V-Revenues &amp; Expenses'!F22</f>
        <v>1100</v>
      </c>
      <c r="E43" s="4724">
        <f>'Part V-Revenues &amp; Expenses'!H22</f>
        <v>1164</v>
      </c>
      <c r="F43" s="4725"/>
      <c r="G43" s="2023"/>
      <c r="H43" s="4721"/>
      <c r="I43" s="4722"/>
      <c r="J43" s="4722"/>
      <c r="K43" s="4722"/>
      <c r="L43" s="4723"/>
    </row>
    <row r="44" spans="1:12" s="562" customFormat="1" ht="13.15" customHeight="1">
      <c r="A44" s="2024">
        <f>'Part V-Revenues &amp; Expenses'!B23</f>
        <v>60</v>
      </c>
      <c r="B44" s="2025">
        <f>'Part V-Revenues &amp; Expenses'!E23</f>
        <v>15</v>
      </c>
      <c r="C44" s="2026" t="str">
        <f>_xlfn.CONCAT('Part V-Revenues &amp; Expenses'!C23," / ",'Part V-Revenues &amp; Expenses'!D23)</f>
        <v>3 / 2</v>
      </c>
      <c r="D44" s="2025">
        <f>'Part V-Revenues &amp; Expenses'!F23</f>
        <v>1250</v>
      </c>
      <c r="E44" s="4724">
        <f>'Part V-Revenues &amp; Expenses'!H23</f>
        <v>1344</v>
      </c>
      <c r="F44" s="4725"/>
      <c r="G44" s="2023"/>
      <c r="H44" s="4721"/>
      <c r="I44" s="4722"/>
      <c r="J44" s="4722"/>
      <c r="K44" s="4722"/>
      <c r="L44" s="4723"/>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4">
        <f>'Part V-Revenues &amp; Expenses'!H24</f>
        <v>0</v>
      </c>
      <c r="F45" s="4725"/>
      <c r="G45" s="2023"/>
      <c r="H45" s="4721"/>
      <c r="I45" s="4722"/>
      <c r="J45" s="4722"/>
      <c r="K45" s="4722"/>
      <c r="L45" s="4723"/>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4">
        <f>'Part V-Revenues &amp; Expenses'!H25</f>
        <v>0</v>
      </c>
      <c r="F46" s="4725"/>
      <c r="G46" s="2023"/>
      <c r="H46" s="4721"/>
      <c r="I46" s="4722"/>
      <c r="J46" s="4722"/>
      <c r="K46" s="4722"/>
      <c r="L46" s="4723"/>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4">
        <f>'Part V-Revenues &amp; Expenses'!H26</f>
        <v>0</v>
      </c>
      <c r="F47" s="4725"/>
      <c r="G47" s="2023"/>
      <c r="H47" s="4721"/>
      <c r="I47" s="4722"/>
      <c r="J47" s="4722"/>
      <c r="K47" s="4722"/>
      <c r="L47" s="4723"/>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4">
        <f>'Part V-Revenues &amp; Expenses'!H27</f>
        <v>0</v>
      </c>
      <c r="F48" s="4725"/>
      <c r="G48" s="2023"/>
      <c r="H48" s="4721"/>
      <c r="I48" s="4722"/>
      <c r="J48" s="4722"/>
      <c r="K48" s="4722"/>
      <c r="L48" s="4723"/>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4">
        <f>'Part V-Revenues &amp; Expenses'!H28</f>
        <v>0</v>
      </c>
      <c r="F49" s="4725"/>
      <c r="G49" s="2023"/>
      <c r="H49" s="4721"/>
      <c r="I49" s="4722"/>
      <c r="J49" s="4722"/>
      <c r="K49" s="4722"/>
      <c r="L49" s="4723"/>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4">
        <f>'Part V-Revenues &amp; Expenses'!H29</f>
        <v>0</v>
      </c>
      <c r="F50" s="4725"/>
      <c r="G50" s="2023"/>
      <c r="H50" s="4721"/>
      <c r="I50" s="4722"/>
      <c r="J50" s="4722"/>
      <c r="K50" s="4722"/>
      <c r="L50" s="4723"/>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4">
        <f>'Part V-Revenues &amp; Expenses'!H30</f>
        <v>0</v>
      </c>
      <c r="F51" s="4725"/>
      <c r="G51" s="2023"/>
      <c r="H51" s="4721"/>
      <c r="I51" s="4722"/>
      <c r="J51" s="4722"/>
      <c r="K51" s="4722"/>
      <c r="L51" s="4723"/>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4">
        <f>'Part V-Revenues &amp; Expenses'!H31</f>
        <v>0</v>
      </c>
      <c r="F52" s="4725"/>
      <c r="G52" s="2023"/>
      <c r="H52" s="4721"/>
      <c r="I52" s="4722"/>
      <c r="J52" s="4722"/>
      <c r="K52" s="4722"/>
      <c r="L52" s="4723"/>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4">
        <f>'Part V-Revenues &amp; Expenses'!H32</f>
        <v>0</v>
      </c>
      <c r="F53" s="4725"/>
      <c r="G53" s="2023"/>
      <c r="H53" s="4721"/>
      <c r="I53" s="4722"/>
      <c r="J53" s="4722"/>
      <c r="K53" s="4722"/>
      <c r="L53" s="4723"/>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4">
        <f>'Part V-Revenues &amp; Expenses'!H33</f>
        <v>0</v>
      </c>
      <c r="F54" s="4725"/>
      <c r="G54" s="2023"/>
      <c r="H54" s="4721"/>
      <c r="I54" s="4722"/>
      <c r="J54" s="4722"/>
      <c r="K54" s="4722"/>
      <c r="L54" s="4723"/>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4">
        <f>'Part V-Revenues &amp; Expenses'!H34</f>
        <v>0</v>
      </c>
      <c r="F55" s="4725"/>
      <c r="G55" s="2023"/>
      <c r="H55" s="4721"/>
      <c r="I55" s="4722"/>
      <c r="J55" s="4722"/>
      <c r="K55" s="4722"/>
      <c r="L55" s="4723"/>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4">
        <f>'Part V-Revenues &amp; Expenses'!H35</f>
        <v>0</v>
      </c>
      <c r="F56" s="4725"/>
      <c r="G56" s="2023"/>
      <c r="H56" s="4721"/>
      <c r="I56" s="4722"/>
      <c r="J56" s="4722"/>
      <c r="K56" s="4722"/>
      <c r="L56" s="4723"/>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4">
        <f>'Part V-Revenues &amp; Expenses'!H36</f>
        <v>0</v>
      </c>
      <c r="F57" s="4725"/>
      <c r="G57" s="2023"/>
      <c r="H57" s="4721"/>
      <c r="I57" s="4722"/>
      <c r="J57" s="4722"/>
      <c r="K57" s="4722"/>
      <c r="L57" s="4723"/>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4">
        <f>'Part V-Revenues &amp; Expenses'!H37</f>
        <v>0</v>
      </c>
      <c r="F58" s="4725"/>
      <c r="G58" s="2023"/>
      <c r="H58" s="4721"/>
      <c r="I58" s="4722"/>
      <c r="J58" s="4722"/>
      <c r="K58" s="4722"/>
      <c r="L58" s="4723"/>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4">
        <f>'Part V-Revenues &amp; Expenses'!H38</f>
        <v>0</v>
      </c>
      <c r="F59" s="4725"/>
      <c r="G59" s="2023"/>
      <c r="H59" s="4721"/>
      <c r="I59" s="4722"/>
      <c r="J59" s="4722"/>
      <c r="K59" s="4722"/>
      <c r="L59" s="4723"/>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4">
        <f>'Part V-Revenues &amp; Expenses'!H39</f>
        <v>0</v>
      </c>
      <c r="F60" s="4725"/>
      <c r="G60" s="2023"/>
      <c r="H60" s="4721"/>
      <c r="I60" s="4722"/>
      <c r="J60" s="4722"/>
      <c r="K60" s="4722"/>
      <c r="L60" s="4723"/>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4">
        <f>'Part V-Revenues &amp; Expenses'!H40</f>
        <v>0</v>
      </c>
      <c r="F61" s="4725"/>
      <c r="G61" s="2023"/>
      <c r="H61" s="4721"/>
      <c r="I61" s="4722"/>
      <c r="J61" s="4722"/>
      <c r="K61" s="4722"/>
      <c r="L61" s="4723"/>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4">
        <f>'Part V-Revenues &amp; Expenses'!H41</f>
        <v>0</v>
      </c>
      <c r="F62" s="4725"/>
      <c r="G62" s="2023"/>
      <c r="H62" s="4721"/>
      <c r="I62" s="4722"/>
      <c r="J62" s="4722"/>
      <c r="K62" s="4722"/>
      <c r="L62" s="4723"/>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4">
        <f>'Part V-Revenues &amp; Expenses'!H42</f>
        <v>0</v>
      </c>
      <c r="F63" s="4725"/>
      <c r="G63" s="2023"/>
      <c r="H63" s="4721"/>
      <c r="I63" s="4722"/>
      <c r="J63" s="4722"/>
      <c r="K63" s="4722"/>
      <c r="L63" s="4723"/>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4">
        <f>'Part V-Revenues &amp; Expenses'!H43</f>
        <v>0</v>
      </c>
      <c r="F64" s="4725"/>
      <c r="G64" s="2023"/>
      <c r="H64" s="4721"/>
      <c r="I64" s="4722"/>
      <c r="J64" s="4722"/>
      <c r="K64" s="4722"/>
      <c r="L64" s="4723"/>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4">
        <f>'Part V-Revenues &amp; Expenses'!H44</f>
        <v>0</v>
      </c>
      <c r="F65" s="4725"/>
      <c r="G65" s="2023"/>
      <c r="H65" s="4721"/>
      <c r="I65" s="4722"/>
      <c r="J65" s="4722"/>
      <c r="K65" s="4722"/>
      <c r="L65" s="4723"/>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4">
        <f>'Part V-Revenues &amp; Expenses'!H45</f>
        <v>0</v>
      </c>
      <c r="F66" s="4725"/>
      <c r="G66" s="2023"/>
      <c r="H66" s="4721"/>
      <c r="I66" s="4722"/>
      <c r="J66" s="4722"/>
      <c r="K66" s="4722"/>
      <c r="L66" s="4723"/>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4">
        <f>'Part V-Revenues &amp; Expenses'!H46</f>
        <v>0</v>
      </c>
      <c r="F67" s="4725"/>
      <c r="G67" s="2023"/>
      <c r="H67" s="4721"/>
      <c r="I67" s="4722"/>
      <c r="J67" s="4722"/>
      <c r="K67" s="4722"/>
      <c r="L67" s="4723"/>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4">
        <f>'Part V-Revenues &amp; Expenses'!H47</f>
        <v>0</v>
      </c>
      <c r="F68" s="4725"/>
      <c r="G68" s="2023"/>
      <c r="H68" s="4721"/>
      <c r="I68" s="4722"/>
      <c r="J68" s="4722"/>
      <c r="K68" s="4722"/>
      <c r="L68" s="4723"/>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5">
        <f>'Part V-Revenues &amp; Expenses'!H48</f>
        <v>0</v>
      </c>
      <c r="F69" s="4756"/>
      <c r="G69" s="2030"/>
      <c r="H69" s="4729"/>
      <c r="I69" s="4730"/>
      <c r="J69" s="4730"/>
      <c r="K69" s="4730"/>
      <c r="L69" s="4731"/>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1" t="s">
        <v>3482</v>
      </c>
      <c r="C1" s="4771"/>
      <c r="D1" s="4771"/>
      <c r="E1" s="4771"/>
      <c r="F1" s="4771"/>
      <c r="G1" s="4771"/>
      <c r="H1" s="4771"/>
      <c r="I1" s="4771"/>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2" t="s">
        <v>2891</v>
      </c>
      <c r="C4" s="4772"/>
      <c r="D4" s="4772"/>
      <c r="E4" s="4777" t="s">
        <v>2892</v>
      </c>
      <c r="F4" s="4779"/>
      <c r="G4" s="4777" t="s">
        <v>574</v>
      </c>
      <c r="H4" s="4778"/>
      <c r="I4" s="4779"/>
      <c r="J4" s="1312" t="s">
        <v>2740</v>
      </c>
      <c r="K4" s="1312"/>
      <c r="L4" s="1320"/>
      <c r="M4" s="1320"/>
    </row>
    <row r="5" spans="2:13">
      <c r="B5" s="4773" t="str">
        <f>'Closing term sheet'!C8</f>
        <v>(Enter name as it will appear on all legal documents)</v>
      </c>
      <c r="C5" s="4774"/>
      <c r="D5" s="4774"/>
      <c r="E5" s="4783"/>
      <c r="F5" s="4784"/>
      <c r="G5" s="4780" t="str">
        <f>'Closing term sheet'!C28</f>
        <v xml:space="preserve">Gibson Park </v>
      </c>
      <c r="H5" s="4781"/>
      <c r="I5" s="4782"/>
      <c r="K5" s="774"/>
    </row>
    <row r="6" spans="2:13" ht="4.5" customHeight="1">
      <c r="D6" s="1321"/>
      <c r="E6" s="1321"/>
      <c r="F6" s="1321"/>
      <c r="G6" s="1321"/>
      <c r="H6" s="1321"/>
      <c r="I6" s="1321"/>
      <c r="K6" s="774"/>
    </row>
    <row r="7" spans="2:13">
      <c r="B7" s="4766" t="s">
        <v>2893</v>
      </c>
      <c r="C7" s="4766"/>
      <c r="D7" s="1322"/>
      <c r="E7" s="1322"/>
      <c r="F7" s="1322"/>
      <c r="G7" s="1322"/>
      <c r="H7" s="4775">
        <f>'Preview term'!E9</f>
        <v>0</v>
      </c>
      <c r="I7" s="4776"/>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5" t="s">
        <v>3490</v>
      </c>
      <c r="I35" s="4786"/>
    </row>
    <row r="36" spans="2:9">
      <c r="B36" s="1349" t="s">
        <v>3489</v>
      </c>
      <c r="C36" s="1347"/>
      <c r="D36" s="1347"/>
      <c r="E36" s="1322"/>
      <c r="F36" s="1591"/>
      <c r="G36" s="1350"/>
      <c r="H36" s="4785"/>
      <c r="I36" s="4786"/>
    </row>
    <row r="37" spans="2:9">
      <c r="B37" s="1349" t="s">
        <v>3487</v>
      </c>
      <c r="D37" s="1347"/>
      <c r="E37" s="1322"/>
      <c r="F37" s="1592"/>
      <c r="G37" s="1350"/>
      <c r="H37" s="4785"/>
      <c r="I37" s="4786"/>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4" t="e">
        <f>'Closing term sheet'!$C$30</f>
        <v>#REF!</v>
      </c>
      <c r="G48" s="4795"/>
      <c r="H48" s="4795"/>
      <c r="I48" s="4796"/>
    </row>
    <row r="49" spans="2:9">
      <c r="B49" s="1338" t="s">
        <v>2908</v>
      </c>
      <c r="D49" s="1347" t="s">
        <v>2909</v>
      </c>
      <c r="E49" s="1322"/>
      <c r="F49" s="4797"/>
      <c r="G49" s="4798"/>
      <c r="H49" s="4798"/>
      <c r="I49" s="4799"/>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2" t="str">
        <f>'Part I-Project Identification'!F30</f>
        <v>College Park</v>
      </c>
      <c r="D52" s="4763"/>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6100000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8" t="s">
        <v>2914</v>
      </c>
      <c r="C61" s="4769"/>
      <c r="D61" s="4769"/>
      <c r="E61" s="4769"/>
      <c r="F61" s="4769"/>
      <c r="G61" s="4769"/>
      <c r="H61" s="4769"/>
      <c r="I61" s="4770"/>
    </row>
    <row r="62" spans="2:9" ht="7.5" customHeight="1">
      <c r="B62" s="4764"/>
      <c r="C62" s="4765"/>
      <c r="D62" s="4765"/>
      <c r="E62" s="1322"/>
      <c r="F62" s="1322"/>
      <c r="G62" s="1372"/>
      <c r="H62" s="1322"/>
      <c r="I62" s="1332"/>
    </row>
    <row r="63" spans="2:9">
      <c r="B63" s="1373" t="s">
        <v>2916</v>
      </c>
      <c r="C63" s="1322"/>
      <c r="D63" s="1367">
        <v>4</v>
      </c>
      <c r="F63" s="1322"/>
      <c r="G63" s="4766" t="s">
        <v>2915</v>
      </c>
      <c r="H63" s="4766"/>
      <c r="I63" s="4767"/>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8" t="s">
        <v>2927</v>
      </c>
      <c r="C81" s="4769"/>
      <c r="D81" s="4769"/>
      <c r="E81" s="4769"/>
      <c r="F81" s="4769"/>
      <c r="G81" s="4769"/>
      <c r="H81" s="4769"/>
      <c r="I81" s="4770"/>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90">
        <f>'Closing term sheet'!D63</f>
        <v>6100000</v>
      </c>
      <c r="G84" s="4790"/>
      <c r="H84" s="1322"/>
      <c r="I84" s="1332"/>
    </row>
    <row r="85" spans="2:9">
      <c r="B85" s="1330"/>
      <c r="C85" s="814" t="s">
        <v>2930</v>
      </c>
      <c r="D85" s="1322"/>
      <c r="E85" s="1322"/>
      <c r="F85" s="4761">
        <f>'Part II-Sources of Funds'!I47+'Part II-Sources of Funds'!L47</f>
        <v>835814.50643554074</v>
      </c>
      <c r="G85" s="4761"/>
      <c r="H85" s="1322"/>
      <c r="I85" s="1332"/>
    </row>
    <row r="86" spans="2:9">
      <c r="B86" s="1330"/>
      <c r="C86" s="814" t="s">
        <v>2931</v>
      </c>
      <c r="D86" s="1322"/>
      <c r="E86" s="1322"/>
      <c r="F86" s="4760"/>
      <c r="G86" s="4760"/>
      <c r="H86" s="1322"/>
      <c r="I86" s="1332"/>
    </row>
    <row r="87" spans="2:9">
      <c r="B87" s="1330"/>
      <c r="C87" s="1347" t="s">
        <v>2932</v>
      </c>
      <c r="D87" s="1322"/>
      <c r="E87" s="1322"/>
      <c r="F87" s="4761">
        <v>11000</v>
      </c>
      <c r="G87" s="4761"/>
      <c r="H87" s="1322"/>
      <c r="I87" s="1332"/>
    </row>
    <row r="88" spans="2:9">
      <c r="B88" s="1330"/>
      <c r="C88" s="814" t="s">
        <v>2933</v>
      </c>
      <c r="D88" s="1322"/>
      <c r="E88" s="1322"/>
      <c r="F88" s="4793"/>
      <c r="G88" s="4793"/>
      <c r="H88" s="1322"/>
      <c r="I88" s="1332"/>
    </row>
    <row r="89" spans="2:9">
      <c r="B89" s="1330"/>
      <c r="C89" s="794" t="s">
        <v>2934</v>
      </c>
      <c r="D89" s="1322"/>
      <c r="E89" s="1322"/>
      <c r="F89" s="4788">
        <f>SUM(F84:G88)</f>
        <v>6946814.5064355405</v>
      </c>
      <c r="G89" s="4788"/>
      <c r="H89" s="1322"/>
      <c r="I89" s="1332"/>
    </row>
    <row r="90" spans="2:9">
      <c r="B90" s="1330"/>
      <c r="C90" s="1322"/>
      <c r="D90" s="1322"/>
      <c r="E90" s="1322"/>
      <c r="F90" s="4789"/>
      <c r="G90" s="4789"/>
      <c r="H90" s="1322"/>
      <c r="I90" s="1332"/>
    </row>
    <row r="91" spans="2:9">
      <c r="B91" s="1333" t="s">
        <v>2935</v>
      </c>
      <c r="C91" s="1322"/>
      <c r="D91" s="1322"/>
      <c r="E91" s="1322"/>
      <c r="F91" s="1322"/>
      <c r="G91" s="1322"/>
      <c r="H91" s="1322"/>
      <c r="I91" s="1332"/>
    </row>
    <row r="92" spans="2:9">
      <c r="B92" s="1330"/>
      <c r="C92" s="814" t="s">
        <v>2936</v>
      </c>
      <c r="D92" s="1322"/>
      <c r="E92" s="1322"/>
      <c r="F92" s="4790"/>
      <c r="G92" s="4790"/>
      <c r="H92" s="1322"/>
      <c r="I92" s="1332"/>
    </row>
    <row r="93" spans="2:9">
      <c r="B93" s="1330"/>
      <c r="C93" s="814" t="s">
        <v>2937</v>
      </c>
      <c r="D93" s="1322"/>
      <c r="E93" s="1322"/>
      <c r="F93" s="4791"/>
      <c r="G93" s="4791"/>
      <c r="H93" s="1322"/>
      <c r="I93" s="1332"/>
    </row>
    <row r="94" spans="2:9">
      <c r="B94" s="1330"/>
      <c r="C94" s="814" t="s">
        <v>2938</v>
      </c>
      <c r="D94" s="1322"/>
      <c r="E94" s="1322"/>
      <c r="F94" s="4792" t="s">
        <v>2815</v>
      </c>
      <c r="G94" s="4787"/>
      <c r="H94" s="1322"/>
      <c r="I94" s="1332"/>
    </row>
    <row r="95" spans="2:9">
      <c r="B95" s="1330"/>
      <c r="C95" s="794" t="s">
        <v>2939</v>
      </c>
      <c r="D95" s="1322"/>
      <c r="E95" s="1322"/>
      <c r="F95" s="4788">
        <f>+SUM(F92:G94)</f>
        <v>0</v>
      </c>
      <c r="G95" s="4788"/>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90"/>
      <c r="G98" s="4790"/>
      <c r="H98" s="1322"/>
      <c r="I98" s="1332"/>
    </row>
    <row r="99" spans="2:9">
      <c r="B99" s="1330"/>
      <c r="C99" s="814" t="s">
        <v>2942</v>
      </c>
      <c r="D99" s="1322"/>
      <c r="E99" s="1322"/>
      <c r="F99" s="4791"/>
      <c r="G99" s="4791"/>
      <c r="H99" s="1322"/>
      <c r="I99" s="1332"/>
    </row>
    <row r="100" spans="2:9">
      <c r="B100" s="1330"/>
      <c r="C100" s="814" t="s">
        <v>2943</v>
      </c>
      <c r="D100" s="1322"/>
      <c r="E100" s="1322"/>
      <c r="F100" s="4793"/>
      <c r="G100" s="4793"/>
      <c r="H100" s="1322"/>
      <c r="I100" s="1332"/>
    </row>
    <row r="101" spans="2:9">
      <c r="B101" s="1330"/>
      <c r="C101" s="794" t="s">
        <v>2944</v>
      </c>
      <c r="D101" s="1322"/>
      <c r="E101" s="1322"/>
      <c r="F101" s="4788">
        <f>+SUM(F98:G100)</f>
        <v>0</v>
      </c>
      <c r="G101" s="4788"/>
      <c r="H101" s="1322"/>
      <c r="I101" s="1332"/>
    </row>
    <row r="102" spans="2:9">
      <c r="B102" s="1330"/>
      <c r="C102" s="1322"/>
      <c r="D102" s="1322"/>
      <c r="E102" s="1322"/>
      <c r="F102" s="1322"/>
      <c r="G102" s="1322"/>
      <c r="H102" s="1322"/>
      <c r="I102" s="1332"/>
    </row>
    <row r="103" spans="2:9">
      <c r="B103" s="1373" t="s">
        <v>2945</v>
      </c>
      <c r="C103" s="814"/>
      <c r="D103" s="1322"/>
      <c r="E103" s="1322"/>
      <c r="F103" s="4787">
        <f>'Part II-Sources of Funds'!I48+'Part II-Sources of Funds'!I49</f>
        <v>0</v>
      </c>
      <c r="G103" s="4787"/>
      <c r="H103" s="1322"/>
      <c r="I103" s="1332"/>
    </row>
    <row r="104" spans="2:9">
      <c r="B104" s="1330"/>
      <c r="C104" s="1322"/>
      <c r="D104" s="1322"/>
      <c r="E104" s="1322"/>
      <c r="F104" s="1322"/>
      <c r="G104" s="1322"/>
      <c r="H104" s="1322"/>
      <c r="I104" s="1378" t="s">
        <v>2946</v>
      </c>
    </row>
    <row r="105" spans="2:9">
      <c r="B105" s="1333" t="s">
        <v>2947</v>
      </c>
      <c r="C105" s="1322"/>
      <c r="D105" s="1322"/>
      <c r="E105" s="1322"/>
      <c r="F105" s="4787">
        <f>+F103+F101+F95+F89</f>
        <v>6946814.5064355405</v>
      </c>
      <c r="G105" s="4787"/>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topLeftCell="A30" workbookViewId="0">
      <selection activeCell="F51" sqref="F51"/>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1" t="s">
        <v>2482</v>
      </c>
      <c r="B5" s="4801"/>
      <c r="C5" s="4801"/>
      <c r="D5" s="4801"/>
      <c r="E5" s="4801"/>
      <c r="F5" s="4801"/>
      <c r="G5" s="4801"/>
      <c r="H5" s="4801"/>
      <c r="I5" s="4801"/>
      <c r="J5" s="4801"/>
      <c r="K5" s="4801"/>
      <c r="L5" s="4801"/>
      <c r="M5" s="4801"/>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3" t="s">
        <v>6514</v>
      </c>
      <c r="B11" s="4803"/>
      <c r="C11" s="4803"/>
      <c r="D11" s="4803"/>
      <c r="E11" s="4803"/>
      <c r="F11" s="4803"/>
      <c r="G11" s="4803"/>
      <c r="H11" s="4803"/>
      <c r="I11" s="4803"/>
      <c r="J11" s="4803"/>
      <c r="K11" s="4803"/>
      <c r="L11" s="4803"/>
      <c r="M11" s="4803"/>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6278</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0" t="s">
        <v>3194</v>
      </c>
      <c r="C19" s="4800"/>
      <c r="D19" s="4800"/>
      <c r="E19" s="4800"/>
      <c r="F19" s="4800"/>
      <c r="G19" s="4800"/>
      <c r="H19" s="4800"/>
      <c r="I19" s="4800"/>
      <c r="J19" s="4800"/>
      <c r="K19" s="4800"/>
      <c r="L19" s="4800"/>
      <c r="M19" s="4800"/>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5" t="s">
        <v>6995</v>
      </c>
      <c r="B35" s="4805"/>
      <c r="C35" s="4805"/>
      <c r="D35" s="4805"/>
      <c r="E35" s="4805"/>
      <c r="F35" s="4805"/>
      <c r="G35" s="1032"/>
      <c r="H35" s="4805" t="s">
        <v>6996</v>
      </c>
      <c r="I35" s="4805"/>
      <c r="J35" s="4805"/>
      <c r="K35" s="4805"/>
      <c r="L35" s="4805"/>
      <c r="M35" s="4805"/>
    </row>
    <row r="36" spans="1:13" ht="12" customHeight="1">
      <c r="A36" s="4806" t="s">
        <v>865</v>
      </c>
      <c r="B36" s="4806"/>
      <c r="C36" s="4806"/>
      <c r="D36" s="4806"/>
      <c r="E36" s="4806"/>
      <c r="F36" s="4806"/>
      <c r="G36" s="1032"/>
      <c r="H36" s="4806" t="s">
        <v>1839</v>
      </c>
      <c r="I36" s="4806"/>
      <c r="J36" s="4806"/>
      <c r="K36" s="4806"/>
      <c r="L36" s="4806"/>
      <c r="M36" s="4806"/>
    </row>
    <row r="37" spans="1:13" ht="6" customHeight="1">
      <c r="A37" s="1032"/>
      <c r="B37" s="1032"/>
      <c r="C37" s="1032"/>
      <c r="D37" s="1032"/>
      <c r="E37" s="1032"/>
      <c r="F37" s="1032"/>
      <c r="G37" s="1032"/>
      <c r="H37" s="1032"/>
      <c r="I37" s="1032"/>
      <c r="J37" s="1032"/>
      <c r="K37" s="1032"/>
      <c r="L37" s="1032"/>
      <c r="M37" s="1032"/>
    </row>
    <row r="38" spans="1:13" ht="16.5">
      <c r="A38" s="4807"/>
      <c r="B38" s="4807"/>
      <c r="C38" s="4807"/>
      <c r="D38" s="4807"/>
      <c r="E38" s="4807"/>
      <c r="F38" s="4807"/>
      <c r="G38" s="1032"/>
      <c r="H38" s="4808"/>
      <c r="I38" s="4808"/>
      <c r="J38" s="4808"/>
      <c r="K38" s="4808"/>
      <c r="L38" s="4808"/>
      <c r="M38" s="4808"/>
    </row>
    <row r="39" spans="1:13" ht="12" customHeight="1">
      <c r="A39" s="4806" t="s">
        <v>866</v>
      </c>
      <c r="B39" s="4806"/>
      <c r="C39" s="4806"/>
      <c r="D39" s="4806"/>
      <c r="E39" s="4806"/>
      <c r="F39" s="4806"/>
      <c r="G39" s="1032"/>
      <c r="H39" s="4806" t="s">
        <v>867</v>
      </c>
      <c r="I39" s="4806"/>
      <c r="J39" s="4806"/>
      <c r="K39" s="4806"/>
      <c r="L39" s="4806"/>
      <c r="M39" s="4806"/>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9" t="s">
        <v>868</v>
      </c>
      <c r="I41" s="4809"/>
      <c r="J41" s="4809"/>
      <c r="K41" s="4809"/>
      <c r="L41" s="4809"/>
      <c r="M41" s="4809"/>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3" t="s">
        <v>674</v>
      </c>
      <c r="B2" s="4824"/>
      <c r="C2" s="4824"/>
      <c r="D2" s="4824"/>
      <c r="E2" s="4824"/>
      <c r="F2" s="4824"/>
      <c r="G2" s="4824"/>
      <c r="H2" s="4824"/>
      <c r="I2" s="4824"/>
      <c r="J2" s="4824"/>
      <c r="K2" s="4824"/>
      <c r="L2" s="4824"/>
      <c r="M2" s="4824"/>
      <c r="N2" s="4824"/>
      <c r="O2" s="4824"/>
      <c r="P2" s="4824"/>
      <c r="Q2" s="4824"/>
      <c r="R2" s="4825"/>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2" t="s">
        <v>6625</v>
      </c>
      <c r="R11" s="4812"/>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20">
        <v>0.1</v>
      </c>
      <c r="R12" s="4821"/>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9" t="s">
        <v>3912</v>
      </c>
      <c r="R13" s="4819"/>
      <c r="S13" s="180"/>
      <c r="T13" s="180"/>
      <c r="U13" s="180"/>
      <c r="AA13" s="523"/>
      <c r="AB13" s="523"/>
    </row>
    <row r="14" spans="1:28" s="293" customFormat="1" ht="12.75" hidden="1" customHeight="1">
      <c r="A14" s="183"/>
      <c r="B14" s="183"/>
      <c r="C14" s="183"/>
      <c r="K14" s="1632" t="s">
        <v>3913</v>
      </c>
      <c r="L14" s="1631"/>
      <c r="N14" s="303"/>
      <c r="O14" s="183"/>
      <c r="P14" s="180"/>
      <c r="Q14" s="4817">
        <v>0.2</v>
      </c>
      <c r="R14" s="4818"/>
      <c r="S14" s="180"/>
      <c r="T14" s="180"/>
      <c r="U14" s="180"/>
      <c r="AA14" s="523"/>
      <c r="AB14" s="523"/>
    </row>
    <row r="15" spans="1:28" s="293" customFormat="1" ht="12.75" hidden="1" customHeight="1">
      <c r="A15" s="183"/>
      <c r="B15" s="183"/>
      <c r="C15" s="183"/>
      <c r="K15" s="1632" t="s">
        <v>3914</v>
      </c>
      <c r="L15" s="1631"/>
      <c r="N15" s="303"/>
      <c r="O15" s="183"/>
      <c r="P15" s="180"/>
      <c r="Q15" s="4815">
        <v>0.15</v>
      </c>
      <c r="R15" s="4816"/>
      <c r="S15" s="180"/>
      <c r="T15" s="180"/>
      <c r="U15" s="180"/>
      <c r="AA15" s="523"/>
      <c r="AB15" s="523"/>
    </row>
    <row r="16" spans="1:28" s="293" customFormat="1" ht="12.75" hidden="1" customHeight="1">
      <c r="A16" s="183"/>
      <c r="B16" s="183"/>
      <c r="C16" s="183"/>
      <c r="K16" s="1632" t="s">
        <v>3915</v>
      </c>
      <c r="L16" s="1631"/>
      <c r="N16" s="303"/>
      <c r="O16" s="183"/>
      <c r="P16" s="180"/>
      <c r="Q16" s="4815">
        <v>0.15</v>
      </c>
      <c r="R16" s="4816"/>
      <c r="S16" s="180"/>
      <c r="T16" s="180"/>
      <c r="U16" s="180"/>
      <c r="AA16" s="523"/>
      <c r="AB16" s="523"/>
    </row>
    <row r="17" spans="1:28" s="293" customFormat="1" ht="12.75" hidden="1" customHeight="1">
      <c r="A17" s="183"/>
      <c r="B17" s="183"/>
      <c r="C17" s="183"/>
      <c r="K17" s="1632" t="s">
        <v>3916</v>
      </c>
      <c r="L17" s="1631"/>
      <c r="N17" s="303"/>
      <c r="O17" s="183"/>
      <c r="P17" s="180"/>
      <c r="Q17" s="4815">
        <v>0.1</v>
      </c>
      <c r="R17" s="4816"/>
      <c r="S17" s="180"/>
      <c r="T17" s="180"/>
      <c r="U17" s="180"/>
      <c r="AA17" s="523"/>
      <c r="AB17" s="523"/>
    </row>
    <row r="18" spans="1:28" s="293" customFormat="1" ht="12.75" hidden="1" customHeight="1">
      <c r="A18" s="183"/>
      <c r="B18" s="183"/>
      <c r="C18" s="183"/>
      <c r="K18" s="1632" t="s">
        <v>3917</v>
      </c>
      <c r="L18" s="1631"/>
      <c r="N18" s="303"/>
      <c r="O18" s="183"/>
      <c r="P18" s="180"/>
      <c r="Q18" s="4813">
        <v>0.1</v>
      </c>
      <c r="R18" s="4814"/>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10">
        <v>1000</v>
      </c>
      <c r="R42" s="4811"/>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10">
        <v>500</v>
      </c>
      <c r="R43" s="4811"/>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10">
        <v>1500</v>
      </c>
      <c r="R44" s="4811"/>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10">
        <v>1500</v>
      </c>
      <c r="R45" s="4811"/>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10">
        <v>1500</v>
      </c>
      <c r="R46" s="4811"/>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10">
        <v>1500</v>
      </c>
      <c r="R47" s="4811"/>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10">
        <v>6500</v>
      </c>
      <c r="R48" s="4811"/>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10">
        <v>5500</v>
      </c>
      <c r="R49" s="4811"/>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10">
        <v>5500</v>
      </c>
      <c r="R50" s="4811"/>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10">
        <v>500</v>
      </c>
      <c r="R51" s="4811"/>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10">
        <v>1500</v>
      </c>
      <c r="R52" s="4811"/>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2">
        <v>0.08</v>
      </c>
      <c r="R53" s="4822"/>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22">
        <v>0.08</v>
      </c>
      <c r="R54" s="4822"/>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10"/>
      <c r="R55" s="4811"/>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10">
        <v>1500</v>
      </c>
      <c r="R56" s="4811"/>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10">
        <v>800</v>
      </c>
      <c r="R57" s="4811"/>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10">
        <v>1000</v>
      </c>
      <c r="R58" s="4811"/>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10">
        <v>800</v>
      </c>
      <c r="R59" s="4811"/>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10">
        <v>1500</v>
      </c>
      <c r="R60" s="4811"/>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4">
        <v>750</v>
      </c>
      <c r="R61" s="4835"/>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10">
        <v>3000</v>
      </c>
      <c r="R62" s="4811"/>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10">
        <v>75</v>
      </c>
      <c r="R63" s="4811"/>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31">
        <v>27500</v>
      </c>
      <c r="R65" s="4831"/>
    </row>
    <row r="66" spans="1:28" customFormat="1" ht="11.25" customHeight="1">
      <c r="B66" s="27"/>
      <c r="C66" s="27"/>
      <c r="F66" s="160"/>
      <c r="G66" s="27"/>
      <c r="H66" s="1636"/>
      <c r="I66" s="27"/>
      <c r="J66" s="1642">
        <v>51</v>
      </c>
      <c r="K66" s="1644">
        <v>70</v>
      </c>
      <c r="Q66" s="4830">
        <v>22000</v>
      </c>
      <c r="R66" s="4830"/>
    </row>
    <row r="67" spans="1:28" customFormat="1" ht="11.25" customHeight="1">
      <c r="B67" s="27"/>
      <c r="C67" s="27"/>
      <c r="F67" s="160"/>
      <c r="G67" s="27"/>
      <c r="H67" s="1943"/>
      <c r="I67" s="213"/>
      <c r="J67" s="1944">
        <v>71</v>
      </c>
      <c r="K67" s="1945"/>
      <c r="L67" s="1946"/>
      <c r="M67" s="1946"/>
      <c r="N67" s="1946"/>
      <c r="O67" s="1946"/>
      <c r="P67" s="1947"/>
      <c r="Q67" s="4832">
        <v>16500</v>
      </c>
      <c r="R67" s="4832"/>
    </row>
    <row r="68" spans="1:28" customFormat="1" ht="11.25" customHeight="1">
      <c r="B68" s="27"/>
      <c r="C68" s="27"/>
      <c r="F68" s="27"/>
      <c r="G68" s="27"/>
      <c r="H68" s="1948">
        <v>0.04</v>
      </c>
      <c r="I68" s="1949"/>
      <c r="J68" s="1950">
        <v>1</v>
      </c>
      <c r="K68" s="1950">
        <v>50</v>
      </c>
      <c r="L68" s="1951"/>
      <c r="M68" s="1951"/>
      <c r="N68" s="1951"/>
      <c r="O68" s="1951"/>
      <c r="P68" s="1952"/>
      <c r="Q68" s="4831">
        <v>27500</v>
      </c>
      <c r="R68" s="4831"/>
    </row>
    <row r="69" spans="1:28" customFormat="1" ht="11.25" customHeight="1">
      <c r="B69" s="27"/>
      <c r="C69" s="27"/>
      <c r="F69" s="27"/>
      <c r="G69" s="27"/>
      <c r="H69" s="1637"/>
      <c r="I69" s="27"/>
      <c r="J69" s="1642">
        <v>51</v>
      </c>
      <c r="K69" s="1644">
        <v>70</v>
      </c>
      <c r="Q69" s="4830">
        <v>22000</v>
      </c>
      <c r="R69" s="4830"/>
    </row>
    <row r="70" spans="1:28" customFormat="1" ht="11.25" customHeight="1">
      <c r="B70" s="27"/>
      <c r="C70" s="27"/>
      <c r="F70" s="27"/>
      <c r="G70" s="27"/>
      <c r="H70" s="1637"/>
      <c r="I70" s="27"/>
      <c r="J70" s="1642">
        <v>71</v>
      </c>
      <c r="K70" s="1643"/>
      <c r="Q70" s="4832">
        <v>16500</v>
      </c>
      <c r="R70" s="4832"/>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3">
        <v>2000000</v>
      </c>
      <c r="R72" s="4833"/>
    </row>
    <row r="73" spans="1:28" customFormat="1" ht="11.25" customHeight="1">
      <c r="B73" s="27"/>
      <c r="C73" s="27"/>
      <c r="F73" s="27"/>
      <c r="G73" s="27"/>
      <c r="H73" s="1639">
        <v>0.04</v>
      </c>
      <c r="I73" s="1632"/>
      <c r="J73" s="27"/>
      <c r="Q73" s="4833">
        <v>3500000</v>
      </c>
      <c r="R73" s="4833"/>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6">
        <v>3500000</v>
      </c>
      <c r="R75" s="4827"/>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8">
        <v>0.15</v>
      </c>
      <c r="R76" s="4829"/>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8">
        <v>0.15</v>
      </c>
      <c r="R77" s="4829"/>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8">
        <v>0.15</v>
      </c>
      <c r="R78" s="4829"/>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8">
        <v>0.15</v>
      </c>
      <c r="R79" s="4829"/>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8">
        <v>0.15</v>
      </c>
      <c r="R80" s="4829"/>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8">
        <v>0.15</v>
      </c>
      <c r="R81" s="4829"/>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8" t="s">
        <v>2191</v>
      </c>
      <c r="R82" s="4829"/>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10">
        <v>3000</v>
      </c>
      <c r="R88" s="4811"/>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8">
        <v>0.02</v>
      </c>
      <c r="R96" s="4848"/>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6">
        <v>7.0000000000000007E-2</v>
      </c>
      <c r="R97" s="4846"/>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6">
        <v>7.0000000000000007E-2</v>
      </c>
      <c r="R98" s="4846"/>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6">
        <v>0.03</v>
      </c>
      <c r="R99" s="4846"/>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6">
        <v>0.03</v>
      </c>
      <c r="R100" s="4846"/>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7">
        <v>0</v>
      </c>
      <c r="R101" s="4847"/>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8">
        <v>0.1</v>
      </c>
      <c r="R103" s="4848"/>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6">
        <v>1150000</v>
      </c>
      <c r="R104" s="4836"/>
      <c r="S104" s="180"/>
      <c r="T104" s="180"/>
      <c r="U104" s="180"/>
      <c r="V104" s="916"/>
      <c r="W104" s="916"/>
      <c r="X104" s="184"/>
      <c r="AA104" s="523"/>
      <c r="AB104" s="523"/>
    </row>
    <row r="105" spans="1:28" s="293" customFormat="1" ht="11.45" customHeight="1">
      <c r="A105" s="183"/>
      <c r="B105" s="183"/>
      <c r="C105" s="183"/>
      <c r="D105" s="180"/>
      <c r="E105" s="180"/>
      <c r="F105" s="183"/>
      <c r="G105" s="183" t="s">
        <v>6512</v>
      </c>
      <c r="H105" s="183" t="s">
        <v>6104</v>
      </c>
      <c r="J105" s="183" t="s">
        <v>6523</v>
      </c>
      <c r="K105" s="183"/>
      <c r="L105" s="183"/>
      <c r="M105" s="183"/>
      <c r="O105" s="183" t="s">
        <v>6517</v>
      </c>
      <c r="P105" s="180"/>
      <c r="Q105" s="4836">
        <v>1150000</v>
      </c>
      <c r="R105" s="4836"/>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6515</v>
      </c>
      <c r="I106" s="180"/>
      <c r="J106" s="183" t="s">
        <v>6523</v>
      </c>
      <c r="K106" s="183"/>
      <c r="O106" s="183" t="s">
        <v>6518</v>
      </c>
      <c r="Q106" s="4836">
        <v>1035000</v>
      </c>
      <c r="R106" s="4836"/>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6513</v>
      </c>
      <c r="I107" s="180"/>
      <c r="J107" s="183" t="s">
        <v>6523</v>
      </c>
      <c r="K107" s="183"/>
      <c r="O107" s="183" t="s">
        <v>6517</v>
      </c>
      <c r="Q107" s="4844">
        <v>1035000</v>
      </c>
      <c r="R107" s="4845"/>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6523</v>
      </c>
      <c r="K108" s="183"/>
      <c r="L108" s="183"/>
      <c r="M108" s="183"/>
      <c r="O108" s="183" t="s">
        <v>6519</v>
      </c>
      <c r="P108" s="180"/>
      <c r="Q108" s="4839">
        <v>1150000</v>
      </c>
      <c r="R108" s="4839"/>
      <c r="S108" s="299"/>
      <c r="T108" s="299"/>
      <c r="U108" s="180"/>
      <c r="V108" s="970"/>
      <c r="W108" s="970"/>
      <c r="X108" s="970"/>
      <c r="AA108" s="523"/>
      <c r="AB108" s="523"/>
    </row>
    <row r="109" spans="1:28" s="293" customFormat="1" ht="11.45" customHeight="1">
      <c r="A109" s="183"/>
      <c r="B109" s="183"/>
      <c r="C109" s="183"/>
      <c r="D109" s="180"/>
      <c r="E109" s="180"/>
      <c r="G109" s="183" t="s">
        <v>6522</v>
      </c>
      <c r="H109" s="183"/>
      <c r="I109" s="180"/>
      <c r="J109" s="183" t="s">
        <v>6524</v>
      </c>
      <c r="K109" s="183"/>
      <c r="L109" s="183"/>
      <c r="M109" s="183"/>
      <c r="N109" s="183"/>
      <c r="O109" s="183"/>
      <c r="P109" s="180"/>
      <c r="Q109" s="4840"/>
      <c r="R109" s="4841"/>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7">
        <v>4000000</v>
      </c>
      <c r="R110" s="4837"/>
      <c r="S110" s="299"/>
      <c r="T110" s="299"/>
      <c r="U110" s="180"/>
      <c r="V110" s="970"/>
      <c r="W110" s="970"/>
      <c r="X110" s="970"/>
      <c r="AA110" s="523"/>
      <c r="AB110" s="523"/>
    </row>
    <row r="111" spans="1:28" s="293" customFormat="1" ht="11.45" customHeight="1">
      <c r="A111" s="183"/>
      <c r="B111" s="183"/>
      <c r="C111" s="183"/>
      <c r="D111" s="180"/>
      <c r="E111" s="180"/>
      <c r="F111" s="183"/>
      <c r="G111" s="183" t="s">
        <v>6521</v>
      </c>
      <c r="H111" s="180"/>
      <c r="I111" s="180"/>
      <c r="J111" s="183" t="s">
        <v>6523</v>
      </c>
      <c r="K111" s="183"/>
      <c r="O111" s="183" t="s">
        <v>6517</v>
      </c>
      <c r="Q111" s="4842">
        <v>1035000</v>
      </c>
      <c r="R111" s="4843"/>
      <c r="S111" s="299"/>
      <c r="T111" s="299"/>
      <c r="U111" s="180"/>
      <c r="V111" s="970"/>
      <c r="W111" s="970"/>
      <c r="X111" s="970"/>
      <c r="AA111" s="523"/>
      <c r="AB111" s="523"/>
    </row>
    <row r="112" spans="1:28" ht="12.75" customHeight="1">
      <c r="A112" s="298" t="s">
        <v>2512</v>
      </c>
      <c r="J112" s="183" t="s">
        <v>2446</v>
      </c>
      <c r="Q112" s="4851" t="s">
        <v>6107</v>
      </c>
      <c r="R112" s="4851"/>
    </row>
    <row r="113" spans="1:28" ht="11.25" customHeight="1">
      <c r="F113" s="183" t="s">
        <v>2393</v>
      </c>
      <c r="G113" s="183"/>
      <c r="H113" s="183" t="s">
        <v>6106</v>
      </c>
      <c r="I113" s="180"/>
      <c r="J113" s="4848">
        <v>0.35</v>
      </c>
      <c r="K113" s="4848"/>
      <c r="L113" s="183"/>
      <c r="M113" s="183"/>
      <c r="N113" s="183"/>
      <c r="O113" s="183"/>
      <c r="P113" s="180"/>
      <c r="Q113" s="4837">
        <v>1035000</v>
      </c>
      <c r="R113" s="4837"/>
    </row>
    <row r="114" spans="1:28" ht="11.25" customHeight="1">
      <c r="A114" s="298"/>
      <c r="F114" s="183" t="s">
        <v>6105</v>
      </c>
      <c r="G114" s="183"/>
      <c r="H114" s="183" t="s">
        <v>6106</v>
      </c>
      <c r="I114" s="180"/>
      <c r="J114" s="4846">
        <v>0.35</v>
      </c>
      <c r="K114" s="4846"/>
      <c r="L114" s="183"/>
      <c r="M114" s="183"/>
      <c r="N114" s="183"/>
      <c r="O114" s="183"/>
      <c r="P114" s="180"/>
      <c r="Q114" s="4836">
        <v>1150000</v>
      </c>
      <c r="R114" s="4836"/>
    </row>
    <row r="115" spans="1:28" s="293" customFormat="1" ht="11.25" customHeight="1">
      <c r="A115" s="298"/>
      <c r="B115" s="183"/>
      <c r="C115" s="183"/>
      <c r="D115" s="180"/>
      <c r="E115" s="180"/>
      <c r="F115" s="183" t="s">
        <v>3023</v>
      </c>
      <c r="G115" s="183"/>
      <c r="H115" s="183" t="s">
        <v>6106</v>
      </c>
      <c r="I115" s="180"/>
      <c r="J115" s="4847">
        <v>0.3</v>
      </c>
      <c r="K115" s="4847"/>
      <c r="L115" s="183"/>
      <c r="M115" s="183"/>
      <c r="N115" s="183"/>
      <c r="O115" s="183"/>
      <c r="P115" s="180"/>
      <c r="Q115" s="4838">
        <v>1150000</v>
      </c>
      <c r="R115" s="4838"/>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8">
        <v>0.05</v>
      </c>
      <c r="R117" s="4848"/>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6">
        <v>0.4</v>
      </c>
      <c r="R118" s="4846"/>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7">
        <v>0.02</v>
      </c>
      <c r="R119" s="4847"/>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7" t="s">
        <v>3404</v>
      </c>
      <c r="E132" s="305"/>
      <c r="F132" s="305"/>
    </row>
    <row r="133" spans="2:37" ht="10.5" customHeight="1">
      <c r="C133" s="4857"/>
      <c r="E133" s="305"/>
      <c r="F133" s="305"/>
    </row>
    <row r="134" spans="2:37" ht="10.5" customHeight="1">
      <c r="C134" s="4857"/>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2401</v>
      </c>
      <c r="K139" s="994" t="s">
        <v>6733</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6734</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6734</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6735</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6736</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6734</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6737</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6734</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6734</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6734</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6736</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6734</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6735</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6734</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6734</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6734</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6734</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6734</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6734</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6734</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6737</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6734</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6734</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6738</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6734</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6735</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6739</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6737</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6736</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6737</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6734</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6734</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6740</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6734</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6734</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6736</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6734</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6734</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6741</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6742</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6735</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6734</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2">
        <v>2019</v>
      </c>
      <c r="D297" s="4853"/>
      <c r="E297" s="4853"/>
      <c r="F297" s="4853"/>
      <c r="G297" s="4852">
        <v>2020</v>
      </c>
      <c r="H297" s="4852"/>
      <c r="I297" s="4852"/>
      <c r="J297" s="4852"/>
      <c r="K297"/>
      <c r="L297" s="4854" t="s">
        <v>4062</v>
      </c>
      <c r="M297" s="4855"/>
      <c r="N297" s="4855"/>
      <c r="O297" s="4856"/>
      <c r="P297" s="568" t="s">
        <v>740</v>
      </c>
      <c r="Q297" s="313"/>
      <c r="R297" s="183"/>
      <c r="S297" s="414"/>
      <c r="T297" s="569" t="s">
        <v>643</v>
      </c>
      <c r="U297" s="569" t="s">
        <v>2021</v>
      </c>
      <c r="W297" s="457" t="s">
        <v>1362</v>
      </c>
      <c r="X297" s="457" t="s">
        <v>3020</v>
      </c>
      <c r="AA297" s="27"/>
      <c r="AB297" s="27"/>
      <c r="AC297" s="911"/>
      <c r="AD297" s="523"/>
    </row>
    <row r="298" spans="3:30" ht="10.5" customHeight="1">
      <c r="C298" s="4850" t="s">
        <v>3966</v>
      </c>
      <c r="D298" s="4849" t="s">
        <v>3967</v>
      </c>
      <c r="E298" s="4849" t="s">
        <v>3968</v>
      </c>
      <c r="F298" s="4849" t="s">
        <v>3969</v>
      </c>
      <c r="G298" s="4850" t="s">
        <v>3966</v>
      </c>
      <c r="H298" s="4849" t="s">
        <v>3967</v>
      </c>
      <c r="I298" s="4849" t="s">
        <v>3968</v>
      </c>
      <c r="J298" s="4849" t="s">
        <v>3969</v>
      </c>
      <c r="K298"/>
      <c r="L298" s="4850" t="s">
        <v>3966</v>
      </c>
      <c r="M298" s="4849" t="s">
        <v>3967</v>
      </c>
      <c r="N298" s="4849" t="s">
        <v>3968</v>
      </c>
      <c r="O298" s="4849"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50"/>
      <c r="D299" s="4849"/>
      <c r="E299" s="4849"/>
      <c r="F299" s="4849"/>
      <c r="G299" s="4850"/>
      <c r="H299" s="4849"/>
      <c r="I299" s="4849"/>
      <c r="J299" s="4849"/>
      <c r="K299"/>
      <c r="L299" s="4850"/>
      <c r="M299" s="4849"/>
      <c r="N299" s="4849"/>
      <c r="O299" s="4849"/>
      <c r="P299" s="568" t="s">
        <v>2229</v>
      </c>
      <c r="Q299" s="313"/>
      <c r="R299" s="183"/>
      <c r="S299" s="414"/>
      <c r="T299" s="515" t="s">
        <v>189</v>
      </c>
      <c r="U299" s="515" t="s">
        <v>585</v>
      </c>
      <c r="W299" s="457" t="s">
        <v>1968</v>
      </c>
      <c r="X299" s="457" t="s">
        <v>3020</v>
      </c>
      <c r="AA299" s="27"/>
      <c r="AB299" s="27"/>
      <c r="AC299" s="911"/>
      <c r="AD299" s="523"/>
    </row>
    <row r="300" spans="3:30" ht="10.5" customHeight="1">
      <c r="C300" s="4850"/>
      <c r="D300" s="4849"/>
      <c r="E300" s="4849"/>
      <c r="F300" s="4849"/>
      <c r="G300" s="4850"/>
      <c r="H300" s="4849"/>
      <c r="I300" s="4849"/>
      <c r="J300" s="4849"/>
      <c r="K300"/>
      <c r="L300" s="4850"/>
      <c r="M300" s="4849"/>
      <c r="N300" s="4849"/>
      <c r="O300" s="4849"/>
      <c r="P300" s="568" t="s">
        <v>2231</v>
      </c>
      <c r="Q300" s="313"/>
      <c r="R300" s="183"/>
      <c r="S300" s="414"/>
      <c r="T300" s="515" t="s">
        <v>2366</v>
      </c>
      <c r="U300" s="515" t="s">
        <v>1865</v>
      </c>
      <c r="W300" s="457" t="s">
        <v>1970</v>
      </c>
      <c r="X300" s="457" t="s">
        <v>3020</v>
      </c>
      <c r="AA300" s="27"/>
      <c r="AB300" s="27"/>
      <c r="AC300" s="911"/>
      <c r="AD300" s="523"/>
    </row>
    <row r="301" spans="3:30" ht="10.5" customHeight="1">
      <c r="C301" s="4850"/>
      <c r="D301" s="4849"/>
      <c r="E301" s="4849"/>
      <c r="F301" s="4849"/>
      <c r="G301" s="4850"/>
      <c r="H301" s="4849"/>
      <c r="I301" s="4849"/>
      <c r="J301" s="4849"/>
      <c r="K301"/>
      <c r="L301" s="4850"/>
      <c r="M301" s="4849"/>
      <c r="N301" s="4849"/>
      <c r="O301" s="4849"/>
      <c r="P301" s="568" t="s">
        <v>2233</v>
      </c>
      <c r="Q301" s="313"/>
      <c r="R301" s="183"/>
      <c r="S301" s="414"/>
      <c r="T301" s="515" t="s">
        <v>737</v>
      </c>
      <c r="U301" s="515" t="s">
        <v>100</v>
      </c>
      <c r="W301" s="457" t="s">
        <v>1353</v>
      </c>
      <c r="X301" s="457" t="s">
        <v>3020</v>
      </c>
      <c r="AA301" s="27"/>
      <c r="AB301" s="27"/>
      <c r="AC301" s="911"/>
      <c r="AD301" s="523"/>
    </row>
    <row r="302" spans="3:30" ht="10.5" customHeight="1">
      <c r="C302" s="4850"/>
      <c r="D302" s="4849"/>
      <c r="E302" s="4849"/>
      <c r="F302" s="4849"/>
      <c r="G302" s="4850"/>
      <c r="H302" s="4849"/>
      <c r="I302" s="4849"/>
      <c r="J302" s="4849"/>
      <c r="K302"/>
      <c r="L302" s="4850"/>
      <c r="M302" s="4849"/>
      <c r="N302" s="4849"/>
      <c r="O302" s="4849"/>
      <c r="P302" s="568" t="s">
        <v>2234</v>
      </c>
      <c r="Q302" s="313"/>
      <c r="R302" s="183"/>
      <c r="S302" s="414"/>
      <c r="T302" s="515" t="s">
        <v>739</v>
      </c>
      <c r="U302" s="515" t="s">
        <v>116</v>
      </c>
      <c r="W302" s="457" t="s">
        <v>1454</v>
      </c>
      <c r="X302" s="457" t="s">
        <v>3020</v>
      </c>
      <c r="AA302" s="27"/>
      <c r="AB302" s="27"/>
      <c r="AC302" s="911"/>
      <c r="AD302" s="523"/>
    </row>
    <row r="303" spans="3:30" ht="10.5" customHeight="1">
      <c r="C303" s="4850"/>
      <c r="D303" s="4849"/>
      <c r="E303" s="4849"/>
      <c r="F303" s="4849"/>
      <c r="G303" s="4850"/>
      <c r="H303" s="4849"/>
      <c r="I303" s="4849"/>
      <c r="J303" s="4849"/>
      <c r="K303"/>
      <c r="L303" s="4850"/>
      <c r="M303" s="4849"/>
      <c r="N303" s="4849"/>
      <c r="O303" s="4849"/>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09" t="str">
        <f>CONCATENATE("PART TWO - DEVELOPMENT TEAM INFORMATION","  -  ",'Part I-Project Identification'!$O$7," ",'Part I-Project Identification'!$F$29,", ",'Part I-Project Identification'!F30,", ",'Part I-Project Identification'!J30," County")</f>
        <v>PART TWO - DEVELOPMENT TEAM INFORMATION  -  2022-0 Gibson Park , College Park, Fulton County</v>
      </c>
      <c r="B2" s="3410"/>
      <c r="C2" s="3410"/>
      <c r="D2" s="3410"/>
      <c r="E2" s="3410"/>
      <c r="F2" s="3410"/>
      <c r="G2" s="3410"/>
      <c r="H2" s="3410"/>
      <c r="I2" s="3410"/>
      <c r="J2" s="3410"/>
      <c r="K2" s="3410"/>
      <c r="L2" s="3410"/>
      <c r="M2" s="3410"/>
      <c r="N2" s="3410"/>
      <c r="O2" s="3410"/>
      <c r="P2" s="3410"/>
      <c r="Q2" s="3410"/>
      <c r="R2" s="3410"/>
      <c r="S2" s="3411"/>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12" t="str">
        <f>'Part I-Project Identification'!$A$6</f>
        <v>May 12 2022 Core Application</v>
      </c>
      <c r="P4" s="3413"/>
      <c r="Q4" s="3413"/>
      <c r="R4" s="3413"/>
      <c r="S4" s="3414"/>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40" t="s">
        <v>87</v>
      </c>
      <c r="I6" s="3397"/>
      <c r="J6" s="3397"/>
      <c r="K6" s="3397"/>
      <c r="L6" s="3397"/>
      <c r="M6" s="3397"/>
      <c r="N6" s="3398"/>
      <c r="O6" s="343" t="s">
        <v>1848</v>
      </c>
      <c r="P6" s="343"/>
      <c r="Q6" s="3340"/>
      <c r="R6" s="3397"/>
      <c r="S6" s="3398"/>
      <c r="Y6" s="1066"/>
      <c r="Z6" s="2246">
        <v>6</v>
      </c>
      <c r="AA6" s="1065"/>
    </row>
    <row r="7" spans="1:27" s="315" customFormat="1" ht="11.25" customHeight="1">
      <c r="D7" s="344"/>
      <c r="E7" s="320" t="s">
        <v>958</v>
      </c>
      <c r="F7" s="328"/>
      <c r="H7" s="3401"/>
      <c r="I7" s="3402"/>
      <c r="J7" s="3402"/>
      <c r="K7" s="3403"/>
      <c r="L7" s="3402"/>
      <c r="M7" s="3402"/>
      <c r="N7" s="3404"/>
      <c r="O7" s="343" t="s">
        <v>1625</v>
      </c>
      <c r="P7" s="345"/>
      <c r="Q7" s="3350"/>
      <c r="R7" s="3405"/>
      <c r="S7" s="3406"/>
      <c r="V7" s="1066"/>
      <c r="W7" s="1066"/>
      <c r="X7" s="1066"/>
      <c r="Y7" s="1066"/>
      <c r="Z7" s="2246">
        <v>7</v>
      </c>
      <c r="AA7" s="1065"/>
    </row>
    <row r="8" spans="1:27" s="315" customFormat="1" ht="11.25" customHeight="1">
      <c r="D8" s="344"/>
      <c r="E8" s="320" t="s">
        <v>575</v>
      </c>
      <c r="H8" s="3401"/>
      <c r="I8" s="3403"/>
      <c r="J8" s="3407"/>
      <c r="K8" s="439" t="s">
        <v>710</v>
      </c>
      <c r="L8" s="3307"/>
      <c r="M8" s="3402"/>
      <c r="N8" s="3404"/>
      <c r="O8" s="343" t="s">
        <v>1601</v>
      </c>
      <c r="P8" s="345"/>
      <c r="Q8" s="3389"/>
      <c r="R8" s="3390"/>
      <c r="S8" s="3391"/>
      <c r="Z8" s="2246">
        <v>8</v>
      </c>
    </row>
    <row r="9" spans="1:27" s="315" customFormat="1" ht="11.25" customHeight="1">
      <c r="D9" s="344"/>
      <c r="E9" s="320" t="s">
        <v>1672</v>
      </c>
      <c r="H9" s="1270"/>
      <c r="I9" s="861" t="s">
        <v>2062</v>
      </c>
      <c r="J9" s="3385"/>
      <c r="K9" s="3386"/>
      <c r="L9" s="345" t="s">
        <v>3197</v>
      </c>
      <c r="M9" s="3387"/>
      <c r="N9" s="3388"/>
      <c r="O9" s="343" t="s">
        <v>1838</v>
      </c>
      <c r="P9" s="345"/>
      <c r="Q9" s="3389"/>
      <c r="R9" s="3390"/>
      <c r="S9" s="3391"/>
      <c r="Z9" s="2246">
        <v>9</v>
      </c>
    </row>
    <row r="10" spans="1:27" s="315" customFormat="1" ht="11.25" customHeight="1">
      <c r="D10" s="344"/>
      <c r="E10" s="320" t="s">
        <v>3464</v>
      </c>
      <c r="H10" s="3392"/>
      <c r="I10" s="3393"/>
      <c r="J10" s="909"/>
      <c r="K10" s="346" t="s">
        <v>1843</v>
      </c>
      <c r="L10" s="3394"/>
      <c r="M10" s="3395"/>
      <c r="N10" s="3395"/>
      <c r="O10" s="3301"/>
      <c r="P10" s="3301"/>
      <c r="Q10" s="3395"/>
      <c r="R10" s="3395"/>
      <c r="S10" s="3396"/>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0"/>
      <c r="I15" s="3397"/>
      <c r="J15" s="3397"/>
      <c r="K15" s="3397"/>
      <c r="L15" s="3397"/>
      <c r="M15" s="3397"/>
      <c r="N15" s="3398"/>
      <c r="O15" s="343" t="s">
        <v>1848</v>
      </c>
      <c r="P15" s="343"/>
      <c r="Q15" s="3340"/>
      <c r="R15" s="3397"/>
      <c r="S15" s="3398"/>
      <c r="Z15" s="2246">
        <v>15</v>
      </c>
    </row>
    <row r="16" spans="1:27" s="315" customFormat="1" ht="11.25" customHeight="1">
      <c r="D16" s="344"/>
      <c r="E16" s="320" t="s">
        <v>958</v>
      </c>
      <c r="F16" s="328"/>
      <c r="H16" s="3401"/>
      <c r="I16" s="3402"/>
      <c r="J16" s="3402"/>
      <c r="K16" s="3403"/>
      <c r="L16" s="3402"/>
      <c r="M16" s="3402"/>
      <c r="N16" s="3404"/>
      <c r="O16" s="343" t="s">
        <v>1625</v>
      </c>
      <c r="P16" s="345"/>
      <c r="Q16" s="3350"/>
      <c r="R16" s="3405"/>
      <c r="S16" s="3406"/>
      <c r="Z16" s="2246">
        <v>16</v>
      </c>
    </row>
    <row r="17" spans="4:26" s="315" customFormat="1" ht="11.25" customHeight="1">
      <c r="D17" s="344"/>
      <c r="E17" s="320" t="s">
        <v>575</v>
      </c>
      <c r="H17" s="3401"/>
      <c r="I17" s="3403"/>
      <c r="J17" s="3407"/>
      <c r="K17" s="519" t="s">
        <v>2459</v>
      </c>
      <c r="L17" s="3401"/>
      <c r="M17" s="3402"/>
      <c r="N17" s="3407"/>
      <c r="O17" s="343" t="s">
        <v>1601</v>
      </c>
      <c r="P17" s="345"/>
      <c r="Q17" s="3389"/>
      <c r="R17" s="3390"/>
      <c r="S17" s="3391"/>
      <c r="Z17" s="2246">
        <v>17</v>
      </c>
    </row>
    <row r="18" spans="4:26" s="315" customFormat="1" ht="11.25" customHeight="1">
      <c r="D18" s="317"/>
      <c r="E18" s="320" t="s">
        <v>1672</v>
      </c>
      <c r="H18" s="1270"/>
      <c r="I18" s="345"/>
      <c r="J18" s="345"/>
      <c r="K18" s="861" t="s">
        <v>2062</v>
      </c>
      <c r="L18" s="3328"/>
      <c r="M18" s="3408"/>
      <c r="N18" s="345"/>
      <c r="O18" s="343" t="s">
        <v>1838</v>
      </c>
      <c r="P18" s="345"/>
      <c r="Q18" s="3389"/>
      <c r="R18" s="3390"/>
      <c r="S18" s="3391"/>
      <c r="Z18" s="2246">
        <v>18</v>
      </c>
    </row>
    <row r="19" spans="4:26" s="315" customFormat="1" ht="11.25" customHeight="1">
      <c r="D19" s="344"/>
      <c r="E19" s="320" t="s">
        <v>3464</v>
      </c>
      <c r="H19" s="3392"/>
      <c r="I19" s="3399"/>
      <c r="J19" s="338"/>
      <c r="K19" s="346" t="s">
        <v>1843</v>
      </c>
      <c r="L19" s="3400"/>
      <c r="M19" s="3395"/>
      <c r="N19" s="3301"/>
      <c r="O19" s="3301"/>
      <c r="P19" s="3301"/>
      <c r="Q19" s="3395"/>
      <c r="R19" s="3395"/>
      <c r="S19" s="3396"/>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0"/>
      <c r="I21" s="3397"/>
      <c r="J21" s="3397"/>
      <c r="K21" s="3397"/>
      <c r="L21" s="3397"/>
      <c r="M21" s="3397"/>
      <c r="N21" s="3398"/>
      <c r="O21" s="343" t="s">
        <v>1848</v>
      </c>
      <c r="P21" s="343"/>
      <c r="Q21" s="3340"/>
      <c r="R21" s="3397"/>
      <c r="S21" s="3398"/>
      <c r="Z21" s="2246">
        <v>21</v>
      </c>
    </row>
    <row r="22" spans="4:26" s="315" customFormat="1" ht="11.25" customHeight="1">
      <c r="D22" s="344"/>
      <c r="E22" s="320" t="s">
        <v>958</v>
      </c>
      <c r="F22" s="328"/>
      <c r="H22" s="3401"/>
      <c r="I22" s="3402"/>
      <c r="J22" s="3402"/>
      <c r="K22" s="3403"/>
      <c r="L22" s="3402"/>
      <c r="M22" s="3402"/>
      <c r="N22" s="3404"/>
      <c r="O22" s="343" t="s">
        <v>1625</v>
      </c>
      <c r="P22" s="345"/>
      <c r="Q22" s="3350"/>
      <c r="R22" s="3405"/>
      <c r="S22" s="3406"/>
      <c r="Z22" s="2246">
        <v>22</v>
      </c>
    </row>
    <row r="23" spans="4:26" s="315" customFormat="1" ht="11.25" customHeight="1">
      <c r="D23" s="344"/>
      <c r="E23" s="320" t="s">
        <v>575</v>
      </c>
      <c r="H23" s="3401"/>
      <c r="I23" s="3403"/>
      <c r="J23" s="3407"/>
      <c r="K23" s="519" t="s">
        <v>2459</v>
      </c>
      <c r="L23" s="3401"/>
      <c r="M23" s="3402"/>
      <c r="N23" s="3407"/>
      <c r="O23" s="343" t="s">
        <v>1601</v>
      </c>
      <c r="P23" s="345"/>
      <c r="Q23" s="3389"/>
      <c r="R23" s="3390"/>
      <c r="S23" s="3391"/>
      <c r="Z23" s="2246">
        <v>23</v>
      </c>
    </row>
    <row r="24" spans="4:26" s="315" customFormat="1" ht="11.25" customHeight="1">
      <c r="E24" s="320" t="s">
        <v>1672</v>
      </c>
      <c r="H24" s="1270"/>
      <c r="I24" s="345"/>
      <c r="J24" s="345"/>
      <c r="K24" s="861" t="s">
        <v>2062</v>
      </c>
      <c r="L24" s="3328"/>
      <c r="M24" s="3408"/>
      <c r="N24" s="345"/>
      <c r="O24" s="343" t="s">
        <v>1838</v>
      </c>
      <c r="P24" s="345"/>
      <c r="Q24" s="3389"/>
      <c r="R24" s="3390"/>
      <c r="S24" s="3391"/>
      <c r="Z24" s="2246">
        <v>24</v>
      </c>
    </row>
    <row r="25" spans="4:26" s="315" customFormat="1" ht="11.25" customHeight="1">
      <c r="D25" s="344"/>
      <c r="E25" s="320" t="s">
        <v>3464</v>
      </c>
      <c r="H25" s="3392"/>
      <c r="I25" s="3399"/>
      <c r="J25" s="338"/>
      <c r="K25" s="346" t="s">
        <v>1843</v>
      </c>
      <c r="L25" s="3400"/>
      <c r="M25" s="3395"/>
      <c r="N25" s="3301"/>
      <c r="O25" s="3301"/>
      <c r="P25" s="3301"/>
      <c r="Q25" s="3395"/>
      <c r="R25" s="3395"/>
      <c r="S25" s="3396"/>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0"/>
      <c r="I27" s="3397"/>
      <c r="J27" s="3397"/>
      <c r="K27" s="3397"/>
      <c r="L27" s="3397"/>
      <c r="M27" s="3397"/>
      <c r="N27" s="3398"/>
      <c r="O27" s="343" t="s">
        <v>1848</v>
      </c>
      <c r="P27" s="343"/>
      <c r="Q27" s="3340"/>
      <c r="R27" s="3397"/>
      <c r="S27" s="3398"/>
      <c r="Z27" s="2246">
        <v>27</v>
      </c>
    </row>
    <row r="28" spans="4:26" s="315" customFormat="1" ht="11.25" customHeight="1">
      <c r="D28" s="344"/>
      <c r="E28" s="320" t="s">
        <v>958</v>
      </c>
      <c r="F28" s="328"/>
      <c r="H28" s="3401"/>
      <c r="I28" s="3402"/>
      <c r="J28" s="3402"/>
      <c r="K28" s="3403"/>
      <c r="L28" s="3402"/>
      <c r="M28" s="3402"/>
      <c r="N28" s="3404"/>
      <c r="O28" s="343" t="s">
        <v>1625</v>
      </c>
      <c r="P28" s="345"/>
      <c r="Q28" s="3350"/>
      <c r="R28" s="3405"/>
      <c r="S28" s="3406"/>
      <c r="Z28" s="2246">
        <v>28</v>
      </c>
    </row>
    <row r="29" spans="4:26" s="315" customFormat="1" ht="11.25" customHeight="1">
      <c r="D29" s="344"/>
      <c r="E29" s="320" t="s">
        <v>575</v>
      </c>
      <c r="H29" s="3401"/>
      <c r="I29" s="3403"/>
      <c r="J29" s="3407"/>
      <c r="K29" s="519" t="s">
        <v>2459</v>
      </c>
      <c r="L29" s="3401"/>
      <c r="M29" s="3402"/>
      <c r="N29" s="3407"/>
      <c r="O29" s="343" t="s">
        <v>1601</v>
      </c>
      <c r="P29" s="345"/>
      <c r="Q29" s="3389"/>
      <c r="R29" s="3390"/>
      <c r="S29" s="3391"/>
      <c r="Z29" s="2246">
        <v>29</v>
      </c>
    </row>
    <row r="30" spans="4:26" s="315" customFormat="1" ht="11.25" customHeight="1">
      <c r="E30" s="320" t="s">
        <v>1672</v>
      </c>
      <c r="H30" s="1270"/>
      <c r="I30" s="345"/>
      <c r="J30" s="345"/>
      <c r="K30" s="861" t="s">
        <v>2062</v>
      </c>
      <c r="L30" s="3328"/>
      <c r="M30" s="3408"/>
      <c r="N30" s="345"/>
      <c r="O30" s="343" t="s">
        <v>1838</v>
      </c>
      <c r="P30" s="345"/>
      <c r="Q30" s="3389"/>
      <c r="R30" s="3390"/>
      <c r="S30" s="3391"/>
      <c r="Z30" s="2246">
        <v>30</v>
      </c>
    </row>
    <row r="31" spans="4:26" s="315" customFormat="1" ht="11.25" customHeight="1">
      <c r="D31" s="344"/>
      <c r="E31" s="320" t="s">
        <v>3464</v>
      </c>
      <c r="H31" s="3392"/>
      <c r="I31" s="3399"/>
      <c r="J31" s="338"/>
      <c r="K31" s="346" t="s">
        <v>1843</v>
      </c>
      <c r="L31" s="3400"/>
      <c r="M31" s="3395"/>
      <c r="N31" s="3301"/>
      <c r="O31" s="3301"/>
      <c r="P31" s="3301"/>
      <c r="Q31" s="3395"/>
      <c r="R31" s="3395"/>
      <c r="S31" s="3396"/>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40"/>
      <c r="I34" s="3397"/>
      <c r="J34" s="3397"/>
      <c r="K34" s="3397"/>
      <c r="L34" s="3397"/>
      <c r="M34" s="3397"/>
      <c r="N34" s="3398"/>
      <c r="O34" s="343" t="s">
        <v>1848</v>
      </c>
      <c r="P34" s="343"/>
      <c r="Q34" s="3340"/>
      <c r="R34" s="3397"/>
      <c r="S34" s="3398"/>
      <c r="Z34" s="2246">
        <v>34</v>
      </c>
    </row>
    <row r="35" spans="3:26" s="315" customFormat="1" ht="11.25" customHeight="1">
      <c r="D35" s="344"/>
      <c r="E35" s="320" t="s">
        <v>958</v>
      </c>
      <c r="F35" s="328"/>
      <c r="H35" s="3401"/>
      <c r="I35" s="3402"/>
      <c r="J35" s="3402"/>
      <c r="K35" s="3403"/>
      <c r="L35" s="3402"/>
      <c r="M35" s="3402"/>
      <c r="N35" s="3404"/>
      <c r="O35" s="343" t="s">
        <v>1625</v>
      </c>
      <c r="P35" s="345"/>
      <c r="Q35" s="3350"/>
      <c r="R35" s="3405"/>
      <c r="S35" s="3406"/>
      <c r="Z35" s="2245">
        <v>35</v>
      </c>
    </row>
    <row r="36" spans="3:26" s="315" customFormat="1" ht="11.25" customHeight="1">
      <c r="D36" s="344"/>
      <c r="E36" s="320" t="s">
        <v>575</v>
      </c>
      <c r="H36" s="3401"/>
      <c r="I36" s="3403"/>
      <c r="J36" s="3407"/>
      <c r="K36" s="519" t="s">
        <v>2459</v>
      </c>
      <c r="L36" s="3401"/>
      <c r="M36" s="3402"/>
      <c r="N36" s="3407"/>
      <c r="O36" s="343" t="s">
        <v>1601</v>
      </c>
      <c r="P36" s="345"/>
      <c r="Q36" s="3389"/>
      <c r="R36" s="3390"/>
      <c r="S36" s="3391"/>
      <c r="Z36" s="2246">
        <v>36</v>
      </c>
    </row>
    <row r="37" spans="3:26" s="315" customFormat="1" ht="11.25" customHeight="1">
      <c r="E37" s="320" t="s">
        <v>1672</v>
      </c>
      <c r="H37" s="1270"/>
      <c r="I37" s="345"/>
      <c r="J37" s="345"/>
      <c r="K37" s="861" t="s">
        <v>2062</v>
      </c>
      <c r="L37" s="3328"/>
      <c r="M37" s="3408"/>
      <c r="N37" s="345"/>
      <c r="O37" s="343" t="s">
        <v>1838</v>
      </c>
      <c r="P37" s="345"/>
      <c r="Q37" s="3389"/>
      <c r="R37" s="3390"/>
      <c r="S37" s="3391"/>
      <c r="Z37" s="2246">
        <v>37</v>
      </c>
    </row>
    <row r="38" spans="3:26" s="315" customFormat="1" ht="11.25" customHeight="1">
      <c r="D38" s="344"/>
      <c r="E38" s="320" t="s">
        <v>3464</v>
      </c>
      <c r="H38" s="3392"/>
      <c r="I38" s="3399"/>
      <c r="J38" s="338"/>
      <c r="K38" s="346" t="s">
        <v>1843</v>
      </c>
      <c r="L38" s="3400"/>
      <c r="M38" s="3395"/>
      <c r="N38" s="3301"/>
      <c r="O38" s="3301"/>
      <c r="P38" s="3301"/>
      <c r="Q38" s="3395"/>
      <c r="R38" s="3395"/>
      <c r="S38" s="3396"/>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0"/>
      <c r="I40" s="3397"/>
      <c r="J40" s="3397"/>
      <c r="K40" s="3397"/>
      <c r="L40" s="3397"/>
      <c r="M40" s="3397"/>
      <c r="N40" s="3398"/>
      <c r="O40" s="343" t="s">
        <v>1848</v>
      </c>
      <c r="P40" s="343"/>
      <c r="Q40" s="3340"/>
      <c r="R40" s="3397"/>
      <c r="S40" s="3398"/>
      <c r="Z40" s="2246">
        <v>40</v>
      </c>
    </row>
    <row r="41" spans="3:26" s="315" customFormat="1" ht="11.25" customHeight="1">
      <c r="D41" s="344"/>
      <c r="E41" s="320" t="s">
        <v>958</v>
      </c>
      <c r="F41" s="328"/>
      <c r="H41" s="3401"/>
      <c r="I41" s="3402"/>
      <c r="J41" s="3402"/>
      <c r="K41" s="3403"/>
      <c r="L41" s="3402"/>
      <c r="M41" s="3402"/>
      <c r="N41" s="3404"/>
      <c r="O41" s="343" t="s">
        <v>1625</v>
      </c>
      <c r="P41" s="345"/>
      <c r="Q41" s="3350"/>
      <c r="R41" s="3405"/>
      <c r="S41" s="3406"/>
      <c r="Z41" s="2246">
        <v>41</v>
      </c>
    </row>
    <row r="42" spans="3:26" s="315" customFormat="1" ht="11.25" customHeight="1">
      <c r="D42" s="344"/>
      <c r="E42" s="320" t="s">
        <v>575</v>
      </c>
      <c r="H42" s="3401"/>
      <c r="I42" s="3403"/>
      <c r="J42" s="3407"/>
      <c r="K42" s="519" t="s">
        <v>2459</v>
      </c>
      <c r="L42" s="3401"/>
      <c r="M42" s="3402"/>
      <c r="N42" s="3407"/>
      <c r="O42" s="343" t="s">
        <v>1601</v>
      </c>
      <c r="P42" s="345"/>
      <c r="Q42" s="3389"/>
      <c r="R42" s="3390"/>
      <c r="S42" s="3391"/>
      <c r="Z42" s="2246">
        <v>42</v>
      </c>
    </row>
    <row r="43" spans="3:26" s="315" customFormat="1" ht="11.25" customHeight="1">
      <c r="D43" s="317"/>
      <c r="E43" s="320" t="s">
        <v>1672</v>
      </c>
      <c r="H43" s="1270"/>
      <c r="I43" s="345"/>
      <c r="J43" s="345"/>
      <c r="K43" s="861" t="s">
        <v>2062</v>
      </c>
      <c r="L43" s="3328"/>
      <c r="M43" s="3408"/>
      <c r="N43" s="345"/>
      <c r="O43" s="343" t="s">
        <v>1838</v>
      </c>
      <c r="P43" s="345"/>
      <c r="Q43" s="3389"/>
      <c r="R43" s="3390"/>
      <c r="S43" s="3391"/>
      <c r="Z43" s="2246">
        <v>43</v>
      </c>
    </row>
    <row r="44" spans="3:26" s="315" customFormat="1" ht="11.25" customHeight="1">
      <c r="D44" s="344"/>
      <c r="E44" s="320" t="s">
        <v>3464</v>
      </c>
      <c r="H44" s="3392"/>
      <c r="I44" s="3399"/>
      <c r="J44" s="338"/>
      <c r="K44" s="346" t="s">
        <v>1843</v>
      </c>
      <c r="L44" s="3400"/>
      <c r="M44" s="3395"/>
      <c r="N44" s="3301"/>
      <c r="O44" s="3301"/>
      <c r="P44" s="3301"/>
      <c r="Q44" s="3395"/>
      <c r="R44" s="3395"/>
      <c r="S44" s="3396"/>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0"/>
      <c r="I47" s="3397"/>
      <c r="J47" s="3397"/>
      <c r="K47" s="3397"/>
      <c r="L47" s="3397"/>
      <c r="M47" s="3397"/>
      <c r="N47" s="3398"/>
      <c r="O47" s="343" t="s">
        <v>1848</v>
      </c>
      <c r="P47" s="343"/>
      <c r="Q47" s="3340"/>
      <c r="R47" s="3397"/>
      <c r="S47" s="3398"/>
      <c r="Z47" s="2246">
        <v>47</v>
      </c>
    </row>
    <row r="48" spans="3:26" s="315" customFormat="1" ht="11.25" customHeight="1">
      <c r="D48" s="344"/>
      <c r="E48" s="320" t="s">
        <v>958</v>
      </c>
      <c r="F48" s="328"/>
      <c r="H48" s="3401"/>
      <c r="I48" s="3402"/>
      <c r="J48" s="3402"/>
      <c r="K48" s="3403"/>
      <c r="L48" s="3402"/>
      <c r="M48" s="3402"/>
      <c r="N48" s="3404"/>
      <c r="O48" s="343" t="s">
        <v>1625</v>
      </c>
      <c r="P48" s="345"/>
      <c r="Q48" s="3350"/>
      <c r="R48" s="3405"/>
      <c r="S48" s="3406"/>
      <c r="Z48" s="2246">
        <v>48</v>
      </c>
    </row>
    <row r="49" spans="1:26" s="315" customFormat="1" ht="11.25" customHeight="1">
      <c r="D49" s="344"/>
      <c r="E49" s="320" t="s">
        <v>575</v>
      </c>
      <c r="H49" s="3401"/>
      <c r="I49" s="3403"/>
      <c r="J49" s="3407"/>
      <c r="K49" s="519" t="s">
        <v>2459</v>
      </c>
      <c r="L49" s="3401"/>
      <c r="M49" s="3402"/>
      <c r="N49" s="3407"/>
      <c r="O49" s="343" t="s">
        <v>1601</v>
      </c>
      <c r="P49" s="345"/>
      <c r="Q49" s="3389"/>
      <c r="R49" s="3390"/>
      <c r="S49" s="3391"/>
      <c r="Z49" s="2246">
        <v>49</v>
      </c>
    </row>
    <row r="50" spans="1:26" s="315" customFormat="1" ht="11.25" customHeight="1">
      <c r="E50" s="320" t="s">
        <v>1672</v>
      </c>
      <c r="H50" s="1270"/>
      <c r="I50" s="345"/>
      <c r="J50" s="345"/>
      <c r="K50" s="861" t="s">
        <v>2062</v>
      </c>
      <c r="L50" s="3328"/>
      <c r="M50" s="3408"/>
      <c r="N50" s="345"/>
      <c r="O50" s="343" t="s">
        <v>1838</v>
      </c>
      <c r="P50" s="345"/>
      <c r="Q50" s="3389"/>
      <c r="R50" s="3390"/>
      <c r="S50" s="3391"/>
      <c r="Z50" s="2246">
        <v>50</v>
      </c>
    </row>
    <row r="51" spans="1:26" s="315" customFormat="1" ht="11.25" customHeight="1">
      <c r="D51" s="344"/>
      <c r="E51" s="320" t="s">
        <v>3464</v>
      </c>
      <c r="H51" s="3392"/>
      <c r="I51" s="3399"/>
      <c r="J51" s="338"/>
      <c r="K51" s="346" t="s">
        <v>1843</v>
      </c>
      <c r="L51" s="3400"/>
      <c r="M51" s="3395"/>
      <c r="N51" s="3301"/>
      <c r="O51" s="3301"/>
      <c r="P51" s="3301"/>
      <c r="Q51" s="3395"/>
      <c r="R51" s="3395"/>
      <c r="S51" s="3396"/>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0"/>
      <c r="I55" s="3397"/>
      <c r="J55" s="3397"/>
      <c r="K55" s="3397"/>
      <c r="L55" s="3397"/>
      <c r="M55" s="3397"/>
      <c r="N55" s="3398"/>
      <c r="O55" s="343" t="s">
        <v>1848</v>
      </c>
      <c r="P55" s="343"/>
      <c r="Q55" s="3340"/>
      <c r="R55" s="3397"/>
      <c r="S55" s="3398"/>
      <c r="Z55" s="2246">
        <v>55</v>
      </c>
    </row>
    <row r="56" spans="1:26" s="315" customFormat="1" ht="11.25" customHeight="1">
      <c r="D56" s="344"/>
      <c r="E56" s="320" t="s">
        <v>958</v>
      </c>
      <c r="F56" s="328"/>
      <c r="H56" s="3401"/>
      <c r="I56" s="3402"/>
      <c r="J56" s="3402"/>
      <c r="K56" s="3403"/>
      <c r="L56" s="3402"/>
      <c r="M56" s="3402"/>
      <c r="N56" s="3404"/>
      <c r="O56" s="343" t="s">
        <v>1625</v>
      </c>
      <c r="P56" s="345"/>
      <c r="Q56" s="3350"/>
      <c r="R56" s="3405"/>
      <c r="S56" s="3406"/>
      <c r="Z56" s="2246">
        <v>56</v>
      </c>
    </row>
    <row r="57" spans="1:26" s="315" customFormat="1" ht="11.25" customHeight="1">
      <c r="D57" s="344"/>
      <c r="E57" s="320" t="s">
        <v>575</v>
      </c>
      <c r="H57" s="3401"/>
      <c r="I57" s="3403"/>
      <c r="J57" s="3407"/>
      <c r="K57" s="519" t="s">
        <v>2459</v>
      </c>
      <c r="L57" s="3401"/>
      <c r="M57" s="3402"/>
      <c r="N57" s="3407"/>
      <c r="O57" s="343" t="s">
        <v>1601</v>
      </c>
      <c r="P57" s="345"/>
      <c r="Q57" s="3389"/>
      <c r="R57" s="3390"/>
      <c r="S57" s="3391"/>
      <c r="Z57" s="2246">
        <v>57</v>
      </c>
    </row>
    <row r="58" spans="1:26" s="315" customFormat="1" ht="11.25" customHeight="1">
      <c r="E58" s="320" t="s">
        <v>1672</v>
      </c>
      <c r="H58" s="1270"/>
      <c r="I58" s="345"/>
      <c r="J58" s="345"/>
      <c r="K58" s="861" t="s">
        <v>2062</v>
      </c>
      <c r="L58" s="3328"/>
      <c r="M58" s="3408"/>
      <c r="N58" s="345"/>
      <c r="O58" s="343" t="s">
        <v>1838</v>
      </c>
      <c r="P58" s="345"/>
      <c r="Q58" s="3389"/>
      <c r="R58" s="3390"/>
      <c r="S58" s="3391"/>
      <c r="Z58" s="2246">
        <v>58</v>
      </c>
    </row>
    <row r="59" spans="1:26" s="315" customFormat="1" ht="11.25" customHeight="1">
      <c r="D59" s="344"/>
      <c r="E59" s="320" t="s">
        <v>3464</v>
      </c>
      <c r="H59" s="3392"/>
      <c r="I59" s="3399"/>
      <c r="J59" s="338"/>
      <c r="K59" s="346" t="s">
        <v>1843</v>
      </c>
      <c r="L59" s="3400"/>
      <c r="M59" s="3395"/>
      <c r="N59" s="3301"/>
      <c r="O59" s="3301"/>
      <c r="P59" s="3301"/>
      <c r="Q59" s="3395"/>
      <c r="R59" s="3395"/>
      <c r="S59" s="3396"/>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0"/>
      <c r="I61" s="3397"/>
      <c r="J61" s="3397"/>
      <c r="K61" s="3397"/>
      <c r="L61" s="3397"/>
      <c r="M61" s="3397"/>
      <c r="N61" s="3398"/>
      <c r="O61" s="343" t="s">
        <v>1848</v>
      </c>
      <c r="P61" s="343"/>
      <c r="Q61" s="3340"/>
      <c r="R61" s="3397"/>
      <c r="S61" s="3398"/>
      <c r="Z61" s="2246">
        <v>61</v>
      </c>
    </row>
    <row r="62" spans="1:26" s="315" customFormat="1" ht="11.25" customHeight="1">
      <c r="D62" s="344"/>
      <c r="E62" s="320" t="s">
        <v>958</v>
      </c>
      <c r="F62" s="328"/>
      <c r="H62" s="3401"/>
      <c r="I62" s="3402"/>
      <c r="J62" s="3402"/>
      <c r="K62" s="3403"/>
      <c r="L62" s="3402"/>
      <c r="M62" s="3402"/>
      <c r="N62" s="3404"/>
      <c r="O62" s="343" t="s">
        <v>1625</v>
      </c>
      <c r="P62" s="345"/>
      <c r="Q62" s="3350"/>
      <c r="R62" s="3405"/>
      <c r="S62" s="3406"/>
      <c r="Z62" s="2245">
        <v>62</v>
      </c>
    </row>
    <row r="63" spans="1:26" s="315" customFormat="1" ht="11.25" customHeight="1">
      <c r="D63" s="344"/>
      <c r="E63" s="320" t="s">
        <v>575</v>
      </c>
      <c r="H63" s="3401"/>
      <c r="I63" s="3403"/>
      <c r="J63" s="3407"/>
      <c r="K63" s="519" t="s">
        <v>2459</v>
      </c>
      <c r="L63" s="3401"/>
      <c r="M63" s="3402"/>
      <c r="N63" s="3407"/>
      <c r="O63" s="343" t="s">
        <v>1601</v>
      </c>
      <c r="P63" s="345"/>
      <c r="Q63" s="3389"/>
      <c r="R63" s="3390"/>
      <c r="S63" s="3391"/>
      <c r="Z63" s="2246">
        <v>63</v>
      </c>
    </row>
    <row r="64" spans="1:26" s="315" customFormat="1" ht="11.25" customHeight="1">
      <c r="E64" s="320" t="s">
        <v>1672</v>
      </c>
      <c r="H64" s="1270"/>
      <c r="I64" s="345"/>
      <c r="J64" s="345"/>
      <c r="K64" s="861" t="s">
        <v>2062</v>
      </c>
      <c r="L64" s="3328"/>
      <c r="M64" s="3408"/>
      <c r="N64" s="345"/>
      <c r="O64" s="343" t="s">
        <v>1838</v>
      </c>
      <c r="P64" s="345"/>
      <c r="Q64" s="3389"/>
      <c r="R64" s="3390"/>
      <c r="S64" s="3391"/>
      <c r="Z64" s="2246">
        <v>64</v>
      </c>
    </row>
    <row r="65" spans="1:26" s="315" customFormat="1" ht="11.25" customHeight="1">
      <c r="D65" s="344"/>
      <c r="E65" s="320" t="s">
        <v>3464</v>
      </c>
      <c r="H65" s="3392"/>
      <c r="I65" s="3399"/>
      <c r="J65" s="338"/>
      <c r="K65" s="346" t="s">
        <v>1843</v>
      </c>
      <c r="L65" s="3400"/>
      <c r="M65" s="3395"/>
      <c r="N65" s="3301"/>
      <c r="O65" s="3301"/>
      <c r="P65" s="3301"/>
      <c r="Q65" s="3395"/>
      <c r="R65" s="3395"/>
      <c r="S65" s="3396"/>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0"/>
      <c r="I67" s="3397"/>
      <c r="J67" s="3397"/>
      <c r="K67" s="3397"/>
      <c r="L67" s="3397"/>
      <c r="M67" s="3397"/>
      <c r="N67" s="3398"/>
      <c r="O67" s="343" t="s">
        <v>1848</v>
      </c>
      <c r="P67" s="343"/>
      <c r="Q67" s="3340"/>
      <c r="R67" s="3397"/>
      <c r="S67" s="3398"/>
      <c r="Z67" s="2246">
        <v>67</v>
      </c>
    </row>
    <row r="68" spans="1:26" s="315" customFormat="1" ht="11.25" customHeight="1">
      <c r="D68" s="344"/>
      <c r="E68" s="320" t="s">
        <v>958</v>
      </c>
      <c r="F68" s="328"/>
      <c r="H68" s="3401"/>
      <c r="I68" s="3402"/>
      <c r="J68" s="3402"/>
      <c r="K68" s="3403"/>
      <c r="L68" s="3402"/>
      <c r="M68" s="3402"/>
      <c r="N68" s="3404"/>
      <c r="O68" s="343" t="s">
        <v>1625</v>
      </c>
      <c r="P68" s="345"/>
      <c r="Q68" s="3350"/>
      <c r="R68" s="3405"/>
      <c r="S68" s="3406"/>
      <c r="Z68" s="2246">
        <v>68</v>
      </c>
    </row>
    <row r="69" spans="1:26" s="315" customFormat="1" ht="11.25" customHeight="1">
      <c r="D69" s="344"/>
      <c r="E69" s="320" t="s">
        <v>575</v>
      </c>
      <c r="H69" s="3401"/>
      <c r="I69" s="3403"/>
      <c r="J69" s="3407"/>
      <c r="K69" s="519" t="s">
        <v>2459</v>
      </c>
      <c r="L69" s="3401"/>
      <c r="M69" s="3402"/>
      <c r="N69" s="3407"/>
      <c r="O69" s="343" t="s">
        <v>1601</v>
      </c>
      <c r="P69" s="345"/>
      <c r="Q69" s="3389"/>
      <c r="R69" s="3390"/>
      <c r="S69" s="3391"/>
      <c r="Z69" s="2245">
        <v>69</v>
      </c>
    </row>
    <row r="70" spans="1:26" s="315" customFormat="1" ht="11.25" customHeight="1">
      <c r="E70" s="320" t="s">
        <v>1672</v>
      </c>
      <c r="H70" s="1270"/>
      <c r="I70" s="345"/>
      <c r="J70" s="345"/>
      <c r="K70" s="861" t="s">
        <v>2062</v>
      </c>
      <c r="L70" s="3328"/>
      <c r="M70" s="3408"/>
      <c r="N70" s="345"/>
      <c r="O70" s="343" t="s">
        <v>1838</v>
      </c>
      <c r="P70" s="345"/>
      <c r="Q70" s="3389"/>
      <c r="R70" s="3390"/>
      <c r="S70" s="3391"/>
      <c r="Z70" s="2246">
        <v>70</v>
      </c>
    </row>
    <row r="71" spans="1:26" s="315" customFormat="1" ht="11.25" customHeight="1">
      <c r="D71" s="344"/>
      <c r="E71" s="320" t="s">
        <v>3464</v>
      </c>
      <c r="H71" s="3392"/>
      <c r="I71" s="3399"/>
      <c r="J71" s="338"/>
      <c r="K71" s="346" t="s">
        <v>1843</v>
      </c>
      <c r="L71" s="3400"/>
      <c r="M71" s="3395"/>
      <c r="N71" s="3301"/>
      <c r="O71" s="3301"/>
      <c r="P71" s="3301"/>
      <c r="Q71" s="3395"/>
      <c r="R71" s="3395"/>
      <c r="S71" s="3396"/>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0"/>
      <c r="I73" s="3397"/>
      <c r="J73" s="3397"/>
      <c r="K73" s="3397"/>
      <c r="L73" s="3397"/>
      <c r="M73" s="3397"/>
      <c r="N73" s="3398"/>
      <c r="O73" s="343" t="s">
        <v>1848</v>
      </c>
      <c r="P73" s="343"/>
      <c r="Q73" s="3340"/>
      <c r="R73" s="3397"/>
      <c r="S73" s="3398"/>
      <c r="Z73" s="2246">
        <v>73</v>
      </c>
    </row>
    <row r="74" spans="1:26" s="315" customFormat="1" ht="11.25" customHeight="1">
      <c r="D74" s="344"/>
      <c r="E74" s="320" t="s">
        <v>958</v>
      </c>
      <c r="F74" s="328"/>
      <c r="H74" s="3401"/>
      <c r="I74" s="3402"/>
      <c r="J74" s="3402"/>
      <c r="K74" s="3403"/>
      <c r="L74" s="3402"/>
      <c r="M74" s="3402"/>
      <c r="N74" s="3404"/>
      <c r="O74" s="343" t="s">
        <v>1625</v>
      </c>
      <c r="P74" s="345"/>
      <c r="Q74" s="3350"/>
      <c r="R74" s="3405"/>
      <c r="S74" s="3406"/>
      <c r="Z74" s="2246">
        <v>74</v>
      </c>
    </row>
    <row r="75" spans="1:26" s="315" customFormat="1" ht="11.25" customHeight="1">
      <c r="D75" s="344"/>
      <c r="E75" s="320" t="s">
        <v>575</v>
      </c>
      <c r="H75" s="3401"/>
      <c r="I75" s="3403"/>
      <c r="J75" s="3407"/>
      <c r="K75" s="519" t="s">
        <v>2459</v>
      </c>
      <c r="L75" s="3401"/>
      <c r="M75" s="3402"/>
      <c r="N75" s="3407"/>
      <c r="O75" s="343" t="s">
        <v>1601</v>
      </c>
      <c r="P75" s="345"/>
      <c r="Q75" s="3389"/>
      <c r="R75" s="3390"/>
      <c r="S75" s="3391"/>
      <c r="Z75" s="2246">
        <v>75</v>
      </c>
    </row>
    <row r="76" spans="1:26" s="315" customFormat="1" ht="11.25" customHeight="1">
      <c r="E76" s="320" t="s">
        <v>1672</v>
      </c>
      <c r="H76" s="1270"/>
      <c r="I76" s="345"/>
      <c r="J76" s="345"/>
      <c r="K76" s="861" t="s">
        <v>2062</v>
      </c>
      <c r="L76" s="3328"/>
      <c r="M76" s="3408"/>
      <c r="N76" s="345"/>
      <c r="O76" s="343" t="s">
        <v>1838</v>
      </c>
      <c r="P76" s="345"/>
      <c r="Q76" s="3389"/>
      <c r="R76" s="3390"/>
      <c r="S76" s="3391"/>
      <c r="Z76" s="2246">
        <v>76</v>
      </c>
    </row>
    <row r="77" spans="1:26" s="315" customFormat="1" ht="11.25" customHeight="1">
      <c r="D77" s="344"/>
      <c r="E77" s="320" t="s">
        <v>3464</v>
      </c>
      <c r="H77" s="3392"/>
      <c r="I77" s="3399"/>
      <c r="J77" s="338"/>
      <c r="K77" s="346" t="s">
        <v>1843</v>
      </c>
      <c r="L77" s="3400"/>
      <c r="M77" s="3395"/>
      <c r="N77" s="3301"/>
      <c r="O77" s="3301"/>
      <c r="P77" s="3301"/>
      <c r="Q77" s="3395"/>
      <c r="R77" s="3395"/>
      <c r="S77" s="3396"/>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0"/>
      <c r="I81" s="3397"/>
      <c r="J81" s="3397"/>
      <c r="K81" s="3397"/>
      <c r="L81" s="3397"/>
      <c r="M81" s="3397"/>
      <c r="N81" s="3398"/>
      <c r="O81" s="343" t="s">
        <v>1848</v>
      </c>
      <c r="P81" s="343"/>
      <c r="Q81" s="3340"/>
      <c r="R81" s="3397"/>
      <c r="S81" s="3398"/>
      <c r="Z81" s="2246">
        <v>81</v>
      </c>
    </row>
    <row r="82" spans="2:26" s="315" customFormat="1" ht="11.25" customHeight="1">
      <c r="D82" s="344"/>
      <c r="E82" s="320" t="s">
        <v>958</v>
      </c>
      <c r="F82" s="328"/>
      <c r="H82" s="3401"/>
      <c r="I82" s="3402"/>
      <c r="J82" s="3402"/>
      <c r="K82" s="3403"/>
      <c r="L82" s="3402"/>
      <c r="M82" s="3402"/>
      <c r="N82" s="3404"/>
      <c r="O82" s="343" t="s">
        <v>1625</v>
      </c>
      <c r="P82" s="345"/>
      <c r="Q82" s="3350"/>
      <c r="R82" s="3405"/>
      <c r="S82" s="3406"/>
      <c r="Z82" s="2246">
        <v>82</v>
      </c>
    </row>
    <row r="83" spans="2:26" s="315" customFormat="1" ht="11.25" customHeight="1">
      <c r="D83" s="344"/>
      <c r="E83" s="320" t="s">
        <v>575</v>
      </c>
      <c r="H83" s="3401"/>
      <c r="I83" s="3403"/>
      <c r="J83" s="3407"/>
      <c r="K83" s="519" t="s">
        <v>2459</v>
      </c>
      <c r="L83" s="3401"/>
      <c r="M83" s="3402"/>
      <c r="N83" s="3407"/>
      <c r="O83" s="343" t="s">
        <v>1601</v>
      </c>
      <c r="P83" s="345"/>
      <c r="Q83" s="3389"/>
      <c r="R83" s="3390"/>
      <c r="S83" s="3391"/>
      <c r="Z83" s="2246">
        <v>83</v>
      </c>
    </row>
    <row r="84" spans="2:26" s="315" customFormat="1" ht="11.25" customHeight="1">
      <c r="E84" s="320" t="s">
        <v>1672</v>
      </c>
      <c r="H84" s="1270"/>
      <c r="I84" s="345"/>
      <c r="J84" s="345"/>
      <c r="K84" s="861" t="s">
        <v>2062</v>
      </c>
      <c r="L84" s="3328"/>
      <c r="M84" s="3408"/>
      <c r="N84" s="345"/>
      <c r="O84" s="343" t="s">
        <v>1838</v>
      </c>
      <c r="P84" s="345"/>
      <c r="Q84" s="3389"/>
      <c r="R84" s="3390"/>
      <c r="S84" s="3391"/>
      <c r="Z84" s="2246">
        <v>84</v>
      </c>
    </row>
    <row r="85" spans="2:26" s="315" customFormat="1" ht="11.25" customHeight="1">
      <c r="D85" s="344"/>
      <c r="E85" s="320" t="s">
        <v>3464</v>
      </c>
      <c r="H85" s="3392"/>
      <c r="I85" s="3399"/>
      <c r="J85" s="338"/>
      <c r="K85" s="346" t="s">
        <v>1843</v>
      </c>
      <c r="L85" s="3400"/>
      <c r="M85" s="3395"/>
      <c r="N85" s="3301"/>
      <c r="O85" s="3301"/>
      <c r="P85" s="3301"/>
      <c r="Q85" s="3395"/>
      <c r="R85" s="3395"/>
      <c r="S85" s="3396"/>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0"/>
      <c r="I87" s="3397"/>
      <c r="J87" s="3397"/>
      <c r="K87" s="3397"/>
      <c r="L87" s="3397"/>
      <c r="M87" s="3397"/>
      <c r="N87" s="3398"/>
      <c r="O87" s="343" t="s">
        <v>1848</v>
      </c>
      <c r="P87" s="343"/>
      <c r="Q87" s="3340"/>
      <c r="R87" s="3397"/>
      <c r="S87" s="3398"/>
      <c r="Z87" s="2245">
        <v>87</v>
      </c>
    </row>
    <row r="88" spans="2:26" s="315" customFormat="1" ht="11.25" customHeight="1">
      <c r="D88" s="344"/>
      <c r="E88" s="320" t="s">
        <v>958</v>
      </c>
      <c r="F88" s="328"/>
      <c r="H88" s="3401"/>
      <c r="I88" s="3402"/>
      <c r="J88" s="3402"/>
      <c r="K88" s="3403"/>
      <c r="L88" s="3402"/>
      <c r="M88" s="3402"/>
      <c r="N88" s="3404"/>
      <c r="O88" s="343" t="s">
        <v>1625</v>
      </c>
      <c r="P88" s="345"/>
      <c r="Q88" s="3350"/>
      <c r="R88" s="3405"/>
      <c r="S88" s="3406"/>
      <c r="Z88" s="2246">
        <v>88</v>
      </c>
    </row>
    <row r="89" spans="2:26" s="315" customFormat="1" ht="11.25" customHeight="1">
      <c r="D89" s="344"/>
      <c r="E89" s="320" t="s">
        <v>575</v>
      </c>
      <c r="H89" s="3401"/>
      <c r="I89" s="3403"/>
      <c r="J89" s="3407"/>
      <c r="K89" s="519" t="s">
        <v>2459</v>
      </c>
      <c r="L89" s="3401"/>
      <c r="M89" s="3402"/>
      <c r="N89" s="3407"/>
      <c r="O89" s="343" t="s">
        <v>1601</v>
      </c>
      <c r="P89" s="345"/>
      <c r="Q89" s="3389"/>
      <c r="R89" s="3390"/>
      <c r="S89" s="3391"/>
      <c r="Z89" s="2246">
        <v>89</v>
      </c>
    </row>
    <row r="90" spans="2:26" s="315" customFormat="1" ht="11.25" customHeight="1">
      <c r="E90" s="320" t="s">
        <v>1672</v>
      </c>
      <c r="H90" s="1270"/>
      <c r="I90" s="345"/>
      <c r="J90" s="345"/>
      <c r="K90" s="861" t="s">
        <v>2062</v>
      </c>
      <c r="L90" s="3328"/>
      <c r="M90" s="3408"/>
      <c r="N90" s="345"/>
      <c r="O90" s="343" t="s">
        <v>1838</v>
      </c>
      <c r="P90" s="345"/>
      <c r="Q90" s="3389"/>
      <c r="R90" s="3390"/>
      <c r="S90" s="3391"/>
      <c r="Z90" s="2246">
        <v>90</v>
      </c>
    </row>
    <row r="91" spans="2:26" s="315" customFormat="1" ht="11.25" customHeight="1">
      <c r="D91" s="344"/>
      <c r="E91" s="320" t="s">
        <v>3464</v>
      </c>
      <c r="H91" s="3392"/>
      <c r="I91" s="3399"/>
      <c r="J91" s="338"/>
      <c r="K91" s="346" t="s">
        <v>1843</v>
      </c>
      <c r="L91" s="3400"/>
      <c r="M91" s="3395"/>
      <c r="N91" s="3301"/>
      <c r="O91" s="3301"/>
      <c r="P91" s="3301"/>
      <c r="Q91" s="3395"/>
      <c r="R91" s="3395"/>
      <c r="S91" s="3396"/>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0"/>
      <c r="I93" s="3397"/>
      <c r="J93" s="3397"/>
      <c r="K93" s="3397"/>
      <c r="L93" s="3397"/>
      <c r="M93" s="3397"/>
      <c r="N93" s="3398"/>
      <c r="O93" s="343" t="s">
        <v>1848</v>
      </c>
      <c r="P93" s="343"/>
      <c r="Q93" s="3340"/>
      <c r="R93" s="3397"/>
      <c r="S93" s="3398"/>
      <c r="Z93" s="2245">
        <v>93</v>
      </c>
    </row>
    <row r="94" spans="2:26" s="315" customFormat="1" ht="11.25" customHeight="1">
      <c r="D94" s="344"/>
      <c r="E94" s="320" t="s">
        <v>958</v>
      </c>
      <c r="F94" s="328"/>
      <c r="H94" s="3401"/>
      <c r="I94" s="3402"/>
      <c r="J94" s="3402"/>
      <c r="K94" s="3403"/>
      <c r="L94" s="3402"/>
      <c r="M94" s="3402"/>
      <c r="N94" s="3404"/>
      <c r="O94" s="343" t="s">
        <v>1625</v>
      </c>
      <c r="P94" s="345"/>
      <c r="Q94" s="3350"/>
      <c r="R94" s="3405"/>
      <c r="S94" s="3406"/>
      <c r="Z94" s="2246">
        <v>94</v>
      </c>
    </row>
    <row r="95" spans="2:26" s="315" customFormat="1" ht="11.25" customHeight="1">
      <c r="D95" s="344"/>
      <c r="E95" s="320" t="s">
        <v>575</v>
      </c>
      <c r="H95" s="3401"/>
      <c r="I95" s="3403"/>
      <c r="J95" s="3407"/>
      <c r="K95" s="519" t="s">
        <v>2459</v>
      </c>
      <c r="L95" s="3401"/>
      <c r="M95" s="3402"/>
      <c r="N95" s="3407"/>
      <c r="O95" s="343" t="s">
        <v>1601</v>
      </c>
      <c r="P95" s="345"/>
      <c r="Q95" s="3389"/>
      <c r="R95" s="3390"/>
      <c r="S95" s="3391"/>
      <c r="Z95" s="2246">
        <v>95</v>
      </c>
    </row>
    <row r="96" spans="2:26" s="315" customFormat="1" ht="11.25" customHeight="1">
      <c r="D96" s="344"/>
      <c r="E96" s="320" t="s">
        <v>1672</v>
      </c>
      <c r="H96" s="1270"/>
      <c r="I96" s="345"/>
      <c r="J96" s="345"/>
      <c r="K96" s="861" t="s">
        <v>2062</v>
      </c>
      <c r="L96" s="3328"/>
      <c r="M96" s="3408"/>
      <c r="N96" s="345"/>
      <c r="O96" s="343" t="s">
        <v>1838</v>
      </c>
      <c r="P96" s="345"/>
      <c r="Q96" s="3389"/>
      <c r="R96" s="3390"/>
      <c r="S96" s="3391"/>
      <c r="Z96" s="2246">
        <v>96</v>
      </c>
    </row>
    <row r="97" spans="2:26" s="315" customFormat="1" ht="11.25" customHeight="1">
      <c r="D97" s="344"/>
      <c r="E97" s="320" t="s">
        <v>3464</v>
      </c>
      <c r="H97" s="3392"/>
      <c r="I97" s="3399"/>
      <c r="J97" s="338"/>
      <c r="K97" s="346" t="s">
        <v>1843</v>
      </c>
      <c r="L97" s="3400"/>
      <c r="M97" s="3395"/>
      <c r="N97" s="3301"/>
      <c r="O97" s="3301"/>
      <c r="P97" s="3301"/>
      <c r="Q97" s="3395"/>
      <c r="R97" s="3395"/>
      <c r="S97" s="3396"/>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0"/>
      <c r="I99" s="3397"/>
      <c r="J99" s="3397"/>
      <c r="K99" s="3397"/>
      <c r="L99" s="3397"/>
      <c r="M99" s="3397"/>
      <c r="N99" s="3398"/>
      <c r="O99" s="343" t="s">
        <v>1848</v>
      </c>
      <c r="P99" s="343"/>
      <c r="Q99" s="3340"/>
      <c r="R99" s="3397"/>
      <c r="S99" s="3398"/>
      <c r="Z99" s="2246">
        <v>99</v>
      </c>
    </row>
    <row r="100" spans="2:26" s="315" customFormat="1" ht="11.25" customHeight="1">
      <c r="D100" s="344"/>
      <c r="E100" s="320" t="s">
        <v>958</v>
      </c>
      <c r="F100" s="328"/>
      <c r="H100" s="3401"/>
      <c r="I100" s="3402"/>
      <c r="J100" s="3402"/>
      <c r="K100" s="3403"/>
      <c r="L100" s="3402"/>
      <c r="M100" s="3402"/>
      <c r="N100" s="3404"/>
      <c r="O100" s="343" t="s">
        <v>1625</v>
      </c>
      <c r="P100" s="345"/>
      <c r="Q100" s="3350"/>
      <c r="R100" s="3405"/>
      <c r="S100" s="3406"/>
      <c r="Z100" s="2246">
        <v>100</v>
      </c>
    </row>
    <row r="101" spans="2:26" s="315" customFormat="1" ht="11.25" customHeight="1">
      <c r="D101" s="344"/>
      <c r="E101" s="320" t="s">
        <v>575</v>
      </c>
      <c r="H101" s="3401"/>
      <c r="I101" s="3403"/>
      <c r="J101" s="3407"/>
      <c r="K101" s="519" t="s">
        <v>2459</v>
      </c>
      <c r="L101" s="3401"/>
      <c r="M101" s="3402"/>
      <c r="N101" s="3407"/>
      <c r="O101" s="343" t="s">
        <v>1601</v>
      </c>
      <c r="P101" s="345"/>
      <c r="Q101" s="3389"/>
      <c r="R101" s="3390"/>
      <c r="S101" s="3391"/>
      <c r="Z101" s="2246">
        <v>101</v>
      </c>
    </row>
    <row r="102" spans="2:26" s="315" customFormat="1" ht="11.25" customHeight="1">
      <c r="D102" s="344"/>
      <c r="E102" s="320" t="s">
        <v>1672</v>
      </c>
      <c r="H102" s="1270"/>
      <c r="I102" s="345"/>
      <c r="J102" s="345"/>
      <c r="K102" s="861" t="s">
        <v>2062</v>
      </c>
      <c r="L102" s="3328"/>
      <c r="M102" s="3408"/>
      <c r="N102" s="345"/>
      <c r="O102" s="343" t="s">
        <v>1838</v>
      </c>
      <c r="P102" s="345"/>
      <c r="Q102" s="3389"/>
      <c r="R102" s="3390"/>
      <c r="S102" s="3391"/>
      <c r="Z102" s="2245">
        <v>102</v>
      </c>
    </row>
    <row r="103" spans="2:26" ht="11.25" customHeight="1">
      <c r="E103" s="320" t="s">
        <v>3464</v>
      </c>
      <c r="F103" s="315"/>
      <c r="G103" s="315"/>
      <c r="H103" s="3392"/>
      <c r="I103" s="3399"/>
      <c r="J103" s="338"/>
      <c r="K103" s="346" t="s">
        <v>1843</v>
      </c>
      <c r="L103" s="3400"/>
      <c r="M103" s="3395"/>
      <c r="N103" s="3301"/>
      <c r="O103" s="3301"/>
      <c r="P103" s="3301"/>
      <c r="Q103" s="3395"/>
      <c r="R103" s="3395"/>
      <c r="S103" s="3396"/>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0"/>
      <c r="I105" s="3397"/>
      <c r="J105" s="3397"/>
      <c r="K105" s="3397"/>
      <c r="L105" s="3397"/>
      <c r="M105" s="3397"/>
      <c r="N105" s="3398"/>
      <c r="O105" s="343" t="s">
        <v>1848</v>
      </c>
      <c r="P105" s="343"/>
      <c r="Q105" s="3340"/>
      <c r="R105" s="3397"/>
      <c r="S105" s="3398"/>
      <c r="Z105" s="2246">
        <v>105</v>
      </c>
    </row>
    <row r="106" spans="2:26" s="315" customFormat="1" ht="11.25" customHeight="1">
      <c r="D106" s="344"/>
      <c r="E106" s="320" t="s">
        <v>958</v>
      </c>
      <c r="F106" s="328"/>
      <c r="H106" s="3401"/>
      <c r="I106" s="3402"/>
      <c r="J106" s="3402"/>
      <c r="K106" s="3403"/>
      <c r="L106" s="3402"/>
      <c r="M106" s="3402"/>
      <c r="N106" s="3404"/>
      <c r="O106" s="343" t="s">
        <v>1625</v>
      </c>
      <c r="P106" s="345"/>
      <c r="Q106" s="3350"/>
      <c r="R106" s="3405"/>
      <c r="S106" s="3406"/>
      <c r="Z106" s="2246">
        <v>106</v>
      </c>
    </row>
    <row r="107" spans="2:26" s="315" customFormat="1" ht="11.25" customHeight="1">
      <c r="D107" s="344"/>
      <c r="E107" s="320" t="s">
        <v>575</v>
      </c>
      <c r="H107" s="3401"/>
      <c r="I107" s="3403"/>
      <c r="J107" s="3407"/>
      <c r="K107" s="519" t="s">
        <v>2459</v>
      </c>
      <c r="L107" s="3401"/>
      <c r="M107" s="3402"/>
      <c r="N107" s="3407"/>
      <c r="O107" s="343" t="s">
        <v>1601</v>
      </c>
      <c r="P107" s="345"/>
      <c r="Q107" s="3389"/>
      <c r="R107" s="3390"/>
      <c r="S107" s="3391"/>
      <c r="Z107" s="2246">
        <v>107</v>
      </c>
    </row>
    <row r="108" spans="2:26" s="315" customFormat="1" ht="11.25" customHeight="1">
      <c r="D108" s="344"/>
      <c r="E108" s="320" t="s">
        <v>1672</v>
      </c>
      <c r="H108" s="1270"/>
      <c r="I108" s="345"/>
      <c r="J108" s="345"/>
      <c r="K108" s="861" t="s">
        <v>2062</v>
      </c>
      <c r="L108" s="3328"/>
      <c r="M108" s="3408"/>
      <c r="N108" s="345"/>
      <c r="O108" s="343" t="s">
        <v>1838</v>
      </c>
      <c r="P108" s="345"/>
      <c r="Q108" s="3389"/>
      <c r="R108" s="3390"/>
      <c r="S108" s="3391"/>
      <c r="Z108" s="2246">
        <v>108</v>
      </c>
    </row>
    <row r="109" spans="2:26" ht="11.25" customHeight="1">
      <c r="E109" s="320" t="s">
        <v>3464</v>
      </c>
      <c r="F109" s="315"/>
      <c r="G109" s="315"/>
      <c r="H109" s="3392"/>
      <c r="I109" s="3399"/>
      <c r="J109" s="338"/>
      <c r="K109" s="346" t="s">
        <v>1843</v>
      </c>
      <c r="L109" s="3400"/>
      <c r="M109" s="3395"/>
      <c r="N109" s="3301"/>
      <c r="O109" s="3301"/>
      <c r="P109" s="3301"/>
      <c r="Q109" s="3395"/>
      <c r="R109" s="3395"/>
      <c r="S109" s="3396"/>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0"/>
      <c r="I111" s="3397"/>
      <c r="J111" s="3397"/>
      <c r="K111" s="3397"/>
      <c r="L111" s="3397"/>
      <c r="M111" s="3397"/>
      <c r="N111" s="3398"/>
      <c r="O111" s="343" t="s">
        <v>1848</v>
      </c>
      <c r="P111" s="343"/>
      <c r="Q111" s="3340"/>
      <c r="R111" s="3397"/>
      <c r="S111" s="3398"/>
      <c r="Z111" s="2245">
        <v>111</v>
      </c>
    </row>
    <row r="112" spans="2:26" s="315" customFormat="1" ht="11.25" customHeight="1">
      <c r="D112" s="344"/>
      <c r="E112" s="320" t="s">
        <v>958</v>
      </c>
      <c r="F112" s="328"/>
      <c r="H112" s="3401"/>
      <c r="I112" s="3402"/>
      <c r="J112" s="3402"/>
      <c r="K112" s="3403"/>
      <c r="L112" s="3402"/>
      <c r="M112" s="3402"/>
      <c r="N112" s="3404"/>
      <c r="O112" s="343" t="s">
        <v>1625</v>
      </c>
      <c r="P112" s="345"/>
      <c r="Q112" s="3350"/>
      <c r="R112" s="3405"/>
      <c r="S112" s="3406"/>
      <c r="Z112" s="2246">
        <v>112</v>
      </c>
    </row>
    <row r="113" spans="1:26" s="315" customFormat="1" ht="11.25" customHeight="1">
      <c r="D113" s="344"/>
      <c r="E113" s="320" t="s">
        <v>575</v>
      </c>
      <c r="H113" s="3401"/>
      <c r="I113" s="3403"/>
      <c r="J113" s="3407"/>
      <c r="K113" s="519" t="s">
        <v>2459</v>
      </c>
      <c r="L113" s="3401"/>
      <c r="M113" s="3402"/>
      <c r="N113" s="3407"/>
      <c r="O113" s="343" t="s">
        <v>1601</v>
      </c>
      <c r="P113" s="345"/>
      <c r="Q113" s="3389"/>
      <c r="R113" s="3390"/>
      <c r="S113" s="3391"/>
      <c r="Z113" s="2246">
        <v>113</v>
      </c>
    </row>
    <row r="114" spans="1:26" s="315" customFormat="1" ht="11.25" customHeight="1">
      <c r="D114" s="361"/>
      <c r="E114" s="320" t="s">
        <v>1672</v>
      </c>
      <c r="H114" s="1270"/>
      <c r="I114" s="345"/>
      <c r="J114" s="345"/>
      <c r="K114" s="861" t="s">
        <v>2062</v>
      </c>
      <c r="L114" s="3328"/>
      <c r="M114" s="3408"/>
      <c r="N114" s="345"/>
      <c r="O114" s="343" t="s">
        <v>1838</v>
      </c>
      <c r="P114" s="345"/>
      <c r="Q114" s="3389"/>
      <c r="R114" s="3390"/>
      <c r="S114" s="3391"/>
      <c r="Z114" s="2246">
        <v>114</v>
      </c>
    </row>
    <row r="115" spans="1:26" s="315" customFormat="1" ht="11.25" customHeight="1">
      <c r="D115" s="361"/>
      <c r="E115" s="320" t="s">
        <v>3464</v>
      </c>
      <c r="H115" s="3392"/>
      <c r="I115" s="3399"/>
      <c r="J115" s="338"/>
      <c r="K115" s="346" t="s">
        <v>1843</v>
      </c>
      <c r="L115" s="3400"/>
      <c r="M115" s="3395"/>
      <c r="N115" s="3301"/>
      <c r="O115" s="3301"/>
      <c r="P115" s="3301"/>
      <c r="Q115" s="3395"/>
      <c r="R115" s="3395"/>
      <c r="S115" s="3396"/>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6475</v>
      </c>
      <c r="H120" s="3340"/>
      <c r="I120" s="3341"/>
      <c r="J120" s="3342"/>
      <c r="K120" s="346" t="s">
        <v>1671</v>
      </c>
      <c r="L120" s="3340"/>
      <c r="M120" s="3397"/>
      <c r="N120" s="3398"/>
      <c r="O120" s="360" t="s">
        <v>3143</v>
      </c>
      <c r="P120" s="345"/>
      <c r="Q120" s="3333"/>
      <c r="R120" s="3415"/>
      <c r="S120" s="3416"/>
      <c r="Z120" s="2246">
        <v>120</v>
      </c>
    </row>
    <row r="121" spans="1:26" s="315" customFormat="1" ht="11.25" customHeight="1">
      <c r="C121" s="317"/>
      <c r="D121" s="344"/>
      <c r="E121" s="320" t="s">
        <v>6230</v>
      </c>
      <c r="F121" s="328"/>
      <c r="H121" s="3346"/>
      <c r="I121" s="3417"/>
      <c r="J121" s="3418"/>
      <c r="K121" s="3419"/>
      <c r="L121" s="3417"/>
      <c r="M121" s="3417"/>
      <c r="N121" s="3420"/>
      <c r="O121" s="360" t="s">
        <v>575</v>
      </c>
      <c r="P121" s="345"/>
      <c r="Q121" s="3421"/>
      <c r="R121" s="3422"/>
      <c r="S121" s="3423"/>
      <c r="Z121" s="2246">
        <v>121</v>
      </c>
    </row>
    <row r="122" spans="1:26" s="315" customFormat="1" ht="11.25" customHeight="1">
      <c r="C122" s="317"/>
      <c r="D122" s="344"/>
      <c r="E122" s="320" t="s">
        <v>1672</v>
      </c>
      <c r="H122" s="1594"/>
      <c r="I122" s="861" t="s">
        <v>2062</v>
      </c>
      <c r="J122" s="3424"/>
      <c r="K122" s="3407"/>
      <c r="L122" s="346" t="s">
        <v>1843</v>
      </c>
      <c r="M122" s="3394"/>
      <c r="N122" s="3301"/>
      <c r="O122" s="3301"/>
      <c r="P122" s="3301"/>
      <c r="Q122" s="3395"/>
      <c r="R122" s="3395"/>
      <c r="S122" s="3396"/>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6476</v>
      </c>
      <c r="H124" s="3340"/>
      <c r="I124" s="3341"/>
      <c r="J124" s="3342"/>
      <c r="K124" s="346" t="s">
        <v>1671</v>
      </c>
      <c r="L124" s="3340"/>
      <c r="M124" s="3397"/>
      <c r="N124" s="3398"/>
      <c r="O124" s="360" t="s">
        <v>3143</v>
      </c>
      <c r="P124" s="345"/>
      <c r="Q124" s="3333"/>
      <c r="R124" s="3415"/>
      <c r="S124" s="3416"/>
      <c r="Z124" s="2246">
        <v>124</v>
      </c>
    </row>
    <row r="125" spans="1:26" s="315" customFormat="1" ht="11.25" hidden="1" customHeight="1">
      <c r="C125" s="317"/>
      <c r="D125" s="344"/>
      <c r="E125" s="2193" t="s">
        <v>6230</v>
      </c>
      <c r="F125" s="328"/>
      <c r="H125" s="3346"/>
      <c r="I125" s="3417"/>
      <c r="J125" s="3418"/>
      <c r="K125" s="3419"/>
      <c r="L125" s="3417"/>
      <c r="M125" s="3417"/>
      <c r="N125" s="3420"/>
      <c r="O125" s="360" t="s">
        <v>575</v>
      </c>
      <c r="P125" s="345"/>
      <c r="Q125" s="3421"/>
      <c r="R125" s="3422"/>
      <c r="S125" s="3423"/>
      <c r="Z125" s="2246">
        <v>125</v>
      </c>
    </row>
    <row r="126" spans="1:26" s="315" customFormat="1" ht="11.25" hidden="1" customHeight="1">
      <c r="C126" s="317"/>
      <c r="D126" s="344"/>
      <c r="E126" s="2193" t="s">
        <v>1672</v>
      </c>
      <c r="H126" s="1594"/>
      <c r="I126" s="861" t="s">
        <v>2062</v>
      </c>
      <c r="J126" s="3424"/>
      <c r="K126" s="3407"/>
      <c r="L126" s="346" t="s">
        <v>1843</v>
      </c>
      <c r="M126" s="3394"/>
      <c r="N126" s="3301"/>
      <c r="O126" s="3301"/>
      <c r="P126" s="3301"/>
      <c r="Q126" s="3395"/>
      <c r="R126" s="3395"/>
      <c r="S126" s="3396"/>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40"/>
      <c r="I128" s="3341"/>
      <c r="J128" s="3342"/>
      <c r="K128" s="346" t="s">
        <v>1671</v>
      </c>
      <c r="L128" s="3340"/>
      <c r="M128" s="3397"/>
      <c r="N128" s="3398"/>
      <c r="O128" s="360" t="s">
        <v>3143</v>
      </c>
      <c r="P128" s="345"/>
      <c r="Q128" s="3333"/>
      <c r="R128" s="3415"/>
      <c r="S128" s="3416"/>
      <c r="Z128" s="2246">
        <v>128</v>
      </c>
    </row>
    <row r="129" spans="3:26" s="315" customFormat="1" ht="11.25" hidden="1" customHeight="1">
      <c r="C129" s="317"/>
      <c r="D129" s="344"/>
      <c r="E129" s="2193" t="s">
        <v>6230</v>
      </c>
      <c r="F129" s="328"/>
      <c r="H129" s="3346"/>
      <c r="I129" s="3417"/>
      <c r="J129" s="3418"/>
      <c r="K129" s="3419"/>
      <c r="L129" s="3417"/>
      <c r="M129" s="3417"/>
      <c r="N129" s="3420"/>
      <c r="O129" s="360" t="s">
        <v>575</v>
      </c>
      <c r="P129" s="345"/>
      <c r="Q129" s="3421"/>
      <c r="R129" s="3422"/>
      <c r="S129" s="3423"/>
      <c r="Z129" s="2246">
        <v>129</v>
      </c>
    </row>
    <row r="130" spans="3:26" s="315" customFormat="1" ht="11.25" hidden="1" customHeight="1">
      <c r="C130" s="317"/>
      <c r="D130" s="344"/>
      <c r="E130" s="2193" t="s">
        <v>1672</v>
      </c>
      <c r="H130" s="1594"/>
      <c r="I130" s="861" t="s">
        <v>2062</v>
      </c>
      <c r="J130" s="3424"/>
      <c r="K130" s="3407"/>
      <c r="L130" s="346" t="s">
        <v>1843</v>
      </c>
      <c r="M130" s="3394"/>
      <c r="N130" s="3301"/>
      <c r="O130" s="3301"/>
      <c r="P130" s="3301"/>
      <c r="Q130" s="3395"/>
      <c r="R130" s="3395"/>
      <c r="S130" s="3396"/>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6477</v>
      </c>
      <c r="H132" s="3340"/>
      <c r="I132" s="3341"/>
      <c r="J132" s="3342"/>
      <c r="K132" s="346" t="s">
        <v>1671</v>
      </c>
      <c r="L132" s="3340"/>
      <c r="M132" s="3397"/>
      <c r="N132" s="3398"/>
      <c r="O132" s="360" t="s">
        <v>3143</v>
      </c>
      <c r="P132" s="345"/>
      <c r="Q132" s="3333"/>
      <c r="R132" s="3415"/>
      <c r="S132" s="3416"/>
      <c r="Z132" s="2246">
        <v>132</v>
      </c>
    </row>
    <row r="133" spans="3:26" s="315" customFormat="1" ht="11.25" hidden="1" customHeight="1">
      <c r="C133" s="317"/>
      <c r="D133" s="344"/>
      <c r="E133" s="2193" t="s">
        <v>6230</v>
      </c>
      <c r="F133" s="328"/>
      <c r="H133" s="3346"/>
      <c r="I133" s="3417"/>
      <c r="J133" s="3418"/>
      <c r="K133" s="3419"/>
      <c r="L133" s="3417"/>
      <c r="M133" s="3417"/>
      <c r="N133" s="3420"/>
      <c r="O133" s="360" t="s">
        <v>575</v>
      </c>
      <c r="P133" s="345"/>
      <c r="Q133" s="3421"/>
      <c r="R133" s="3422"/>
      <c r="S133" s="3423"/>
      <c r="Z133" s="2246">
        <v>133</v>
      </c>
    </row>
    <row r="134" spans="3:26" s="315" customFormat="1" ht="11.25" hidden="1" customHeight="1">
      <c r="C134" s="317"/>
      <c r="D134" s="344"/>
      <c r="E134" s="2193" t="s">
        <v>1672</v>
      </c>
      <c r="H134" s="1594"/>
      <c r="I134" s="861" t="s">
        <v>2062</v>
      </c>
      <c r="J134" s="3424"/>
      <c r="K134" s="3407"/>
      <c r="L134" s="346" t="s">
        <v>1843</v>
      </c>
      <c r="M134" s="3394"/>
      <c r="N134" s="3301"/>
      <c r="O134" s="3301"/>
      <c r="P134" s="3301"/>
      <c r="Q134" s="3395"/>
      <c r="R134" s="3395"/>
      <c r="S134" s="3396"/>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6478</v>
      </c>
      <c r="H136" s="3340"/>
      <c r="I136" s="3341"/>
      <c r="J136" s="3342"/>
      <c r="K136" s="346" t="s">
        <v>1671</v>
      </c>
      <c r="L136" s="3340"/>
      <c r="M136" s="3397"/>
      <c r="N136" s="3398"/>
      <c r="O136" s="360" t="s">
        <v>3143</v>
      </c>
      <c r="P136" s="345"/>
      <c r="Q136" s="3333"/>
      <c r="R136" s="3415"/>
      <c r="S136" s="3416"/>
      <c r="Z136" s="2245">
        <v>136</v>
      </c>
    </row>
    <row r="137" spans="3:26" s="315" customFormat="1" ht="11.25" hidden="1" customHeight="1">
      <c r="C137" s="317"/>
      <c r="D137" s="344"/>
      <c r="E137" s="2193" t="s">
        <v>6230</v>
      </c>
      <c r="F137" s="328"/>
      <c r="H137" s="3346"/>
      <c r="I137" s="3417"/>
      <c r="J137" s="3418"/>
      <c r="K137" s="3419"/>
      <c r="L137" s="3417"/>
      <c r="M137" s="3417"/>
      <c r="N137" s="3420"/>
      <c r="O137" s="360" t="s">
        <v>575</v>
      </c>
      <c r="P137" s="345"/>
      <c r="Q137" s="3421"/>
      <c r="R137" s="3422"/>
      <c r="S137" s="3423"/>
      <c r="Z137" s="2246">
        <v>137</v>
      </c>
    </row>
    <row r="138" spans="3:26" s="315" customFormat="1" ht="11.25" hidden="1" customHeight="1">
      <c r="C138" s="317"/>
      <c r="D138" s="344"/>
      <c r="E138" s="2193" t="s">
        <v>1672</v>
      </c>
      <c r="H138" s="1594"/>
      <c r="I138" s="861" t="s">
        <v>2062</v>
      </c>
      <c r="J138" s="3424"/>
      <c r="K138" s="3407"/>
      <c r="L138" s="346" t="s">
        <v>1843</v>
      </c>
      <c r="M138" s="3394"/>
      <c r="N138" s="3301"/>
      <c r="O138" s="3301"/>
      <c r="P138" s="3301"/>
      <c r="Q138" s="3395"/>
      <c r="R138" s="3395"/>
      <c r="S138" s="3396"/>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6479</v>
      </c>
      <c r="H140" s="3340"/>
      <c r="I140" s="3341"/>
      <c r="J140" s="3342"/>
      <c r="K140" s="346" t="s">
        <v>1671</v>
      </c>
      <c r="L140" s="3340"/>
      <c r="M140" s="3397"/>
      <c r="N140" s="3398"/>
      <c r="O140" s="360" t="s">
        <v>3143</v>
      </c>
      <c r="P140" s="345"/>
      <c r="Q140" s="3333"/>
      <c r="R140" s="3415"/>
      <c r="S140" s="3416"/>
      <c r="Z140" s="2246">
        <v>140</v>
      </c>
    </row>
    <row r="141" spans="3:26" s="315" customFormat="1" ht="11.25" hidden="1" customHeight="1">
      <c r="C141" s="317"/>
      <c r="D141" s="344"/>
      <c r="E141" s="2193" t="s">
        <v>6230</v>
      </c>
      <c r="F141" s="328"/>
      <c r="H141" s="3346"/>
      <c r="I141" s="3417"/>
      <c r="J141" s="3418"/>
      <c r="K141" s="3419"/>
      <c r="L141" s="3417"/>
      <c r="M141" s="3417"/>
      <c r="N141" s="3420"/>
      <c r="O141" s="360" t="s">
        <v>575</v>
      </c>
      <c r="P141" s="345"/>
      <c r="Q141" s="3421"/>
      <c r="R141" s="3422"/>
      <c r="S141" s="3423"/>
      <c r="Z141" s="2246">
        <v>141</v>
      </c>
    </row>
    <row r="142" spans="3:26" s="315" customFormat="1" ht="11.25" hidden="1" customHeight="1">
      <c r="C142" s="317"/>
      <c r="D142" s="344"/>
      <c r="E142" s="2193" t="s">
        <v>1672</v>
      </c>
      <c r="H142" s="1594"/>
      <c r="I142" s="861" t="s">
        <v>2062</v>
      </c>
      <c r="J142" s="3424"/>
      <c r="K142" s="3407"/>
      <c r="L142" s="346" t="s">
        <v>1843</v>
      </c>
      <c r="M142" s="3394"/>
      <c r="N142" s="3301"/>
      <c r="O142" s="3301"/>
      <c r="P142" s="3301"/>
      <c r="Q142" s="3395"/>
      <c r="R142" s="3395"/>
      <c r="S142" s="3396"/>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6473</v>
      </c>
      <c r="H144" s="3340"/>
      <c r="I144" s="3341"/>
      <c r="J144" s="3342"/>
      <c r="K144" s="346" t="s">
        <v>1671</v>
      </c>
      <c r="L144" s="3340"/>
      <c r="M144" s="3397"/>
      <c r="N144" s="3398"/>
      <c r="O144" s="360" t="s">
        <v>3143</v>
      </c>
      <c r="P144" s="345"/>
      <c r="Q144" s="3333"/>
      <c r="R144" s="3415"/>
      <c r="S144" s="3416"/>
      <c r="Z144" s="2246">
        <v>144</v>
      </c>
    </row>
    <row r="145" spans="1:26" s="315" customFormat="1" ht="11.25" customHeight="1">
      <c r="C145" s="317"/>
      <c r="D145" s="344"/>
      <c r="E145" s="2074" t="s">
        <v>6230</v>
      </c>
      <c r="F145" s="328"/>
      <c r="H145" s="3346"/>
      <c r="I145" s="3417"/>
      <c r="J145" s="3418"/>
      <c r="K145" s="3419"/>
      <c r="L145" s="3417"/>
      <c r="M145" s="3417"/>
      <c r="N145" s="3420"/>
      <c r="O145" s="360" t="s">
        <v>575</v>
      </c>
      <c r="P145" s="345"/>
      <c r="Q145" s="3421"/>
      <c r="R145" s="3422"/>
      <c r="S145" s="3423"/>
      <c r="Z145" s="2245">
        <v>145</v>
      </c>
    </row>
    <row r="146" spans="1:26" s="315" customFormat="1" ht="11.25" customHeight="1">
      <c r="C146" s="317"/>
      <c r="D146" s="344"/>
      <c r="E146" s="2074" t="s">
        <v>1672</v>
      </c>
      <c r="H146" s="1594"/>
      <c r="I146" s="861" t="s">
        <v>2062</v>
      </c>
      <c r="J146" s="3424"/>
      <c r="K146" s="3407"/>
      <c r="L146" s="346" t="s">
        <v>1843</v>
      </c>
      <c r="M146" s="3394"/>
      <c r="N146" s="3301"/>
      <c r="O146" s="3301"/>
      <c r="P146" s="3301"/>
      <c r="Q146" s="3395"/>
      <c r="R146" s="3395"/>
      <c r="S146" s="3396"/>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6474</v>
      </c>
      <c r="H148" s="3340"/>
      <c r="I148" s="3341"/>
      <c r="J148" s="3342"/>
      <c r="K148" s="346" t="s">
        <v>1671</v>
      </c>
      <c r="L148" s="3340"/>
      <c r="M148" s="3397"/>
      <c r="N148" s="3398"/>
      <c r="O148" s="360" t="s">
        <v>3143</v>
      </c>
      <c r="P148" s="345"/>
      <c r="Q148" s="3333"/>
      <c r="R148" s="3415"/>
      <c r="S148" s="3416"/>
      <c r="Z148" s="2246">
        <v>148</v>
      </c>
    </row>
    <row r="149" spans="1:26" s="315" customFormat="1" ht="11.25" customHeight="1">
      <c r="D149" s="344"/>
      <c r="E149" s="2074" t="s">
        <v>6230</v>
      </c>
      <c r="F149" s="328"/>
      <c r="H149" s="3346"/>
      <c r="I149" s="3417"/>
      <c r="J149" s="3418"/>
      <c r="K149" s="3419"/>
      <c r="L149" s="3417"/>
      <c r="M149" s="3417"/>
      <c r="N149" s="3420"/>
      <c r="O149" s="360" t="s">
        <v>575</v>
      </c>
      <c r="P149" s="345"/>
      <c r="Q149" s="3421"/>
      <c r="R149" s="3422"/>
      <c r="S149" s="3423"/>
      <c r="Z149" s="2246">
        <v>149</v>
      </c>
    </row>
    <row r="150" spans="1:26" s="315" customFormat="1" ht="11.25" customHeight="1">
      <c r="D150" s="344"/>
      <c r="E150" s="2074" t="s">
        <v>1672</v>
      </c>
      <c r="H150" s="1594"/>
      <c r="I150" s="861" t="s">
        <v>2062</v>
      </c>
      <c r="J150" s="3424"/>
      <c r="K150" s="3407"/>
      <c r="L150" s="346" t="s">
        <v>1843</v>
      </c>
      <c r="M150" s="3394"/>
      <c r="N150" s="3301"/>
      <c r="O150" s="3301"/>
      <c r="P150" s="3301"/>
      <c r="Q150" s="3395"/>
      <c r="R150" s="3395"/>
      <c r="S150" s="3396"/>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484" t="s">
        <v>3299</v>
      </c>
      <c r="B153" s="3484"/>
      <c r="C153" s="3484"/>
      <c r="D153" s="3484"/>
      <c r="E153" s="3484"/>
      <c r="H153" s="1598" t="s">
        <v>2309</v>
      </c>
      <c r="I153" s="3478" t="s">
        <v>6525</v>
      </c>
      <c r="J153" s="3479"/>
      <c r="K153" s="3479"/>
      <c r="L153" s="3479"/>
      <c r="M153" s="3479"/>
      <c r="N153" s="3479"/>
      <c r="O153" s="3479"/>
      <c r="P153" s="3479"/>
      <c r="Q153" s="3479"/>
      <c r="R153" s="3479"/>
      <c r="S153" s="3480"/>
      <c r="Z153" s="2246">
        <v>153</v>
      </c>
    </row>
    <row r="154" spans="1:26" s="315" customFormat="1" ht="15" customHeight="1" thickBot="1">
      <c r="B154" s="2218" t="s">
        <v>1845</v>
      </c>
      <c r="C154" s="339" t="s">
        <v>2522</v>
      </c>
      <c r="E154" s="339"/>
      <c r="H154" s="1539" t="s">
        <v>3843</v>
      </c>
      <c r="I154" s="3382"/>
      <c r="J154" s="3383"/>
      <c r="K154" s="3383"/>
      <c r="L154" s="3383"/>
      <c r="M154" s="3383"/>
      <c r="N154" s="3383"/>
      <c r="O154" s="3383"/>
      <c r="P154" s="3383"/>
      <c r="Q154" s="3383"/>
      <c r="R154" s="3383"/>
      <c r="S154" s="3384"/>
      <c r="U154" s="3354" t="s">
        <v>1884</v>
      </c>
      <c r="V154" s="3354"/>
      <c r="Z154" s="2246">
        <v>154</v>
      </c>
    </row>
    <row r="155" spans="1:26" s="315" customFormat="1" ht="15" customHeight="1" thickBot="1">
      <c r="B155" s="616" t="s">
        <v>1847</v>
      </c>
      <c r="C155" s="511" t="s">
        <v>6228</v>
      </c>
      <c r="E155" s="339"/>
      <c r="H155" s="1539" t="s">
        <v>3843</v>
      </c>
      <c r="I155" s="3379"/>
      <c r="J155" s="3380"/>
      <c r="K155" s="3380"/>
      <c r="L155" s="3380"/>
      <c r="M155" s="3380"/>
      <c r="N155" s="3380"/>
      <c r="O155" s="3380"/>
      <c r="P155" s="3380"/>
      <c r="Q155" s="3380"/>
      <c r="R155" s="3380"/>
      <c r="S155" s="3381"/>
      <c r="U155" s="3354"/>
      <c r="V155" s="3354"/>
      <c r="Z155" s="2245">
        <v>155</v>
      </c>
    </row>
    <row r="156" spans="1:26" s="315" customFormat="1" ht="15" customHeight="1" thickBot="1">
      <c r="B156" s="616" t="s">
        <v>2333</v>
      </c>
      <c r="C156" s="511" t="s">
        <v>2558</v>
      </c>
      <c r="E156" s="339"/>
      <c r="H156" s="1539" t="s">
        <v>3843</v>
      </c>
      <c r="I156" s="3379"/>
      <c r="J156" s="3380"/>
      <c r="K156" s="3380"/>
      <c r="L156" s="3380"/>
      <c r="M156" s="3380"/>
      <c r="N156" s="3380"/>
      <c r="O156" s="3380"/>
      <c r="P156" s="3380"/>
      <c r="Q156" s="3380"/>
      <c r="R156" s="3380"/>
      <c r="S156" s="3381"/>
      <c r="U156" s="3354"/>
      <c r="V156" s="3354"/>
      <c r="Z156" s="2246">
        <v>156</v>
      </c>
    </row>
    <row r="157" spans="1:26" s="315" customFormat="1" ht="15" customHeight="1" thickBot="1">
      <c r="B157" s="616" t="s">
        <v>1151</v>
      </c>
      <c r="C157" s="511" t="s">
        <v>2523</v>
      </c>
      <c r="E157" s="339"/>
      <c r="H157" s="1539" t="s">
        <v>3843</v>
      </c>
      <c r="I157" s="3379"/>
      <c r="J157" s="3380"/>
      <c r="K157" s="3380"/>
      <c r="L157" s="3380"/>
      <c r="M157" s="3380"/>
      <c r="N157" s="3380"/>
      <c r="O157" s="3380"/>
      <c r="P157" s="3380"/>
      <c r="Q157" s="3380"/>
      <c r="R157" s="3380"/>
      <c r="S157" s="3381"/>
      <c r="U157" s="3354"/>
      <c r="V157" s="3354"/>
      <c r="Z157" s="2246">
        <v>157</v>
      </c>
    </row>
    <row r="158" spans="1:26" s="315" customFormat="1" ht="15" customHeight="1" thickBot="1">
      <c r="B158" s="616" t="s">
        <v>1152</v>
      </c>
      <c r="C158" s="511" t="s">
        <v>3077</v>
      </c>
      <c r="E158" s="339"/>
      <c r="H158" s="1539" t="s">
        <v>3843</v>
      </c>
      <c r="I158" s="3379"/>
      <c r="J158" s="3380"/>
      <c r="K158" s="3380"/>
      <c r="L158" s="3380"/>
      <c r="M158" s="3380"/>
      <c r="N158" s="3380"/>
      <c r="O158" s="3380"/>
      <c r="P158" s="3380"/>
      <c r="Q158" s="3380"/>
      <c r="R158" s="3380"/>
      <c r="S158" s="3381"/>
      <c r="U158" s="3354"/>
      <c r="V158" s="3354"/>
      <c r="Z158" s="2246">
        <v>158</v>
      </c>
    </row>
    <row r="159" spans="1:26" s="315" customFormat="1" ht="15" customHeight="1" thickBot="1">
      <c r="B159" s="616" t="s">
        <v>1742</v>
      </c>
      <c r="C159" s="511" t="s">
        <v>3078</v>
      </c>
      <c r="E159" s="339"/>
      <c r="H159" s="1539" t="s">
        <v>3843</v>
      </c>
      <c r="I159" s="3379"/>
      <c r="J159" s="3380"/>
      <c r="K159" s="3380"/>
      <c r="L159" s="3380"/>
      <c r="M159" s="3380"/>
      <c r="N159" s="3380"/>
      <c r="O159" s="3380"/>
      <c r="P159" s="3380"/>
      <c r="Q159" s="3380"/>
      <c r="R159" s="3380"/>
      <c r="S159" s="3381"/>
      <c r="U159" s="3354"/>
      <c r="V159" s="3354"/>
      <c r="Z159" s="2246">
        <v>159</v>
      </c>
    </row>
    <row r="160" spans="1:26" s="315" customFormat="1" ht="15" customHeight="1" thickBot="1">
      <c r="B160" s="616" t="s">
        <v>473</v>
      </c>
      <c r="C160" s="511" t="s">
        <v>2524</v>
      </c>
      <c r="E160" s="339"/>
      <c r="H160" s="1539" t="s">
        <v>3843</v>
      </c>
      <c r="I160" s="3379"/>
      <c r="J160" s="3380"/>
      <c r="K160" s="3380"/>
      <c r="L160" s="3380"/>
      <c r="M160" s="3380"/>
      <c r="N160" s="3380"/>
      <c r="O160" s="3380"/>
      <c r="P160" s="3380"/>
      <c r="Q160" s="3380"/>
      <c r="R160" s="3380"/>
      <c r="S160" s="3381"/>
      <c r="Z160" s="2246">
        <v>160</v>
      </c>
    </row>
    <row r="161" spans="1:26" s="315" customFormat="1" ht="15" customHeight="1" thickBot="1">
      <c r="B161" s="616" t="s">
        <v>474</v>
      </c>
      <c r="C161" s="511" t="s">
        <v>3894</v>
      </c>
      <c r="E161" s="339"/>
      <c r="H161" s="1539" t="s">
        <v>3843</v>
      </c>
      <c r="I161" s="3379"/>
      <c r="J161" s="3380"/>
      <c r="K161" s="3380"/>
      <c r="L161" s="3380"/>
      <c r="M161" s="3380"/>
      <c r="N161" s="3380"/>
      <c r="O161" s="3380"/>
      <c r="P161" s="3380"/>
      <c r="Q161" s="3380"/>
      <c r="R161" s="3380"/>
      <c r="S161" s="3381"/>
      <c r="Z161" s="2246">
        <v>161</v>
      </c>
    </row>
    <row r="162" spans="1:26" s="315" customFormat="1" ht="15" customHeight="1" thickBot="1">
      <c r="B162" s="616" t="s">
        <v>3893</v>
      </c>
      <c r="C162" s="3481" t="s">
        <v>6480</v>
      </c>
      <c r="D162" s="3482"/>
      <c r="E162" s="3482"/>
      <c r="F162" s="3482"/>
      <c r="G162" s="3483"/>
      <c r="H162" s="1539" t="s">
        <v>3843</v>
      </c>
      <c r="I162" s="3376"/>
      <c r="J162" s="3377"/>
      <c r="K162" s="3377"/>
      <c r="L162" s="3377"/>
      <c r="M162" s="3377"/>
      <c r="N162" s="3377"/>
      <c r="O162" s="3377"/>
      <c r="P162" s="3377"/>
      <c r="Q162" s="3377"/>
      <c r="R162" s="3377"/>
      <c r="S162" s="3378"/>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6" t="s">
        <v>594</v>
      </c>
      <c r="B166" s="3447"/>
      <c r="C166" s="3447"/>
      <c r="D166" s="3447"/>
      <c r="E166" s="3452" t="s">
        <v>3066</v>
      </c>
      <c r="F166" s="3453"/>
      <c r="G166" s="3453"/>
      <c r="H166" s="3453"/>
      <c r="I166" s="3454"/>
      <c r="J166" s="3458" t="s">
        <v>3067</v>
      </c>
      <c r="K166" s="3461" t="s">
        <v>2580</v>
      </c>
      <c r="L166" s="3461" t="s">
        <v>2581</v>
      </c>
      <c r="M166" s="3464" t="s">
        <v>6481</v>
      </c>
      <c r="N166" s="3465"/>
      <c r="O166" s="3465"/>
      <c r="P166" s="3465"/>
      <c r="Q166" s="3465"/>
      <c r="R166" s="3465"/>
      <c r="S166" s="3466"/>
      <c r="Z166" s="2246">
        <v>166</v>
      </c>
    </row>
    <row r="167" spans="1:26" s="315" customFormat="1" ht="12.75" customHeight="1">
      <c r="A167" s="3448"/>
      <c r="B167" s="3449"/>
      <c r="C167" s="3449"/>
      <c r="D167" s="3449"/>
      <c r="E167" s="3455"/>
      <c r="F167" s="3456"/>
      <c r="G167" s="3456"/>
      <c r="H167" s="3456"/>
      <c r="I167" s="3457"/>
      <c r="J167" s="3459"/>
      <c r="K167" s="3462"/>
      <c r="L167" s="3462"/>
      <c r="M167" s="3467"/>
      <c r="N167" s="3468"/>
      <c r="O167" s="3468"/>
      <c r="P167" s="3468"/>
      <c r="Q167" s="3468"/>
      <c r="R167" s="3468"/>
      <c r="S167" s="3469"/>
      <c r="Z167" s="2246">
        <v>167</v>
      </c>
    </row>
    <row r="168" spans="1:26" s="315" customFormat="1" ht="12.75" customHeight="1">
      <c r="A168" s="3448"/>
      <c r="B168" s="3449"/>
      <c r="C168" s="3449"/>
      <c r="D168" s="3449"/>
      <c r="E168" s="3455"/>
      <c r="F168" s="3456"/>
      <c r="G168" s="3456"/>
      <c r="H168" s="3456"/>
      <c r="I168" s="3457"/>
      <c r="J168" s="3459"/>
      <c r="K168" s="3462"/>
      <c r="L168" s="3462"/>
      <c r="M168" s="3467"/>
      <c r="N168" s="3468"/>
      <c r="O168" s="3468"/>
      <c r="P168" s="3468"/>
      <c r="Q168" s="3468"/>
      <c r="R168" s="3468"/>
      <c r="S168" s="3469"/>
      <c r="Z168" s="2246">
        <v>168</v>
      </c>
    </row>
    <row r="169" spans="1:26" s="315" customFormat="1" ht="12.75" customHeight="1">
      <c r="A169" s="3448"/>
      <c r="B169" s="3449"/>
      <c r="C169" s="3449"/>
      <c r="D169" s="3449"/>
      <c r="E169" s="3470" t="s">
        <v>3220</v>
      </c>
      <c r="F169" s="3471"/>
      <c r="G169" s="3471"/>
      <c r="H169" s="3472"/>
      <c r="I169" s="621"/>
      <c r="J169" s="3459"/>
      <c r="K169" s="3462"/>
      <c r="L169" s="3462"/>
      <c r="M169" s="3467"/>
      <c r="N169" s="3468"/>
      <c r="O169" s="3468"/>
      <c r="P169" s="3468"/>
      <c r="Q169" s="3468"/>
      <c r="R169" s="3468"/>
      <c r="S169" s="3469"/>
      <c r="Z169" s="2246">
        <v>169</v>
      </c>
    </row>
    <row r="170" spans="1:26" s="315" customFormat="1" ht="13.5" customHeight="1">
      <c r="A170" s="3450"/>
      <c r="B170" s="3451"/>
      <c r="C170" s="3451"/>
      <c r="D170" s="3451"/>
      <c r="E170" s="3473"/>
      <c r="F170" s="3474"/>
      <c r="G170" s="3474"/>
      <c r="H170" s="3475"/>
      <c r="I170" s="1540" t="s">
        <v>2309</v>
      </c>
      <c r="J170" s="3460"/>
      <c r="K170" s="3463"/>
      <c r="L170" s="3462"/>
      <c r="M170" s="1541" t="s">
        <v>2309</v>
      </c>
      <c r="N170" s="3476" t="s">
        <v>2579</v>
      </c>
      <c r="O170" s="3476"/>
      <c r="P170" s="3476"/>
      <c r="Q170" s="3476"/>
      <c r="R170" s="3476"/>
      <c r="S170" s="3477"/>
      <c r="Z170" s="2246">
        <v>170</v>
      </c>
    </row>
    <row r="171" spans="1:26" s="315" customFormat="1" ht="23.25" customHeight="1">
      <c r="A171" s="3441" t="s">
        <v>3061</v>
      </c>
      <c r="B171" s="3442"/>
      <c r="C171" s="3442"/>
      <c r="D171" s="3443"/>
      <c r="E171" s="3444"/>
      <c r="F171" s="3383"/>
      <c r="G171" s="3383"/>
      <c r="H171" s="3383"/>
      <c r="I171" s="828" t="s">
        <v>3843</v>
      </c>
      <c r="J171" s="617" t="s">
        <v>3843</v>
      </c>
      <c r="K171" s="622"/>
      <c r="L171" s="831"/>
      <c r="M171" s="623" t="s">
        <v>3843</v>
      </c>
      <c r="N171" s="3445"/>
      <c r="O171" s="3383"/>
      <c r="P171" s="3383"/>
      <c r="Q171" s="3383"/>
      <c r="R171" s="3383"/>
      <c r="S171" s="3384"/>
      <c r="Z171" s="2245">
        <v>171</v>
      </c>
    </row>
    <row r="172" spans="1:26" s="315" customFormat="1" ht="23.25" customHeight="1">
      <c r="A172" s="3436" t="s">
        <v>3062</v>
      </c>
      <c r="B172" s="3437"/>
      <c r="C172" s="3437"/>
      <c r="D172" s="3438"/>
      <c r="E172" s="3439"/>
      <c r="F172" s="3380"/>
      <c r="G172" s="3380"/>
      <c r="H172" s="3380"/>
      <c r="I172" s="829" t="s">
        <v>3843</v>
      </c>
      <c r="J172" s="618" t="s">
        <v>3843</v>
      </c>
      <c r="K172" s="624"/>
      <c r="L172" s="832"/>
      <c r="M172" s="625" t="s">
        <v>3843</v>
      </c>
      <c r="N172" s="3440"/>
      <c r="O172" s="3380"/>
      <c r="P172" s="3380"/>
      <c r="Q172" s="3380"/>
      <c r="R172" s="3380"/>
      <c r="S172" s="3381"/>
      <c r="U172" s="3354" t="s">
        <v>1884</v>
      </c>
      <c r="V172" s="3354"/>
      <c r="Z172" s="2246">
        <v>172</v>
      </c>
    </row>
    <row r="173" spans="1:26" s="315" customFormat="1" ht="23.25" customHeight="1">
      <c r="A173" s="3436" t="s">
        <v>3063</v>
      </c>
      <c r="B173" s="3437"/>
      <c r="C173" s="3437"/>
      <c r="D173" s="3438"/>
      <c r="E173" s="3439"/>
      <c r="F173" s="3380"/>
      <c r="G173" s="3380"/>
      <c r="H173" s="3380"/>
      <c r="I173" s="829" t="s">
        <v>3843</v>
      </c>
      <c r="J173" s="618" t="s">
        <v>3843</v>
      </c>
      <c r="K173" s="624"/>
      <c r="L173" s="832"/>
      <c r="M173" s="625" t="s">
        <v>3843</v>
      </c>
      <c r="N173" s="3440"/>
      <c r="O173" s="3380"/>
      <c r="P173" s="3380"/>
      <c r="Q173" s="3380"/>
      <c r="R173" s="3380"/>
      <c r="S173" s="3381"/>
      <c r="U173" s="3354"/>
      <c r="V173" s="3354"/>
      <c r="Z173" s="2246">
        <v>173</v>
      </c>
    </row>
    <row r="174" spans="1:26" s="315" customFormat="1" ht="23.25" customHeight="1">
      <c r="A174" s="3436" t="s">
        <v>3064</v>
      </c>
      <c r="B174" s="3437"/>
      <c r="C174" s="3437"/>
      <c r="D174" s="3438"/>
      <c r="E174" s="3439"/>
      <c r="F174" s="3380"/>
      <c r="G174" s="3380"/>
      <c r="H174" s="3380"/>
      <c r="I174" s="829" t="s">
        <v>3843</v>
      </c>
      <c r="J174" s="618" t="s">
        <v>3843</v>
      </c>
      <c r="K174" s="624"/>
      <c r="L174" s="832"/>
      <c r="M174" s="625" t="s">
        <v>3843</v>
      </c>
      <c r="N174" s="3440"/>
      <c r="O174" s="3380"/>
      <c r="P174" s="3380"/>
      <c r="Q174" s="3380"/>
      <c r="R174" s="3380"/>
      <c r="S174" s="3381"/>
      <c r="U174" s="3354"/>
      <c r="V174" s="3354"/>
      <c r="Z174" s="2246">
        <v>174</v>
      </c>
    </row>
    <row r="175" spans="1:26" s="315" customFormat="1" ht="23.25" customHeight="1">
      <c r="A175" s="3436" t="s">
        <v>3065</v>
      </c>
      <c r="B175" s="3437"/>
      <c r="C175" s="3437"/>
      <c r="D175" s="3438"/>
      <c r="E175" s="3439"/>
      <c r="F175" s="3380"/>
      <c r="G175" s="3380"/>
      <c r="H175" s="3380"/>
      <c r="I175" s="829" t="s">
        <v>3843</v>
      </c>
      <c r="J175" s="618" t="s">
        <v>3843</v>
      </c>
      <c r="K175" s="624"/>
      <c r="L175" s="832"/>
      <c r="M175" s="625" t="s">
        <v>3843</v>
      </c>
      <c r="N175" s="3440"/>
      <c r="O175" s="3380"/>
      <c r="P175" s="3380"/>
      <c r="Q175" s="3380"/>
      <c r="R175" s="3380"/>
      <c r="S175" s="3381"/>
      <c r="U175" s="3354"/>
      <c r="V175" s="3354"/>
      <c r="Z175" s="2246">
        <v>175</v>
      </c>
    </row>
    <row r="176" spans="1:26" s="315" customFormat="1" ht="23.25" customHeight="1">
      <c r="A176" s="3436" t="s">
        <v>2570</v>
      </c>
      <c r="B176" s="3437"/>
      <c r="C176" s="3437"/>
      <c r="D176" s="3438"/>
      <c r="E176" s="3439"/>
      <c r="F176" s="3380"/>
      <c r="G176" s="3380"/>
      <c r="H176" s="3380"/>
      <c r="I176" s="829" t="s">
        <v>3843</v>
      </c>
      <c r="J176" s="618" t="s">
        <v>3843</v>
      </c>
      <c r="K176" s="624"/>
      <c r="L176" s="832"/>
      <c r="M176" s="625" t="s">
        <v>3843</v>
      </c>
      <c r="N176" s="3440"/>
      <c r="O176" s="3380"/>
      <c r="P176" s="3380"/>
      <c r="Q176" s="3380"/>
      <c r="R176" s="3380"/>
      <c r="S176" s="3381"/>
      <c r="U176" s="3354"/>
      <c r="V176" s="3354"/>
      <c r="Z176" s="2246">
        <v>176</v>
      </c>
    </row>
    <row r="177" spans="1:26" s="315" customFormat="1" ht="23.25" customHeight="1">
      <c r="A177" s="3436" t="s">
        <v>607</v>
      </c>
      <c r="B177" s="3437"/>
      <c r="C177" s="3437"/>
      <c r="D177" s="3438"/>
      <c r="E177" s="3439"/>
      <c r="F177" s="3380"/>
      <c r="G177" s="3380"/>
      <c r="H177" s="3380"/>
      <c r="I177" s="829" t="s">
        <v>3843</v>
      </c>
      <c r="J177" s="618" t="s">
        <v>3843</v>
      </c>
      <c r="K177" s="624"/>
      <c r="L177" s="832"/>
      <c r="M177" s="625" t="s">
        <v>3843</v>
      </c>
      <c r="N177" s="3440"/>
      <c r="O177" s="3380"/>
      <c r="P177" s="3380"/>
      <c r="Q177" s="3380"/>
      <c r="R177" s="3380"/>
      <c r="S177" s="3381"/>
      <c r="U177" s="3354"/>
      <c r="V177" s="3354"/>
      <c r="Z177" s="2246">
        <v>177</v>
      </c>
    </row>
    <row r="178" spans="1:26" s="315" customFormat="1" ht="23.25" customHeight="1">
      <c r="A178" s="3436" t="s">
        <v>2571</v>
      </c>
      <c r="B178" s="3437"/>
      <c r="C178" s="3437"/>
      <c r="D178" s="3438"/>
      <c r="E178" s="3439"/>
      <c r="F178" s="3380"/>
      <c r="G178" s="3380"/>
      <c r="H178" s="3380"/>
      <c r="I178" s="829" t="s">
        <v>3843</v>
      </c>
      <c r="J178" s="618" t="s">
        <v>3843</v>
      </c>
      <c r="K178" s="624"/>
      <c r="L178" s="832"/>
      <c r="M178" s="625" t="s">
        <v>3843</v>
      </c>
      <c r="N178" s="3440"/>
      <c r="O178" s="3380"/>
      <c r="P178" s="3380"/>
      <c r="Q178" s="3380"/>
      <c r="R178" s="3380"/>
      <c r="S178" s="3381"/>
      <c r="Z178" s="2245">
        <v>178</v>
      </c>
    </row>
    <row r="179" spans="1:26" s="315" customFormat="1" ht="23.25" customHeight="1">
      <c r="A179" s="3436" t="s">
        <v>2572</v>
      </c>
      <c r="B179" s="3437"/>
      <c r="C179" s="3437"/>
      <c r="D179" s="3438"/>
      <c r="E179" s="3439"/>
      <c r="F179" s="3380"/>
      <c r="G179" s="3380"/>
      <c r="H179" s="3380"/>
      <c r="I179" s="829" t="s">
        <v>3843</v>
      </c>
      <c r="J179" s="618" t="s">
        <v>3843</v>
      </c>
      <c r="K179" s="624"/>
      <c r="L179" s="832"/>
      <c r="M179" s="625" t="s">
        <v>3843</v>
      </c>
      <c r="N179" s="3440"/>
      <c r="O179" s="3380"/>
      <c r="P179" s="3380"/>
      <c r="Q179" s="3380"/>
      <c r="R179" s="3380"/>
      <c r="S179" s="3381"/>
      <c r="Z179" s="2246">
        <v>179</v>
      </c>
    </row>
    <row r="180" spans="1:26" s="315" customFormat="1" ht="23.25" customHeight="1">
      <c r="A180" s="3436" t="s">
        <v>2574</v>
      </c>
      <c r="B180" s="3437"/>
      <c r="C180" s="3437"/>
      <c r="D180" s="3438"/>
      <c r="E180" s="3439"/>
      <c r="F180" s="3380"/>
      <c r="G180" s="3380"/>
      <c r="H180" s="3380"/>
      <c r="I180" s="829" t="s">
        <v>3843</v>
      </c>
      <c r="J180" s="618" t="s">
        <v>3843</v>
      </c>
      <c r="K180" s="624"/>
      <c r="L180" s="832"/>
      <c r="M180" s="625" t="s">
        <v>3843</v>
      </c>
      <c r="N180" s="3440"/>
      <c r="O180" s="3380"/>
      <c r="P180" s="3380"/>
      <c r="Q180" s="3380"/>
      <c r="R180" s="3380"/>
      <c r="S180" s="3381"/>
      <c r="Z180" s="2246">
        <v>180</v>
      </c>
    </row>
    <row r="181" spans="1:26" s="315" customFormat="1" ht="23.25" customHeight="1">
      <c r="A181" s="3436" t="s">
        <v>2573</v>
      </c>
      <c r="B181" s="3437"/>
      <c r="C181" s="3437"/>
      <c r="D181" s="3438"/>
      <c r="E181" s="3439"/>
      <c r="F181" s="3380"/>
      <c r="G181" s="3380"/>
      <c r="H181" s="3380"/>
      <c r="I181" s="829" t="s">
        <v>3843</v>
      </c>
      <c r="J181" s="618" t="s">
        <v>3843</v>
      </c>
      <c r="K181" s="624"/>
      <c r="L181" s="832"/>
      <c r="M181" s="625" t="s">
        <v>3843</v>
      </c>
      <c r="N181" s="3440"/>
      <c r="O181" s="3380"/>
      <c r="P181" s="3380"/>
      <c r="Q181" s="3380"/>
      <c r="R181" s="3380"/>
      <c r="S181" s="3381"/>
      <c r="Z181" s="2246">
        <v>181</v>
      </c>
    </row>
    <row r="182" spans="1:26" s="315" customFormat="1" ht="23.25" customHeight="1">
      <c r="A182" s="3436" t="s">
        <v>1432</v>
      </c>
      <c r="B182" s="3437"/>
      <c r="C182" s="3437"/>
      <c r="D182" s="3438"/>
      <c r="E182" s="3439"/>
      <c r="F182" s="3380"/>
      <c r="G182" s="3380"/>
      <c r="H182" s="3380"/>
      <c r="I182" s="829" t="s">
        <v>3843</v>
      </c>
      <c r="J182" s="618" t="s">
        <v>3843</v>
      </c>
      <c r="K182" s="624"/>
      <c r="L182" s="832"/>
      <c r="M182" s="625" t="s">
        <v>3843</v>
      </c>
      <c r="N182" s="3440"/>
      <c r="O182" s="3380"/>
      <c r="P182" s="3380"/>
      <c r="Q182" s="3380"/>
      <c r="R182" s="3380"/>
      <c r="S182" s="3381"/>
      <c r="Z182" s="2246">
        <v>182</v>
      </c>
    </row>
    <row r="183" spans="1:26" s="315" customFormat="1" ht="23.25" customHeight="1">
      <c r="A183" s="3425" t="s">
        <v>2575</v>
      </c>
      <c r="B183" s="3426"/>
      <c r="C183" s="3426"/>
      <c r="D183" s="3427"/>
      <c r="E183" s="3428"/>
      <c r="F183" s="3377"/>
      <c r="G183" s="3377"/>
      <c r="H183" s="3377"/>
      <c r="I183" s="830" t="s">
        <v>3843</v>
      </c>
      <c r="J183" s="619" t="s">
        <v>3843</v>
      </c>
      <c r="K183" s="626"/>
      <c r="L183" s="833"/>
      <c r="M183" s="627" t="s">
        <v>3843</v>
      </c>
      <c r="N183" s="3429"/>
      <c r="O183" s="3377"/>
      <c r="P183" s="3377"/>
      <c r="Q183" s="3377"/>
      <c r="R183" s="3377"/>
      <c r="S183" s="3378"/>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30"/>
      <c r="B186" s="3431"/>
      <c r="C186" s="3431"/>
      <c r="D186" s="3431"/>
      <c r="E186" s="3431"/>
      <c r="F186" s="3431"/>
      <c r="G186" s="3431"/>
      <c r="H186" s="3431"/>
      <c r="I186" s="3431"/>
      <c r="J186" s="3431"/>
      <c r="K186" s="3431"/>
      <c r="L186" s="3431"/>
      <c r="M186" s="3432"/>
      <c r="N186" s="3433"/>
      <c r="O186" s="3434"/>
      <c r="P186" s="3434"/>
      <c r="Q186" s="3434"/>
      <c r="R186" s="3434"/>
      <c r="S186" s="3435"/>
      <c r="T186" s="3298" t="s">
        <v>2453</v>
      </c>
      <c r="U186" s="3298"/>
      <c r="V186" s="3298"/>
      <c r="W186" s="3298"/>
      <c r="X186" s="3298"/>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 xml:space="preserve">Gibson Park </v>
      </c>
    </row>
    <row r="3" spans="1:26" s="652" customFormat="1" ht="15" customHeight="1">
      <c r="A3" s="2676" t="str">
        <f>CONCATENATE('Part I-Project Identification'!F30,", ", 'Part I-Project Identification'!J30," County")</f>
        <v>College Park, Fulton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3825 Paces Walk SE, Suite 100,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3292</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6644</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830000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6821</v>
      </c>
      <c r="J19" s="2681" t="s">
        <v>6822</v>
      </c>
      <c r="L19" s="2682"/>
      <c r="O19" s="2689" t="str">
        <f>'Part I-Project Identification'!O12</f>
        <v>2022PA-020</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 xml:space="preserve">TBG Development Services, Inc.  </v>
      </c>
      <c r="G22" s="2689"/>
      <c r="H22" s="2689"/>
      <c r="I22" s="2702" t="s">
        <v>1671</v>
      </c>
      <c r="J22" s="2689" t="str">
        <f>'Part I-Project Identification'!J15</f>
        <v>Kevin Buckner</v>
      </c>
      <c r="K22" s="2689"/>
      <c r="L22" s="2689"/>
      <c r="M22" s="2701" t="s">
        <v>1839</v>
      </c>
      <c r="N22" s="2689" t="str">
        <f>'Part I-Project Identification'!N15</f>
        <v>President</v>
      </c>
      <c r="O22" s="2689"/>
      <c r="P22" s="2689"/>
      <c r="Q22" s="2691"/>
      <c r="R22" s="2691"/>
      <c r="S22" s="2691"/>
      <c r="Z22" s="2682">
        <v>15</v>
      </c>
    </row>
    <row r="23" spans="1:26" s="2702" customFormat="1" ht="12.75" customHeight="1">
      <c r="B23" s="2701" t="s">
        <v>1840</v>
      </c>
      <c r="F23" s="2689" t="str">
        <f>'Part I-Project Identification'!F16</f>
        <v>3825 Paces Walk SE, Suite 100</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303394002</v>
      </c>
      <c r="G25" s="2705"/>
      <c r="H25" s="2705"/>
      <c r="I25" s="2701" t="s">
        <v>1600</v>
      </c>
      <c r="J25" s="2706">
        <f>'Part I-Project Identification'!J18</f>
        <v>6783245540</v>
      </c>
      <c r="K25" s="2706"/>
      <c r="L25" s="2697" t="s">
        <v>1599</v>
      </c>
      <c r="M25" s="2707">
        <f>'Part I-Project Identification'!M18</f>
        <v>101</v>
      </c>
      <c r="N25" s="2701" t="s">
        <v>1601</v>
      </c>
      <c r="O25" s="2706">
        <f>'Part I-Project Identification'!O18</f>
        <v>6783245550</v>
      </c>
      <c r="P25" s="2706"/>
      <c r="Q25" s="2691"/>
      <c r="R25" s="2691"/>
      <c r="S25" s="2691"/>
      <c r="Z25" s="2682">
        <v>18</v>
      </c>
    </row>
    <row r="26" spans="1:26" s="2702" customFormat="1" ht="12.75" customHeight="1">
      <c r="B26" s="2701" t="s">
        <v>1843</v>
      </c>
      <c r="F26" s="2689" t="str">
        <f>'Part I-Project Identification'!F19</f>
        <v>kbuckner@tbgresidential.com</v>
      </c>
      <c r="G26" s="2689"/>
      <c r="H26" s="2689"/>
      <c r="I26" s="2689"/>
      <c r="J26" s="2689"/>
      <c r="K26" s="2689"/>
      <c r="N26" s="2701" t="s">
        <v>1838</v>
      </c>
      <c r="O26" s="2706">
        <f>'Part I-Project Identification'!O19</f>
        <v>7708627333</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 xml:space="preserve">TBG Development Services, Inc. </v>
      </c>
      <c r="G28" s="2689"/>
      <c r="H28" s="2689"/>
      <c r="I28" s="2702" t="s">
        <v>1671</v>
      </c>
      <c r="J28" s="2689" t="str">
        <f>'Part I-Project Identification'!J21</f>
        <v>Amelia Johnson</v>
      </c>
      <c r="K28" s="2689"/>
      <c r="L28" s="2689"/>
      <c r="M28" s="2701" t="s">
        <v>1839</v>
      </c>
      <c r="N28" s="2689" t="str">
        <f>'Part I-Project Identification'!N21</f>
        <v xml:space="preserve">VP of Development </v>
      </c>
      <c r="O28" s="2689"/>
      <c r="P28" s="2689"/>
      <c r="Q28" s="2691"/>
      <c r="R28" s="2691"/>
      <c r="S28" s="2691"/>
      <c r="Z28" s="2697">
        <v>21</v>
      </c>
    </row>
    <row r="29" spans="1:26" s="2702" customFormat="1" ht="12.75" customHeight="1">
      <c r="B29" s="2701" t="s">
        <v>1840</v>
      </c>
      <c r="F29" s="2689" t="str">
        <f>'Part I-Project Identification'!F22</f>
        <v>3825 Paces Walk SE, Suite 100</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f>'Part I-Project Identification'!J23</f>
        <v>0</v>
      </c>
      <c r="M30" s="2709"/>
      <c r="N30" s="2709"/>
      <c r="O30" s="2709"/>
      <c r="P30" s="2709"/>
      <c r="Q30" s="2691"/>
      <c r="R30" s="2691"/>
      <c r="S30" s="2691"/>
      <c r="Z30" s="2682">
        <v>23</v>
      </c>
    </row>
    <row r="31" spans="1:26" s="2702" customFormat="1" ht="12.75" customHeight="1">
      <c r="B31" s="2701" t="s">
        <v>2062</v>
      </c>
      <c r="F31" s="2705">
        <f>'Part I-Project Identification'!F24</f>
        <v>303394002</v>
      </c>
      <c r="G31" s="2705"/>
      <c r="H31" s="2705"/>
      <c r="I31" s="2701" t="s">
        <v>1600</v>
      </c>
      <c r="J31" s="2706">
        <f>'Part I-Project Identification'!J24</f>
        <v>6783245540</v>
      </c>
      <c r="K31" s="2706"/>
      <c r="L31" s="2697" t="s">
        <v>1599</v>
      </c>
      <c r="M31" s="2707">
        <f>'Part I-Project Identification'!M24</f>
        <v>107</v>
      </c>
      <c r="N31" s="2701" t="s">
        <v>1601</v>
      </c>
      <c r="O31" s="2706">
        <f>'Part I-Project Identification'!O24</f>
        <v>6783245556</v>
      </c>
      <c r="P31" s="2706"/>
      <c r="Q31" s="2691"/>
      <c r="R31" s="2691"/>
      <c r="S31" s="2691"/>
      <c r="Z31" s="2682">
        <v>24</v>
      </c>
    </row>
    <row r="32" spans="1:26" s="2702" customFormat="1" ht="12.75" customHeight="1">
      <c r="B32" s="2701" t="s">
        <v>1843</v>
      </c>
      <c r="F32" s="2689" t="str">
        <f>'Part I-Project Identification'!F25</f>
        <v xml:space="preserve">ajohnson@tbgresidential.com </v>
      </c>
      <c r="G32" s="2689"/>
      <c r="H32" s="2689"/>
      <c r="I32" s="2689"/>
      <c r="J32" s="2689"/>
      <c r="K32" s="2689"/>
      <c r="N32" s="2701" t="s">
        <v>1838</v>
      </c>
      <c r="O32" s="2706">
        <f>'Part I-Project Identification'!O25</f>
        <v>4045435337</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 xml:space="preserve">Gibson Park </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College Park</v>
      </c>
      <c r="G37" s="2689"/>
      <c r="H37" s="2689"/>
      <c r="I37" s="2712" t="s">
        <v>576</v>
      </c>
      <c r="J37" s="2689" t="str">
        <f>'Part I-Project Identification'!J30</f>
        <v>Fulton</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6730</v>
      </c>
      <c r="K38" s="2682"/>
      <c r="M38" s="2701" t="s">
        <v>6676</v>
      </c>
      <c r="N38" s="2702"/>
      <c r="O38" s="2689">
        <f>'Part I-Project Identification'!O31</f>
        <v>6.82</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6663</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6662</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The Qualification Determination Letter can be found in TAB 20.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Gibson Park ,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6823</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6799</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6800</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6525</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Gibson Park , College Park, Fulton County</v>
      </c>
      <c r="B244" s="2681"/>
      <c r="C244" s="2681"/>
      <c r="D244" s="2681"/>
      <c r="E244" s="2681"/>
      <c r="F244" s="2681"/>
      <c r="G244" s="2681"/>
      <c r="H244" s="2681"/>
      <c r="I244" s="2681"/>
      <c r="J244" s="2681"/>
      <c r="K244" s="2681"/>
      <c r="L244" s="2681"/>
      <c r="M244" s="2681"/>
      <c r="N244" s="2681"/>
      <c r="O244" s="2681"/>
      <c r="P244" s="2681"/>
      <c r="Q244" s="2681"/>
      <c r="S244" s="2719" t="str">
        <f>$A$2</f>
        <v xml:space="preserve">Gibson Park </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6670</v>
      </c>
      <c r="F250" s="2719" t="s">
        <v>6673</v>
      </c>
      <c r="H250" s="2698" t="str">
        <f>'Part II-Sources of Funds'!H8</f>
        <v>Specify Other HOME Source here</v>
      </c>
      <c r="I250" s="2698"/>
      <c r="J250" s="2698"/>
      <c r="L250" s="2707" t="str">
        <f>'Part II-Sources of Funds'!L8</f>
        <v>No</v>
      </c>
      <c r="M250" s="2686" t="s">
        <v>6675</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6672</v>
      </c>
      <c r="E255" s="2707" t="str">
        <f>'Part II-Sources of Funds'!E13</f>
        <v>No</v>
      </c>
      <c r="F255" s="2686" t="s">
        <v>6674</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3302</v>
      </c>
      <c r="L256" s="2707" t="str">
        <f>'Part II-Sources of Funds'!L14</f>
        <v>No</v>
      </c>
      <c r="M256" s="2719" t="s">
        <v>6719</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6506</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Synovus Bank Construction Loan</v>
      </c>
      <c r="I264" s="2739"/>
      <c r="J264" s="2739"/>
      <c r="K264" s="2739"/>
      <c r="L264" s="2762">
        <f>'Part II-Sources of Funds'!L22</f>
        <v>6100000</v>
      </c>
      <c r="M264" s="2762"/>
      <c r="N264" s="2763">
        <f>'Part II-Sources of Funds'!N22</f>
        <v>0.04</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t="str">
        <f>'Part II-Sources of Funds'!H23</f>
        <v xml:space="preserve">Synovus Bank Bridge Loan </v>
      </c>
      <c r="I265" s="2739"/>
      <c r="J265" s="2739"/>
      <c r="K265" s="2739"/>
      <c r="L265" s="2762">
        <f>'Part II-Sources of Funds'!L23</f>
        <v>8030062</v>
      </c>
      <c r="M265" s="2762"/>
      <c r="N265" s="2763">
        <f>'Part II-Sources of Funds'!N23</f>
        <v>0.04</v>
      </c>
      <c r="O265" s="2763"/>
      <c r="P265" s="2764">
        <f>'Part II-Sources of Funds'!P23</f>
        <v>24</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Synovus Bank</v>
      </c>
      <c r="I270" s="2739"/>
      <c r="J270" s="2739"/>
      <c r="K270" s="2739"/>
      <c r="L270" s="2762">
        <f>'Part II-Sources of Funds'!L28</f>
        <v>1396749</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TBG Gibson Park Investments, LLC</v>
      </c>
      <c r="I271" s="2739"/>
      <c r="J271" s="2739"/>
      <c r="K271" s="2739"/>
      <c r="L271" s="2762">
        <f>'Part II-Sources of Funds'!L29</f>
        <v>927110</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16453921</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16423766</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30155</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Regions Bank</v>
      </c>
      <c r="F282" s="2739"/>
      <c r="G282" s="2739"/>
      <c r="H282" s="2739"/>
      <c r="I282" s="2762">
        <f>'Part II-Sources of Funds'!I40</f>
        <v>6100000</v>
      </c>
      <c r="J282" s="2689"/>
      <c r="K282" s="2763">
        <f>'Part II-Sources of Funds'!K40</f>
        <v>5.6500000000000002E-2</v>
      </c>
      <c r="L282" s="2707">
        <f>'Part II-Sources of Funds'!L40</f>
        <v>15</v>
      </c>
      <c r="M282" s="2707">
        <f>'Part II-Sources of Funds'!M40</f>
        <v>40</v>
      </c>
      <c r="N282" s="2689" t="str">
        <f>'Part II-Sources of Funds'!N40</f>
        <v>Amortizing</v>
      </c>
      <c r="O282" s="2689"/>
      <c r="P282" s="2767">
        <f>'Part II-Sources of Funds'!P40</f>
        <v>385043.10329401225</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0.42188203463203461</v>
      </c>
      <c r="E287" s="2739" t="str">
        <f>'Part II-Sources of Funds'!E45</f>
        <v>TBG Development Services, Inc.</v>
      </c>
      <c r="F287" s="2739"/>
      <c r="G287" s="2739"/>
      <c r="H287" s="2739"/>
      <c r="I287" s="2762">
        <f>'Part II-Sources of Funds'!I45</f>
        <v>779638</v>
      </c>
      <c r="J287" s="2760"/>
      <c r="K287" s="2763">
        <f>'Part II-Sources of Funds'!K45</f>
        <v>0</v>
      </c>
      <c r="L287" s="2707">
        <f>'Part II-Sources of Funds'!L45</f>
        <v>14</v>
      </c>
      <c r="M287" s="2707">
        <f>'Part II-Sources of Funds'!M45</f>
        <v>14</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1650385.750712961</v>
      </c>
      <c r="H289" s="2780" t="s">
        <v>3407</v>
      </c>
      <c r="I289" s="2779">
        <f>'Part II-Sources of Funds'!I47</f>
        <v>835814</v>
      </c>
      <c r="K289" s="2780" t="s">
        <v>3409</v>
      </c>
      <c r="L289" s="2781">
        <f>'Part II-Sources of Funds'!L47</f>
        <v>0.50643554068431051</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Synovus Bank</v>
      </c>
      <c r="F293" s="2739"/>
      <c r="G293" s="2739"/>
      <c r="H293" s="2739"/>
      <c r="I293" s="2762">
        <f>'Part II-Sources of Funds'!I51</f>
        <v>6983745</v>
      </c>
      <c r="J293" s="2772"/>
      <c r="L293" s="2786">
        <f>'Part III-A-Uses of Funds'!$J$191*10*'Part III-A-Uses of Funds'!$N$182</f>
        <v>7055000</v>
      </c>
      <c r="M293" s="2786"/>
      <c r="N293" s="2787">
        <f>I293-L293</f>
        <v>-71255</v>
      </c>
      <c r="O293" s="2787"/>
      <c r="P293" s="2788">
        <f>I293/I303</f>
        <v>0.37752150353752834</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TBG Gibson Park Investments, LLC</v>
      </c>
      <c r="F294" s="2739"/>
      <c r="G294" s="2739"/>
      <c r="H294" s="2739"/>
      <c r="I294" s="2762">
        <f>'Part II-Sources of Funds'!I52</f>
        <v>4635550</v>
      </c>
      <c r="J294" s="2772"/>
      <c r="L294" s="2786">
        <f>'Part III-A-Uses of Funds'!$J$191*10*'Part III-A-Uses of Funds'!$Q$182</f>
        <v>4565000</v>
      </c>
      <c r="M294" s="2786"/>
      <c r="N294" s="2787">
        <f>I294-L294</f>
        <v>70550</v>
      </c>
      <c r="O294" s="2787"/>
      <c r="P294" s="2788">
        <f>I294/I303</f>
        <v>0.25058472291347833</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0.62810622645100667</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t="str">
        <f>'Part II-Sources of Funds'!E57</f>
        <v xml:space="preserve"> </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18498933</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18498933</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There is an overage and a deficit created in the equity check above because Synovus is purchasing 98.99% of the Federal credits.  TBG Gibson Park Investments, LLC is purchasing 1% of the federal credits at federal pricing and 100% of the state credits at state pricing.  The Synovus construction/bridge loan interest rate is 4.00% (30-day BSBY plus 325 bps.  30-day BSBY will have a floor of .75bps).  Documentation can be found in TAB 02.</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Gibson Park , ,  County</v>
      </c>
      <c r="W312" s="2681" t="str">
        <f>A312</f>
        <v>PART THREE (A):  USES OF FUNDS  -  2022-0 Gibson Park ,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15000</v>
      </c>
      <c r="H319" s="2762"/>
      <c r="J319" s="2762">
        <f>'Part III-A-Uses of Funds'!J9</f>
        <v>15000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7500</v>
      </c>
      <c r="H320" s="2762"/>
      <c r="J320" s="2762">
        <f>'Part III-A-Uses of Funds'!J10</f>
        <v>7500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30000</v>
      </c>
      <c r="H321" s="2762"/>
      <c r="J321" s="2762">
        <f>'Part III-A-Uses of Funds'!J11</f>
        <v>30000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5000</v>
      </c>
      <c r="H322" s="2762"/>
      <c r="J322" s="2762">
        <f>'Part III-A-Uses of Funds'!J12</f>
        <v>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20000</v>
      </c>
      <c r="H323" s="2762"/>
      <c r="J323" s="2762">
        <f>'Part III-A-Uses of Funds'!J13</f>
        <v>20000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18000</v>
      </c>
      <c r="H324" s="2762"/>
      <c r="J324" s="2762">
        <f>'Part III-A-Uses of Funds'!J14</f>
        <v>18000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 xml:space="preserve">Front End Cost Review </v>
      </c>
      <c r="D325" s="2799"/>
      <c r="E325" s="2799"/>
      <c r="F325" s="2799"/>
      <c r="G325" s="2762">
        <f>'Part III-A-Uses of Funds'!G15</f>
        <v>5500</v>
      </c>
      <c r="H325" s="2762"/>
      <c r="J325" s="2762">
        <f>'Part III-A-Uses of Funds'!J15</f>
        <v>5500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DCA Construction Inspection Fee</v>
      </c>
      <c r="D326" s="2799"/>
      <c r="E326" s="2799"/>
      <c r="F326" s="2799"/>
      <c r="G326" s="2762">
        <f>'Part III-A-Uses of Funds'!G16</f>
        <v>15600</v>
      </c>
      <c r="H326" s="2762"/>
      <c r="J326" s="2762">
        <f>'Part III-A-Uses of Funds'!J16</f>
        <v>15600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116600</v>
      </c>
      <c r="H328" s="2792"/>
      <c r="J328" s="2792">
        <f>SUM(J319:J327)</f>
        <v>116600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322580.6451612903</v>
      </c>
      <c r="G330" s="2762">
        <f>'Part III-A-Uses of Funds'!G20</f>
        <v>2200000</v>
      </c>
      <c r="H330" s="2762"/>
      <c r="J330" s="2795"/>
      <c r="K330" s="2792"/>
      <c r="L330" s="2795"/>
      <c r="M330" s="2795"/>
      <c r="N330" s="2792"/>
      <c r="P330" s="2795"/>
      <c r="Q330" s="2792"/>
      <c r="S330" s="2762">
        <f>'Part III-A-Uses of Funds'!S20</f>
        <v>2200000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2200000</v>
      </c>
      <c r="H334" s="2792"/>
      <c r="J334" s="2795"/>
      <c r="K334" s="2792"/>
      <c r="L334" s="2795"/>
      <c r="M334" s="2792">
        <f>SUM(M332:M333)</f>
        <v>0</v>
      </c>
      <c r="N334" s="2792"/>
      <c r="P334" s="2795"/>
      <c r="Q334" s="2792"/>
      <c r="S334" s="2792">
        <f>SUM(S330:S333)</f>
        <v>2200000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190615.83577712608</v>
      </c>
      <c r="G336" s="2762">
        <f>'Part III-A-Uses of Funds'!G26</f>
        <v>1300000</v>
      </c>
      <c r="H336" s="2762"/>
      <c r="J336" s="2762">
        <f>'Part III-A-Uses of Funds'!J26</f>
        <v>1300000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1300000</v>
      </c>
      <c r="H338" s="2792"/>
      <c r="J338" s="2792">
        <f>SUM(J336:J337)</f>
        <v>1300000</v>
      </c>
      <c r="K338" s="2792"/>
      <c r="L338" s="2795"/>
      <c r="M338" s="2792">
        <f>M336</f>
        <v>0</v>
      </c>
      <c r="N338" s="2792"/>
      <c r="P338" s="2792">
        <f>P336</f>
        <v>0</v>
      </c>
      <c r="Q338" s="2792"/>
      <c r="S338" s="2792">
        <f>SUM(S336:S337)</f>
        <v>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8189475</v>
      </c>
      <c r="H340" s="2762"/>
      <c r="J340" s="2762">
        <f>'Part III-A-Uses of Funds'!J30</f>
        <v>8189475</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300000</v>
      </c>
      <c r="H342" s="2762"/>
      <c r="J342" s="2762">
        <f>'Part III-A-Uses of Funds'!J32</f>
        <v>300000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8489475</v>
      </c>
      <c r="H346" s="2792"/>
      <c r="J346" s="2792">
        <f>SUM(J340:J345)</f>
        <v>8489475</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587368</v>
      </c>
      <c r="F348" s="2807">
        <f>IF(($G$28+$G$36)=0,0,G348/($G$28+$G$36))</f>
        <v>0</v>
      </c>
      <c r="G348" s="2762">
        <f>'Part III-A-Uses of Funds'!G38</f>
        <v>587368</v>
      </c>
      <c r="H348" s="2762"/>
      <c r="J348" s="2762">
        <f>'Part III-A-Uses of Funds'!J38</f>
        <v>587368</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195789</v>
      </c>
      <c r="F349" s="2807">
        <f>IF(($G$28+$G$36)=0,0,G349/($G$28+$G$36))</f>
        <v>0</v>
      </c>
      <c r="G349" s="2762">
        <f>'Part III-A-Uses of Funds'!G39</f>
        <v>195789</v>
      </c>
      <c r="H349" s="2762"/>
      <c r="I349" s="2693"/>
      <c r="J349" s="2762">
        <f>'Part III-A-Uses of Funds'!J39</f>
        <v>195789</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587368</v>
      </c>
      <c r="F350" s="2807">
        <f>IF(($G$28+$G$36)=0,0,G350/($G$28+$G$36))</f>
        <v>0</v>
      </c>
      <c r="G350" s="2762">
        <f>'Part III-A-Uses of Funds'!G40</f>
        <v>587368</v>
      </c>
      <c r="H350" s="2762"/>
      <c r="I350" s="2693"/>
      <c r="J350" s="2762">
        <f>'Part III-A-Uses of Funds'!J40</f>
        <v>587368</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1370525</v>
      </c>
      <c r="F351" s="2800" t="s">
        <v>184</v>
      </c>
      <c r="G351" s="2792">
        <f>SUM(G348:G350)</f>
        <v>1370525</v>
      </c>
      <c r="H351" s="2792"/>
      <c r="J351" s="2792">
        <f>SUM(J348:J350)</f>
        <v>1370525</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6496</v>
      </c>
      <c r="E353" s="2682"/>
      <c r="F353" s="2682"/>
      <c r="G353" s="2811">
        <f>G338+G346+G351</f>
        <v>11160000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6830</v>
      </c>
      <c r="C358" s="2814"/>
      <c r="E358" s="2683" t="s">
        <v>2480</v>
      </c>
      <c r="F358" s="2815">
        <f>C359/'Part V-Revenues &amp; Expenses'!$P$65</f>
        <v>155000</v>
      </c>
      <c r="G358" s="2816" t="s">
        <v>6831</v>
      </c>
      <c r="J358" s="2817">
        <f>C359/'Part V-Revenues &amp; Expenses'!$P$67</f>
        <v>155000</v>
      </c>
      <c r="K358" s="2817"/>
      <c r="M358" s="2818" t="s">
        <v>6482</v>
      </c>
      <c r="N358" s="2818"/>
      <c r="P358" s="2817">
        <f>C359/'Part V-Revenues &amp; Expenses'!$K$175</f>
        <v>137.60789149198521</v>
      </c>
      <c r="Q358" s="2817"/>
      <c r="S358" s="2819" t="s">
        <v>6484</v>
      </c>
      <c r="T358" s="2819"/>
      <c r="V358" s="2801"/>
      <c r="W358" s="2797"/>
      <c r="X358" s="2797"/>
      <c r="AZ358" s="2702"/>
      <c r="BA358" s="2682">
        <v>48</v>
      </c>
    </row>
    <row r="359" spans="1:53" s="2681" customFormat="1" ht="12.6" customHeight="1">
      <c r="B359" s="2820" t="s">
        <v>6495</v>
      </c>
      <c r="C359" s="2821">
        <f>G338+G346+G351+G356</f>
        <v>11160000</v>
      </c>
      <c r="E359" s="2683"/>
      <c r="F359" s="2815">
        <f>C359/'Part V-Revenues &amp; Expenses'!$P$166</f>
        <v>141.98473282442748</v>
      </c>
      <c r="G359" s="2819" t="s">
        <v>6832</v>
      </c>
      <c r="J359" s="2817">
        <f>C359/'Part V-Revenues &amp; Expenses'!$P$168</f>
        <v>141.98473282442748</v>
      </c>
      <c r="K359" s="2817"/>
      <c r="M359" s="2819" t="s">
        <v>6483</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558000</v>
      </c>
      <c r="F365" s="2774">
        <f>G365/C359</f>
        <v>0.05</v>
      </c>
      <c r="G365" s="2762">
        <f>'Part III-A-Uses of Funds'!G55</f>
        <v>558000</v>
      </c>
      <c r="H365" s="2762"/>
      <c r="I365" s="2681"/>
      <c r="J365" s="2762">
        <f>'Part III-A-Uses of Funds'!J55</f>
        <v>558000</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162750</v>
      </c>
      <c r="G367" s="2816" t="s">
        <v>6831</v>
      </c>
      <c r="J367" s="2817">
        <f>B368/'Part V-Revenues &amp; Expenses'!$P$67</f>
        <v>162750</v>
      </c>
      <c r="K367" s="2817"/>
      <c r="M367" s="2818" t="s">
        <v>6482</v>
      </c>
      <c r="N367" s="2818"/>
      <c r="P367" s="2817">
        <f>B368/'Part V-Revenues &amp; Expenses'!$K$175</f>
        <v>144.48828606658446</v>
      </c>
      <c r="Q367" s="2817"/>
      <c r="S367" s="2819" t="s">
        <v>6484</v>
      </c>
      <c r="T367" s="2819"/>
      <c r="V367" s="2801"/>
      <c r="W367" s="2797"/>
      <c r="X367" s="2797"/>
      <c r="AZ367" s="2702"/>
      <c r="BA367" s="2682">
        <v>54</v>
      </c>
    </row>
    <row r="368" spans="1:53" s="2681" customFormat="1" ht="12.6" customHeight="1">
      <c r="B368" s="2821">
        <f>C359+G365</f>
        <v>11718000</v>
      </c>
      <c r="C368" s="2821"/>
      <c r="E368" s="2683"/>
      <c r="F368" s="2815">
        <f>B368/'Part V-Revenues &amp; Expenses'!$P$166</f>
        <v>149.08396946564886</v>
      </c>
      <c r="G368" s="2819" t="s">
        <v>6832</v>
      </c>
      <c r="J368" s="2817">
        <f>B368/'Part V-Revenues &amp; Expenses'!$P$168</f>
        <v>149.08396946564886</v>
      </c>
      <c r="K368" s="2817"/>
      <c r="M368" s="2819" t="s">
        <v>6483</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60226</v>
      </c>
      <c r="H371" s="2762"/>
      <c r="J371" s="2762">
        <f>'Part III-A-Uses of Funds'!J61</f>
        <v>60226</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583352</v>
      </c>
      <c r="H372" s="2762"/>
      <c r="J372" s="2762">
        <f>'Part III-A-Uses of Funds'!J62</f>
        <v>400352</v>
      </c>
      <c r="K372" s="2762"/>
      <c r="L372" s="2795"/>
      <c r="M372" s="2762">
        <f>'Part III-A-Uses of Funds'!M62</f>
        <v>0</v>
      </c>
      <c r="N372" s="2762"/>
      <c r="P372" s="2762">
        <f>'Part III-A-Uses of Funds'!P62</f>
        <v>0</v>
      </c>
      <c r="Q372" s="2762"/>
      <c r="S372" s="2762">
        <f>'Part III-A-Uses of Funds'!S62</f>
        <v>183000</v>
      </c>
      <c r="T372" s="2762"/>
      <c r="V372" s="2796"/>
      <c r="W372" s="2797"/>
      <c r="X372" s="2797"/>
      <c r="AZ372" s="2702"/>
      <c r="BA372" s="2682">
        <v>62</v>
      </c>
    </row>
    <row r="373" spans="1:53" s="2681" customFormat="1" ht="12" customHeight="1">
      <c r="B373" s="2681" t="s">
        <v>2167</v>
      </c>
      <c r="G373" s="2762">
        <f>'Part III-A-Uses of Funds'!G63</f>
        <v>45750</v>
      </c>
      <c r="H373" s="2762"/>
      <c r="J373" s="2762">
        <f>'Part III-A-Uses of Funds'!J63</f>
        <v>45750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0</v>
      </c>
      <c r="H374" s="2762"/>
      <c r="J374" s="2762">
        <f>'Part III-A-Uses of Funds'!J64</f>
        <v>0</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2169</v>
      </c>
      <c r="G375" s="2762">
        <f>'Part III-A-Uses of Funds'!G65</f>
        <v>75000</v>
      </c>
      <c r="H375" s="2762"/>
      <c r="J375" s="2762">
        <f>'Part III-A-Uses of Funds'!J65</f>
        <v>75000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2451</v>
      </c>
      <c r="G376" s="2762">
        <f>'Part III-A-Uses of Funds'!G66</f>
        <v>37500</v>
      </c>
      <c r="H376" s="2762"/>
      <c r="J376" s="2762">
        <f>'Part III-A-Uses of Funds'!J66</f>
        <v>37500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2000</v>
      </c>
      <c r="H377" s="2762"/>
      <c r="J377" s="2762">
        <f>'Part III-A-Uses of Funds'!J67</f>
        <v>2000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2170</v>
      </c>
      <c r="G378" s="2762">
        <f>'Part III-A-Uses of Funds'!G68</f>
        <v>60000</v>
      </c>
      <c r="H378" s="2762"/>
      <c r="J378" s="2762">
        <f>'Part III-A-Uses of Funds'!J68</f>
        <v>60000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40000</v>
      </c>
      <c r="H379" s="2762"/>
      <c r="J379" s="2762">
        <f>'Part III-A-Uses of Funds'!J69</f>
        <v>40000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903828</v>
      </c>
      <c r="H383" s="2792"/>
      <c r="J383" s="2792">
        <f>SUM(J371:J382)</f>
        <v>720828</v>
      </c>
      <c r="K383" s="2792"/>
      <c r="L383" s="2795"/>
      <c r="M383" s="2792">
        <f>SUM(M371:M382)</f>
        <v>0</v>
      </c>
      <c r="N383" s="2792"/>
      <c r="P383" s="2792">
        <f>SUM(P371:P382)</f>
        <v>0</v>
      </c>
      <c r="Q383" s="2792"/>
      <c r="S383" s="2792">
        <f>SUM(S371:S382)</f>
        <v>183000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207360</v>
      </c>
      <c r="H385" s="2762"/>
      <c r="J385" s="2762">
        <f>'Part III-A-Uses of Funds'!J75</f>
        <v>207360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51840</v>
      </c>
      <c r="H386" s="2762"/>
      <c r="J386" s="2762">
        <f>'Part III-A-Uses of Funds'!J76</f>
        <v>51840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50000</v>
      </c>
      <c r="H387" s="2762"/>
      <c r="J387" s="2762">
        <f>'Part III-A-Uses of Funds'!J77</f>
        <v>50000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20000</v>
      </c>
      <c r="H388" s="2762"/>
      <c r="J388" s="2762">
        <f>'Part III-A-Uses of Funds'!J78</f>
        <v>20000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18000</v>
      </c>
      <c r="H389" s="2762"/>
      <c r="J389" s="2762">
        <f>'Part III-A-Uses of Funds'!J79</f>
        <v>18000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20000</v>
      </c>
      <c r="H390" s="2762"/>
      <c r="J390" s="2762">
        <f>'Part III-A-Uses of Funds'!J80</f>
        <v>20000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45000</v>
      </c>
      <c r="H391" s="2762"/>
      <c r="J391" s="2762">
        <f>'Part III-A-Uses of Funds'!J81</f>
        <v>45000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120000</v>
      </c>
      <c r="H392" s="2762"/>
      <c r="J392" s="2762">
        <f>'Part III-A-Uses of Funds'!J82</f>
        <v>120000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25000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18000</v>
      </c>
      <c r="H394" s="2762"/>
      <c r="J394" s="2762">
        <f>'Part III-A-Uses of Funds'!J84</f>
        <v>18000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 xml:space="preserve">Landscaping </v>
      </c>
      <c r="D395" s="2799"/>
      <c r="E395" s="2799"/>
      <c r="F395" s="2799"/>
      <c r="G395" s="2762">
        <f>'Part III-A-Uses of Funds'!G85</f>
        <v>15000</v>
      </c>
      <c r="H395" s="2762"/>
      <c r="J395" s="2762">
        <f>'Part III-A-Uses of Funds'!J85</f>
        <v>15000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590200</v>
      </c>
      <c r="H396" s="2792"/>
      <c r="J396" s="2792">
        <f>SUM(J385:J395)</f>
        <v>590200</v>
      </c>
      <c r="K396" s="2792"/>
      <c r="L396" s="2795"/>
      <c r="M396" s="2792">
        <f>SUM(M385:M395)</f>
        <v>0</v>
      </c>
      <c r="N396" s="2792"/>
      <c r="P396" s="2792">
        <f>SUM(P385:P395)</f>
        <v>0</v>
      </c>
      <c r="Q396" s="2792"/>
      <c r="S396" s="2792">
        <f>SUM(S385:S395)</f>
        <v>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4405.9722222222226</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58971</v>
      </c>
      <c r="H398" s="2762"/>
      <c r="J398" s="2762">
        <f>'Part III-A-Uses of Funds'!J88</f>
        <v>58971</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20481</v>
      </c>
      <c r="H399" s="2762"/>
      <c r="J399" s="2762">
        <f>'Part III-A-Uses of Funds'!J89</f>
        <v>20481</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107550</v>
      </c>
      <c r="H400" s="2762"/>
      <c r="J400" s="2762">
        <f>'Part III-A-Uses of Funds'!J90</f>
        <v>107558</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130228</v>
      </c>
      <c r="H401" s="2762"/>
      <c r="J401" s="2762">
        <f>'Part III-A-Uses of Funds'!J91</f>
        <v>130228</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317230</v>
      </c>
      <c r="H402" s="2792"/>
      <c r="J402" s="2792">
        <f>SUM(J398:J401)</f>
        <v>317238</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61000</v>
      </c>
      <c r="H407" s="2762"/>
      <c r="J407" s="2792"/>
      <c r="K407" s="2792"/>
      <c r="L407" s="2795"/>
      <c r="M407" s="2792"/>
      <c r="N407" s="2792"/>
      <c r="P407" s="2792"/>
      <c r="Q407" s="2792"/>
      <c r="S407" s="2762">
        <f>'Part III-A-Uses of Funds'!S97</f>
        <v>61000</v>
      </c>
      <c r="T407" s="2762"/>
      <c r="V407" s="2796"/>
      <c r="W407" s="2797"/>
      <c r="X407" s="2797"/>
      <c r="AZ407" s="2702" t="s">
        <v>6390</v>
      </c>
      <c r="BA407" s="2682">
        <v>97</v>
      </c>
    </row>
    <row r="408" spans="1:53" s="2681" customFormat="1" ht="12" customHeight="1">
      <c r="B408" s="2681" t="s">
        <v>1200</v>
      </c>
      <c r="G408" s="2762">
        <f>'Part III-A-Uses of Funds'!G98</f>
        <v>65000</v>
      </c>
      <c r="H408" s="2762"/>
      <c r="J408" s="2792"/>
      <c r="K408" s="2792"/>
      <c r="L408" s="2795"/>
      <c r="M408" s="2792"/>
      <c r="N408" s="2792"/>
      <c r="P408" s="2792"/>
      <c r="Q408" s="2792"/>
      <c r="S408" s="2762">
        <f>'Part III-A-Uses of Funds'!S98</f>
        <v>65000</v>
      </c>
      <c r="T408" s="2762"/>
      <c r="V408" s="2796"/>
      <c r="W408" s="2797"/>
      <c r="X408" s="2797"/>
      <c r="AZ408" s="2702"/>
      <c r="BA408" s="2682">
        <v>98</v>
      </c>
    </row>
    <row r="409" spans="1:53" s="2681" customFormat="1" ht="12" customHeight="1">
      <c r="B409" s="2681" t="s">
        <v>1201</v>
      </c>
      <c r="G409" s="2762">
        <f>'Part III-A-Uses of Funds'!G99</f>
        <v>45000</v>
      </c>
      <c r="H409" s="2762"/>
      <c r="J409" s="2792"/>
      <c r="K409" s="2792"/>
      <c r="L409" s="2795"/>
      <c r="M409" s="2792"/>
      <c r="N409" s="2792"/>
      <c r="P409" s="2792"/>
      <c r="Q409" s="2792"/>
      <c r="S409" s="2762">
        <f>'Part III-A-Uses of Funds'!S99</f>
        <v>45000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 xml:space="preserve">Perm Loan App Processing Fee, Expense Deposit, Legal Deposit </v>
      </c>
      <c r="D412" s="2799"/>
      <c r="E412" s="2799"/>
      <c r="F412" s="2799"/>
      <c r="G412" s="2762">
        <f>'Part III-A-Uses of Funds'!G102</f>
        <v>25000</v>
      </c>
      <c r="H412" s="2762"/>
      <c r="J412" s="2792"/>
      <c r="K412" s="2792"/>
      <c r="L412" s="2795"/>
      <c r="M412" s="2792"/>
      <c r="N412" s="2792"/>
      <c r="P412" s="2792"/>
      <c r="Q412" s="2792"/>
      <c r="S412" s="2762">
        <f>'Part III-A-Uses of Funds'!S102</f>
        <v>25000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196000</v>
      </c>
      <c r="H413" s="2792"/>
      <c r="J413" s="2792"/>
      <c r="K413" s="2792"/>
      <c r="L413" s="2795"/>
      <c r="M413" s="2792"/>
      <c r="N413" s="2792"/>
      <c r="P413" s="2792"/>
      <c r="Q413" s="2792"/>
      <c r="S413" s="2792">
        <f>SUM(S407:S412)</f>
        <v>196000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1000</v>
      </c>
      <c r="H415" s="2762"/>
      <c r="J415" s="2795"/>
      <c r="K415" s="2795"/>
      <c r="L415" s="2795"/>
      <c r="M415" s="2795"/>
      <c r="N415" s="2795"/>
      <c r="P415" s="2795"/>
      <c r="Q415" s="2795"/>
      <c r="S415" s="2762">
        <f>'Part III-A-Uses of Funds'!S105</f>
        <v>1000</v>
      </c>
      <c r="T415" s="2762"/>
      <c r="V415" s="2796"/>
      <c r="W415" s="2797"/>
      <c r="X415" s="2797"/>
      <c r="Y415" s="2683" t="s">
        <v>6712</v>
      </c>
      <c r="AA415" s="2833" t="s">
        <v>6655</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72</v>
      </c>
      <c r="AZ416" s="2702" t="s">
        <v>6391</v>
      </c>
      <c r="BA416" s="2682">
        <v>106</v>
      </c>
    </row>
    <row r="417" spans="1:53" s="2681" customFormat="1" ht="12.6" customHeight="1">
      <c r="B417" s="2681" t="s">
        <v>3321</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6717</v>
      </c>
      <c r="AB417" s="2692"/>
      <c r="AC417" s="2692"/>
      <c r="AD417" s="2692"/>
      <c r="AF417" s="2839" t="s">
        <v>6718</v>
      </c>
      <c r="AZ417" s="2702" t="s">
        <v>6392</v>
      </c>
      <c r="BA417" s="2682">
        <v>107</v>
      </c>
    </row>
    <row r="418" spans="1:53" s="2681" customFormat="1" ht="12.6" customHeight="1">
      <c r="B418" s="2681" t="s">
        <v>486</v>
      </c>
      <c r="E418" s="2840">
        <f>ROUNDUP('DCA Underwriting Assumptions'!$Q$53*J501,0)</f>
        <v>66400</v>
      </c>
      <c r="F418" s="2840"/>
      <c r="G418" s="2762">
        <f>'Part III-A-Uses of Funds'!G108</f>
        <v>66400</v>
      </c>
      <c r="H418" s="2762"/>
      <c r="J418" s="2841" t="str">
        <f>IF(E418&gt;G418,"WARNING!  LIHTC Allocation Fee proposed is below minimum required.","")</f>
        <v/>
      </c>
      <c r="K418" s="2795"/>
      <c r="L418" s="2795"/>
      <c r="M418" s="2795"/>
      <c r="N418" s="2795"/>
      <c r="P418" s="2795"/>
      <c r="Q418" s="2795"/>
      <c r="S418" s="2762">
        <f>'Part III-A-Uses of Funds'!S108</f>
        <v>66400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57600</v>
      </c>
      <c r="F419" s="2840"/>
      <c r="G419" s="2762">
        <f>'Part III-A-Uses of Funds'!G109</f>
        <v>57600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57600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72</v>
      </c>
      <c r="AF423" s="2843">
        <f>IF($AD$105="Income Averaging",AD423*'DCA Underwriting Assumptions'!$Q$58,AD423*'DCA Underwriting Assumptions'!$Q$57)</f>
        <v>57600</v>
      </c>
      <c r="AZ423" s="2702" t="s">
        <v>6394</v>
      </c>
      <c r="BA423" s="2682">
        <v>113</v>
      </c>
    </row>
    <row r="424" spans="1:53" s="2681" customFormat="1" ht="12.6" customHeight="1">
      <c r="F424" s="2800" t="s">
        <v>184</v>
      </c>
      <c r="G424" s="2792">
        <f>SUM(G415:G423)</f>
        <v>134500</v>
      </c>
      <c r="H424" s="2792"/>
      <c r="J424" s="2795"/>
      <c r="K424" s="2795"/>
      <c r="L424" s="2795"/>
      <c r="M424" s="2795"/>
      <c r="N424" s="2795"/>
      <c r="P424" s="2795"/>
      <c r="Q424" s="2795"/>
      <c r="S424" s="2792">
        <f>SUM(S415:S423)</f>
        <v>134500</v>
      </c>
      <c r="T424" s="2792"/>
      <c r="V424" s="2796">
        <f>SUM(V415:V423)</f>
        <v>0</v>
      </c>
      <c r="W424" s="2846"/>
      <c r="X424" s="2846"/>
      <c r="AA424" s="2692" t="s">
        <v>6488</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72</v>
      </c>
      <c r="AF425" s="2843">
        <f>SUM(AF423:AF424)</f>
        <v>57600</v>
      </c>
      <c r="AZ425" s="2751"/>
      <c r="BA425" s="2682">
        <v>115</v>
      </c>
    </row>
    <row r="426" spans="1:53" s="2681" customFormat="1" ht="12.6" customHeight="1">
      <c r="B426" s="2681" t="s">
        <v>267</v>
      </c>
      <c r="G426" s="2762">
        <f>'Part III-A-Uses of Funds'!G116</f>
        <v>1000</v>
      </c>
      <c r="H426" s="2762"/>
      <c r="J426" s="2792"/>
      <c r="K426" s="2792"/>
      <c r="L426" s="2795"/>
      <c r="M426" s="2792"/>
      <c r="N426" s="2792"/>
      <c r="P426" s="2792"/>
      <c r="Q426" s="2792"/>
      <c r="S426" s="2762">
        <f>'Part III-A-Uses of Funds'!S116</f>
        <v>1000</v>
      </c>
      <c r="T426" s="2762"/>
      <c r="V426" s="2796"/>
      <c r="W426" s="2797"/>
      <c r="X426" s="2797"/>
      <c r="AZ426" s="2751"/>
      <c r="BA426" s="2682">
        <v>116</v>
      </c>
    </row>
    <row r="427" spans="1:53" s="2681" customFormat="1" ht="12.6" customHeight="1">
      <c r="B427" s="2681" t="s">
        <v>268</v>
      </c>
      <c r="G427" s="2762">
        <f>'Part III-A-Uses of Funds'!G117</f>
        <v>3000</v>
      </c>
      <c r="H427" s="2762"/>
      <c r="J427" s="2792"/>
      <c r="K427" s="2792"/>
      <c r="L427" s="2795"/>
      <c r="M427" s="2792"/>
      <c r="N427" s="2792"/>
      <c r="P427" s="2792"/>
      <c r="Q427" s="2792"/>
      <c r="S427" s="2762">
        <f>'Part III-A-Uses of Funds'!S117</f>
        <v>3000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4000</v>
      </c>
      <c r="H430" s="2792"/>
      <c r="J430" s="2792"/>
      <c r="K430" s="2792"/>
      <c r="L430" s="2795"/>
      <c r="M430" s="2792"/>
      <c r="N430" s="2792"/>
      <c r="P430" s="2792"/>
      <c r="Q430" s="2792"/>
      <c r="S430" s="2792">
        <f>SUM(S426:S429)</f>
        <v>4000</v>
      </c>
      <c r="T430" s="2792"/>
      <c r="V430" s="2796">
        <f>SUM(V426:V429)</f>
        <v>0</v>
      </c>
      <c r="W430" s="2797"/>
      <c r="X430" s="2797"/>
      <c r="AC430" s="2848" t="s">
        <v>3927</v>
      </c>
      <c r="AD430" s="2848" t="s">
        <v>3928</v>
      </c>
      <c r="AE430" s="2848" t="s">
        <v>3931</v>
      </c>
      <c r="AF430" s="2849" t="s">
        <v>3929</v>
      </c>
      <c r="AG430" s="2848" t="s">
        <v>3920</v>
      </c>
      <c r="AH430" s="2848" t="s">
        <v>6749</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462000</v>
      </c>
      <c r="H432" s="2762"/>
      <c r="J432" s="2762">
        <f>'Part III-A-Uses of Funds'!J122</f>
        <v>462000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1408000</v>
      </c>
      <c r="AG432" s="2855">
        <f>'DCA Underwriting Assumptions'!$Q$72</f>
        <v>2000000</v>
      </c>
      <c r="AH432" s="2769">
        <f>MIN(AF432,AG432)</f>
        <v>1408000</v>
      </c>
      <c r="AI432" s="2769"/>
      <c r="AZ432" s="2751"/>
      <c r="BA432" s="2682">
        <v>122</v>
      </c>
    </row>
    <row r="433" spans="1:53" s="2681" customFormat="1" ht="12.6" customHeight="1">
      <c r="B433" s="2681" t="s">
        <v>3414</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33000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1408000</v>
      </c>
      <c r="AG435" s="2855">
        <f>'DCA Underwriting Assumptions'!$Q$73</f>
        <v>3500000</v>
      </c>
      <c r="AH435" s="2769">
        <f>MIN(AF435,AG435)</f>
        <v>1408000</v>
      </c>
      <c r="AI435" s="2769"/>
      <c r="AZ435" s="2751"/>
      <c r="BA435" s="2682">
        <v>125</v>
      </c>
    </row>
    <row r="436" spans="1:53" s="2681" customFormat="1" ht="12.6" customHeight="1">
      <c r="B436" s="2681" t="s">
        <v>1717</v>
      </c>
      <c r="F436" s="2773">
        <f>IF($G$127=0,0,G436/$G$127)</f>
        <v>0</v>
      </c>
      <c r="G436" s="2762">
        <f>'Part III-A-Uses of Funds'!G126</f>
        <v>1386000</v>
      </c>
      <c r="H436" s="2762"/>
      <c r="J436" s="2762">
        <f>'Part III-A-Uses of Funds'!J126</f>
        <v>1386000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1848000</v>
      </c>
      <c r="H437" s="2792"/>
      <c r="J437" s="2792">
        <f>SUM(J432:J436)</f>
        <v>1848000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33000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15000</v>
      </c>
      <c r="H439" s="2762"/>
      <c r="J439" s="2836"/>
      <c r="K439" s="2836"/>
      <c r="L439" s="2836"/>
      <c r="M439" s="2836"/>
      <c r="N439" s="2836"/>
      <c r="P439" s="2836"/>
      <c r="Q439" s="2836"/>
      <c r="S439" s="2762">
        <f>'Part III-A-Uses of Funds'!S129</f>
        <v>15000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81015</v>
      </c>
      <c r="G440" s="2762">
        <f>'Part III-A-Uses of Funds'!G130</f>
        <v>81015</v>
      </c>
      <c r="H440" s="2762"/>
      <c r="J440" s="2861" t="str">
        <f>IF(E440&gt;G440,"WARNING! Rent-Up Reserves proposed is below minimum - add comment.","")</f>
        <v/>
      </c>
      <c r="K440" s="2861"/>
      <c r="L440" s="2795"/>
      <c r="M440" s="2792"/>
      <c r="N440" s="2792"/>
      <c r="P440" s="2792"/>
      <c r="Q440" s="2792"/>
      <c r="S440" s="2762">
        <f>'Part III-A-Uses of Funds'!S130</f>
        <v>81015</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354551.55164700618</v>
      </c>
      <c r="G441" s="2762">
        <f>'Part III-A-Uses of Funds'!G131</f>
        <v>354552</v>
      </c>
      <c r="H441" s="2762"/>
      <c r="J441" s="2861" t="str">
        <f>IF(E441&gt;G441,"WARNING! ODR proposed is below minimum - add comment.","")</f>
        <v/>
      </c>
      <c r="K441" s="2836"/>
      <c r="L441" s="2836"/>
      <c r="M441" s="2836"/>
      <c r="N441" s="2836"/>
      <c r="P441" s="2836"/>
      <c r="Q441" s="2836"/>
      <c r="S441" s="2762">
        <f>'Part III-A-Uses of Funds'!S131</f>
        <v>354552</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208.33333333333334</v>
      </c>
      <c r="G443" s="2762">
        <f>'Part III-A-Uses of Funds'!G133</f>
        <v>15000</v>
      </c>
      <c r="H443" s="2762"/>
      <c r="J443" s="2762">
        <f>'Part III-A-Uses of Funds'!J133</f>
        <v>15000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 xml:space="preserve">FedEx, UPS, Copying, etc. </v>
      </c>
      <c r="D444" s="2799"/>
      <c r="E444" s="2799"/>
      <c r="F444" s="2799"/>
      <c r="G444" s="2762">
        <f>'Part III-A-Uses of Funds'!G134</f>
        <v>5008</v>
      </c>
      <c r="H444" s="2762"/>
      <c r="J444" s="2762">
        <f>'Part III-A-Uses of Funds'!J134</f>
        <v>5008</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470575</v>
      </c>
      <c r="H445" s="2792"/>
      <c r="J445" s="2792">
        <f>SUM(J443:J444)</f>
        <v>20008</v>
      </c>
      <c r="K445" s="2792"/>
      <c r="L445" s="2795"/>
      <c r="M445" s="2792">
        <f>SUM(M443:M444)</f>
        <v>0</v>
      </c>
      <c r="N445" s="2792"/>
      <c r="P445" s="2792">
        <f>SUM(P443:P444)</f>
        <v>0</v>
      </c>
      <c r="Q445" s="2792"/>
      <c r="S445" s="2792">
        <f>SUM(S439:S444)</f>
        <v>450567</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18498933</v>
      </c>
      <c r="H456" s="2792"/>
      <c r="J456" s="2792">
        <f>J328+J334+J338+J346+J351+J356+J365+J383+J396+J402+J413+J424+J430+J437+J445+J454</f>
        <v>15330874</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3168067</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256929.625</v>
      </c>
      <c r="E458" s="2868"/>
      <c r="F458" s="2862" t="s">
        <v>2489</v>
      </c>
      <c r="G458" s="2868">
        <f>IF('Part V-Revenues &amp; Expenses'!$K$175=0,0,G456/'Part V-Revenues &amp; Expenses'!$K$175)</f>
        <v>228.10028360049321</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15330874</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15330874</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15330874</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0.88888888888888884</v>
      </c>
      <c r="K477" s="2874"/>
      <c r="M477" s="2874">
        <f>MIN('Part V-Revenues &amp; Expenses'!$P$63/'Part V-Revenues &amp; Expenses'!$P$65,'Part V-Revenues &amp; Expenses'!$P$164/'Part V-Revenues &amp; Expenses'!$P$166)</f>
        <v>0.88888888888888884</v>
      </c>
      <c r="N477" s="2874"/>
      <c r="P477" s="2874">
        <f>MIN('Part V-Revenues &amp; Expenses'!$P$63/'Part V-Revenues &amp; Expenses'!$P$65,'Part V-Revenues &amp; Expenses'!$P$164/'Part V-Revenues &amp; Expenses'!$P$166)</f>
        <v>0.88888888888888884</v>
      </c>
      <c r="Q477" s="2874"/>
      <c r="R477" s="2875"/>
      <c r="S477" s="2875"/>
      <c r="T477" s="2875"/>
      <c r="V477" s="2796"/>
      <c r="W477" s="2797"/>
      <c r="X477" s="2797"/>
      <c r="AZ477" s="2702"/>
      <c r="BA477" s="2682">
        <v>167</v>
      </c>
    </row>
    <row r="478" spans="2:53" s="2681" customFormat="1" ht="14.1" customHeight="1">
      <c r="B478" s="2681" t="s">
        <v>1896</v>
      </c>
      <c r="J478" s="2769">
        <f>J476*J477</f>
        <v>13627443.555555554</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1226469.92</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1226469</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18498933</v>
      </c>
      <c r="K486" s="2769"/>
      <c r="L486" s="2769"/>
      <c r="N486" s="2872" t="s">
        <v>6723</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6100000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12398933</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1239893.3</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1.4</v>
      </c>
      <c r="K492" s="2881"/>
      <c r="L492" s="2881"/>
      <c r="M492" s="2682" t="s">
        <v>1213</v>
      </c>
      <c r="N492" s="2882">
        <f>'Part III-A-Uses of Funds'!N182</f>
        <v>0.85</v>
      </c>
      <c r="O492" s="2882"/>
      <c r="P492" s="2682" t="s">
        <v>570</v>
      </c>
      <c r="Q492" s="2882">
        <f>'Part III-A-Uses of Funds'!Q182</f>
        <v>0.55000000000000004</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885638</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830000</v>
      </c>
      <c r="K497" s="2772"/>
      <c r="L497" s="2772"/>
      <c r="Q497" s="2692" t="s">
        <v>6255</v>
      </c>
      <c r="R497" s="2692"/>
      <c r="S497" s="2692" t="str">
        <f>'Part VIII Scoring Criteria'!$M$59</f>
        <v>Atlanta Metro</v>
      </c>
      <c r="T497" s="2692"/>
      <c r="U497" s="2682" t="str">
        <f>IF(OR(S497="Atlanta Metro", "Other Metro"), "Metro", IF(S497="Rural","Rural",""))</f>
        <v>Metro</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830000</v>
      </c>
      <c r="K499" s="2772"/>
      <c r="L499" s="2772"/>
      <c r="M499" s="2745" t="str">
        <f>IF(J497=0,"",IF(J499&gt;J497,"Request can't exceed Maximum - REVISE (Try Round Down)!",""))</f>
        <v/>
      </c>
      <c r="N499" s="2745"/>
      <c r="O499" s="2745"/>
      <c r="P499" s="2745"/>
      <c r="Q499" s="2847" t="s">
        <v>6553</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830000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To all applicants: in addition to your other comments, please provide methodology for determining applicable construction hard costs.
 Applicant utilized hard costs incurred on its most recently completed LIHTC project in Georgia to determine appropriate construction hard costs for Gibson Park .
    Interest for the bridge loan and construction loans is calculated at 325 bps above the 30-day BSBY rate with a floor of 75 bps resulting in a rate of 4.00%.  Interest on both loans is included in the bridge loan interest cell. The Construction Interest Expense Estimate can be found in TAB 2.
     Construction Legal Fees are paid to lender's cousel and are in line with what we've spent on recent closings.
Tap Fees:  The following fees have been provided from Fulton County, the City of Atlanta, and  the City of College Park.   Sewer Tap Fee:  $123,230 (Sewer 8" Meter) + $420 (Utility Plan Review Fee) + $6,578 (Residential Inspection Fee) = $130,288.    
Water Tap Fee:  $3,150 (8" Water Main) + $51,100 (RR-LS Comound) + $53,300 (RR-LS Fire Service) = $107,550
    Building  and Land Disturbance Permit Fees: Building Permits: $5,652 for the first $1,000,001, or fraction thereof, plus $3.65 for each addtional $1,000 plus an additional 30% of the permit value therefore:  $5,652 +[($11,160,000-$1,000,001)/$1,000) x $3.65] = $42,735.99; Permit Value= $42,735.99 x .3 = $12,820.798; Total Building Permit Cost: $42,735.99 + $12,820.798 = $55,556.79; Land Disturbance Permit Cost: $500 X 6.827 Acres = $3,414; 
$55,556.79 (Total Cost of Building Permit) + $3,414 (LDP) = $58,971
   Impact Fee: Performance Bond Required by the City of College Park is $3000 x Area in Acres: $3,000 x 6.827 Acres = $20,481; See TAB 2 for documentation. 
     Construction Inspection Fees are based on monthly site visits and reports for 16 months.  Our construction loan lender engages with a  third party of this service.  Additionally, DCA requires a Construction Compliance Inspector.  Applicant used costs from a 2021 project for this item:( $975 x 16 months) 
    Construction an Bridge Loan Financing Fees are calculated at .75%.   
    Operating Deficit Reserve is based on DCA's requirement of 6 months operating expenses plus 6 months of debt service. 
    Developer fee calculation is on DCA's per unit basis of $27,500 for units 1-50, $22,000 for units 51-70, and $16,500 for units 71-72 and capped at $2,000,000.
    Green Building Consultant Fee is based on recent similarly sized projects the Applicant has completed in Georgia. 
    Furniture Fixtures and Equipment includes $7,500 for Clubhouse furnishings and $7,500 for office equipment. 
    Accounting: DCA's  Costs are similar to accounting fees charged on recent similarly sized projects the Applicant has completed in Georgia and include the Cost Certification, Contractor's Cost Certificaton and 10% Carryover Report.
    Accessibilty Inspections &amp; Plan Review: $18,000 is based upon accessibility fees from recent similar LIHTC projects the Applicant completed in Georgia.</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Gibson Park   -  College Park  -  Fulton,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6761</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 xml:space="preserve">Front End Cost Review </v>
      </c>
      <c r="B516" s="2895"/>
      <c r="C516" s="2895"/>
      <c r="D516" s="2895"/>
      <c r="F516" s="2896" t="str">
        <f>'Part III-B-Other Items'!F9</f>
        <v>3rd party cost review is required on 9% projects.  Must be approved by DCA prior to closing.</v>
      </c>
      <c r="G516" s="2894"/>
      <c r="H516" s="2896" t="str">
        <f>'Part III-B-Other Items'!H9</f>
        <v>These costs are related to the construction of the building and are allowed in basis.</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5500</v>
      </c>
      <c r="C519" s="2897" t="s">
        <v>1666</v>
      </c>
      <c r="D519" s="2898">
        <f>'Part III-A-Uses of Funds'!$J$15+'Part III-A-Uses of Funds'!$M$15+'Part III-A-Uses of Funds'!$P$15</f>
        <v>5500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DCA Construction Inspection Fee</v>
      </c>
      <c r="B521" s="2895"/>
      <c r="C521" s="2895"/>
      <c r="D521" s="2895"/>
      <c r="F521" s="2896" t="str">
        <f>'Part III-B-Other Items'!F14</f>
        <v>DCA requires Construction Compliance Inspector monitoring services for 9% projects.</v>
      </c>
      <c r="G521" s="2894"/>
      <c r="H521" s="2896" t="str">
        <f>'Part III-B-Other Items'!H14</f>
        <v>These costs are related to the construction of the building and are allowed in basis.</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15600</v>
      </c>
      <c r="C524" s="2897" t="s">
        <v>1666</v>
      </c>
      <c r="D524" s="2898">
        <f>'Part III-A-Uses of Funds'!$J$16+'Part III-A-Uses of Funds'!$M$16+'Part III-A-Uses of Funds'!$P$16</f>
        <v>15600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 xml:space="preserve">Landscaping </v>
      </c>
      <c r="B549" s="2895"/>
      <c r="C549" s="2895"/>
      <c r="D549" s="2895"/>
      <c r="F549" s="2896" t="str">
        <f>'Part III-B-Other Items'!F42</f>
        <v xml:space="preserve">A landscaping plan will be required for permitting.  </v>
      </c>
      <c r="G549" s="2894"/>
      <c r="H549" s="2896" t="str">
        <f>'Part III-B-Other Items'!H42</f>
        <v xml:space="preserve">These costs are eligible just as other Professional Services costs are eligible.  </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15000</v>
      </c>
      <c r="C552" s="2897" t="s">
        <v>1666</v>
      </c>
      <c r="D552" s="2898">
        <f>'Part III-A-Uses of Funds'!$J$85+'Part III-A-Uses of Funds'!$M$85+'Part III-A-Uses of Funds'!$P$85</f>
        <v>15000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 xml:space="preserve">Perm Loan App Processing Fee, Expense Deposit, Legal Deposit </v>
      </c>
      <c r="B555" s="2895"/>
      <c r="C555" s="2895"/>
      <c r="D555" s="2895"/>
      <c r="F555" s="2896" t="str">
        <f>'Part III-B-Other Items'!F48</f>
        <v>This amount covers the up front costs to the perm lender for processing the perm loan application, a legal deposit and 3rd party reports needed to underwrite perm loan.</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25000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t="str">
        <f>'Part III-B-Other Items'!F65</f>
        <v xml:space="preserve"> </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 xml:space="preserve">FedEx, UPS, Copying, etc. </v>
      </c>
      <c r="B578" s="2895"/>
      <c r="C578" s="2895"/>
      <c r="D578" s="2895"/>
      <c r="F578" s="2896" t="str">
        <f>'Part III-B-Other Items'!F71</f>
        <v>This line item includes costs associated with printing and copying plans, specifications, applications and other project documents during the development process.  Also included are overnight delivery service costs and mailing costs.</v>
      </c>
      <c r="G578" s="2894"/>
      <c r="H578" s="2896" t="str">
        <f>'Part III-B-Other Items'!H71</f>
        <v>This line item includes costs associated with printing and copying plans, specifications, applications and other project documents during the development process.  Also included are overnight delivery service costs and mailing costs.</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5008</v>
      </c>
      <c r="C581" s="2897" t="s">
        <v>1666</v>
      </c>
      <c r="D581" s="2898">
        <f>'Part III-A-Uses of Funds'!$J$134+'Part III-A-Uses of Funds'!$M$134+'Part III-A-Uses of Funds'!$P$134</f>
        <v>5008</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Gibson Park ,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Local PHA</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 xml:space="preserve">City of College Park Housing Authority </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8</v>
      </c>
      <c r="K603" s="2912">
        <f>'Part IV-Utility Allowances'!K12</f>
        <v>10</v>
      </c>
      <c r="L603" s="2912">
        <f>'Part IV-Utility Allowances'!L12</f>
        <v>12</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9</v>
      </c>
      <c r="K604" s="2912">
        <f>'Part IV-Utility Allowances'!K13</f>
        <v>11</v>
      </c>
      <c r="L604" s="2912">
        <f>'Part IV-Utility Allowances'!L13</f>
        <v>14</v>
      </c>
      <c r="M604" s="2912">
        <f>'Part IV-Utility Allowances'!M13</f>
        <v>0</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24</v>
      </c>
      <c r="K605" s="2912">
        <f>'Part IV-Utility Allowances'!K14</f>
        <v>30</v>
      </c>
      <c r="L605" s="2912">
        <f>'Part IV-Utility Allowances'!L14</f>
        <v>37</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9</v>
      </c>
      <c r="K606" s="2912">
        <f>'Part IV-Utility Allowances'!K15</f>
        <v>11</v>
      </c>
      <c r="L606" s="2912">
        <f>'Part IV-Utility Allowances'!L15</f>
        <v>13</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33</v>
      </c>
      <c r="K609" s="2912">
        <f>'Part IV-Utility Allowances'!K18</f>
        <v>42</v>
      </c>
      <c r="L609" s="2912">
        <f>'Part IV-Utility Allowances'!L18</f>
        <v>51</v>
      </c>
      <c r="M609" s="2912">
        <f>'Part IV-Utility Allowances'!M18</f>
        <v>0</v>
      </c>
      <c r="O609" s="2688"/>
      <c r="P609" s="2688"/>
      <c r="Q609" s="2688"/>
    </row>
    <row r="610" spans="1:25" s="652" customFormat="1" ht="12" customHeight="1">
      <c r="B610" s="2550" t="s">
        <v>1293</v>
      </c>
      <c r="C610" s="2550"/>
      <c r="D610" s="2550" t="s">
        <v>6803</v>
      </c>
      <c r="E610" s="2912" t="str">
        <f>'Part IV-Utility Allowances'!E19</f>
        <v>Yes</v>
      </c>
      <c r="F610" s="2911" t="str">
        <f>'Part IV-Utility Allowances'!F19</f>
        <v>X</v>
      </c>
      <c r="G610" s="2911">
        <f>'Part IV-Utility Allowances'!G19</f>
        <v>0</v>
      </c>
      <c r="I610" s="2912">
        <f>'Part IV-Utility Allowances'!I19</f>
        <v>0</v>
      </c>
      <c r="J610" s="2912">
        <f>'Part IV-Utility Allowances'!J19</f>
        <v>84</v>
      </c>
      <c r="K610" s="2912">
        <f>'Part IV-Utility Allowances'!K19</f>
        <v>116</v>
      </c>
      <c r="L610" s="2912">
        <f>'Part IV-Utility Allowances'!L19</f>
        <v>142</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167</v>
      </c>
      <c r="K613" s="2910">
        <f>IF(SUM(K603:K612)=0,0,IF(OR($D603="&lt;&lt;Select Fuel &gt;&gt;",$D604="&lt;&lt;Select Fuel &gt;&gt;",$D605="&lt;&lt;Select Fuel &gt;&gt;"),"Select Fuel",IF($E610="&lt;Select&gt;","Submeter?",SUM(K603:K612))))</f>
        <v>220</v>
      </c>
      <c r="L613" s="2910">
        <f>IF(SUM(L603:L612)=0,0,IF(OR($D603="&lt;&lt;Select Fuel &gt;&gt;",$D604="&lt;&lt;Select Fuel &gt;&gt;",$D605="&lt;&lt;Select Fuel &gt;&gt;"),"Select Fuel",IF($E610="&lt;Select&gt;","Submeter?",SUM(L603:L612))))</f>
        <v>269</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 xml:space="preserve">Documentation regarding utility allowances can be found in TAB 02. </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Gibson Park , ,  County</v>
      </c>
      <c r="T640" s="2550" t="str">
        <f>A640</f>
        <v>PART FOUR - PROJECTED REVENUES &amp; EXPENSES  -  2022-0 Gibson Park ,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6766</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4075</v>
      </c>
      <c r="J645" s="2917" t="s">
        <v>742</v>
      </c>
      <c r="K645" s="2917" t="s">
        <v>3185</v>
      </c>
      <c r="L645" s="2922"/>
      <c r="M645" s="2922"/>
      <c r="N645" s="2922"/>
      <c r="O645" s="2927" t="s">
        <v>6080</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6486</v>
      </c>
      <c r="O646" s="2931" t="str">
        <f>'Part V-Revenues &amp; Expenses'!O8</f>
        <v xml:space="preserve">Novogradac Rent and Income Calculator </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3304</v>
      </c>
      <c r="I647" s="2925"/>
      <c r="J647" s="2933" t="s">
        <v>6090</v>
      </c>
      <c r="K647" s="2917" t="s">
        <v>6842</v>
      </c>
      <c r="L647" s="2135" t="s">
        <v>139</v>
      </c>
      <c r="M647" s="2135"/>
      <c r="N647" s="2917" t="s">
        <v>2185</v>
      </c>
      <c r="O647" s="2917" t="s">
        <v>6489</v>
      </c>
      <c r="P647" s="2918" t="s">
        <v>6843</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6490</v>
      </c>
      <c r="JY647" s="2918" t="s">
        <v>6490</v>
      </c>
      <c r="JZ647" s="2918" t="s">
        <v>6490</v>
      </c>
      <c r="KA647" s="2918" t="s">
        <v>6490</v>
      </c>
      <c r="KB647" s="2918" t="s">
        <v>6490</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6300</v>
      </c>
      <c r="KN647" s="2918" t="s">
        <v>6300</v>
      </c>
      <c r="KO647" s="2918" t="s">
        <v>6300</v>
      </c>
      <c r="KP647" s="2918" t="s">
        <v>6300</v>
      </c>
      <c r="KQ647" s="2918" t="s">
        <v>6300</v>
      </c>
      <c r="KR647" s="2918" t="s">
        <v>6491</v>
      </c>
      <c r="KS647" s="2918" t="s">
        <v>6491</v>
      </c>
      <c r="KT647" s="2918" t="s">
        <v>6491</v>
      </c>
      <c r="KU647" s="2918" t="s">
        <v>6491</v>
      </c>
      <c r="KV647" s="2918" t="s">
        <v>6491</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6503</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1</v>
      </c>
      <c r="D653" s="2940">
        <f>'Part V-Revenues &amp; Expenses'!D15</f>
        <v>1</v>
      </c>
      <c r="E653" s="2941">
        <f>'Part V-Revenues &amp; Expenses'!E15</f>
        <v>2</v>
      </c>
      <c r="F653" s="2941">
        <f>'Part V-Revenues &amp; Expenses'!F15</f>
        <v>800</v>
      </c>
      <c r="G653" s="2941">
        <f>'Part V-Revenues &amp; Expenses'!G15</f>
        <v>1294</v>
      </c>
      <c r="H653" s="2941">
        <f>'Part V-Revenues &amp; Expenses'!H15</f>
        <v>1294</v>
      </c>
      <c r="I653" s="2941">
        <f>'Part V-Revenues &amp; Expenses'!I15</f>
        <v>0</v>
      </c>
      <c r="J653" s="2941">
        <f>'Part V-Revenues &amp; Expenses'!J15</f>
        <v>0</v>
      </c>
      <c r="K653" s="2942">
        <f>'Part V-Revenues &amp; Expenses'!K15</f>
        <v>0</v>
      </c>
      <c r="L653" s="2943">
        <f t="shared" si="338"/>
        <v>1294</v>
      </c>
      <c r="M653" s="2943">
        <f t="shared" si="339"/>
        <v>2588</v>
      </c>
      <c r="N653" s="2775" t="str">
        <f>'Part V-Revenues &amp; Expenses'!N15</f>
        <v>No</v>
      </c>
      <c r="O653" s="2944" t="str">
        <f>'Part V-Revenues &amp; Expenses'!O15</f>
        <v>Low-Rise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f t="shared" si="39"/>
        <v>2</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f t="shared" si="154"/>
        <v>1600</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f t="shared" si="174"/>
        <v>2</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f t="shared" si="214"/>
        <v>2</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f t="shared" si="259"/>
        <v>2</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2</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2</v>
      </c>
      <c r="D654" s="2940">
        <f>'Part V-Revenues &amp; Expenses'!D16</f>
        <v>2</v>
      </c>
      <c r="E654" s="2941">
        <f>'Part V-Revenues &amp; Expenses'!E16</f>
        <v>4</v>
      </c>
      <c r="F654" s="2941">
        <f>'Part V-Revenues &amp; Expenses'!F16</f>
        <v>1100</v>
      </c>
      <c r="G654" s="2941">
        <f>'Part V-Revenues &amp; Expenses'!G16</f>
        <v>1552</v>
      </c>
      <c r="H654" s="2941">
        <f>'Part V-Revenues &amp; Expenses'!H16</f>
        <v>1552</v>
      </c>
      <c r="I654" s="2941">
        <f>'Part V-Revenues &amp; Expenses'!I16</f>
        <v>0</v>
      </c>
      <c r="J654" s="2941">
        <f>'Part V-Revenues &amp; Expenses'!J16</f>
        <v>0</v>
      </c>
      <c r="K654" s="2942">
        <f>'Part V-Revenues &amp; Expenses'!K16</f>
        <v>0</v>
      </c>
      <c r="L654" s="2943">
        <f t="shared" si="338"/>
        <v>1552</v>
      </c>
      <c r="M654" s="2943">
        <f t="shared" si="339"/>
        <v>6208</v>
      </c>
      <c r="N654" s="2775" t="str">
        <f>'Part V-Revenues &amp; Expenses'!N16</f>
        <v>No</v>
      </c>
      <c r="O654" s="2944" t="str">
        <f>'Part V-Revenues &amp; Expenses'!O16</f>
        <v>Low-Rise Apt</v>
      </c>
      <c r="P654" s="2775" t="str">
        <f>'Part V-Revenues &amp; Expenses'!P16</f>
        <v>New Construction</v>
      </c>
      <c r="Q654" s="2945" t="str">
        <f>'Part V-Revenues &amp; Expenses'!Q16</f>
        <v>No</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f t="shared" si="40"/>
        <v>4</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f t="shared" si="155"/>
        <v>4400</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f t="shared" si="175"/>
        <v>4</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f t="shared" si="215"/>
        <v>4</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f t="shared" si="260"/>
        <v>4</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4</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3</v>
      </c>
      <c r="D655" s="2940">
        <f>'Part V-Revenues &amp; Expenses'!D17</f>
        <v>2</v>
      </c>
      <c r="E655" s="2941">
        <f>'Part V-Revenues &amp; Expenses'!E17</f>
        <v>2</v>
      </c>
      <c r="F655" s="2941">
        <f>'Part V-Revenues &amp; Expenses'!F17</f>
        <v>1250</v>
      </c>
      <c r="G655" s="2941">
        <f>'Part V-Revenues &amp; Expenses'!G17</f>
        <v>1793</v>
      </c>
      <c r="H655" s="2941">
        <f>'Part V-Revenues &amp; Expenses'!H17</f>
        <v>1793</v>
      </c>
      <c r="I655" s="2941">
        <f>'Part V-Revenues &amp; Expenses'!I17</f>
        <v>0</v>
      </c>
      <c r="J655" s="2941">
        <f>'Part V-Revenues &amp; Expenses'!J17</f>
        <v>0</v>
      </c>
      <c r="K655" s="2942">
        <f>'Part V-Revenues &amp; Expenses'!K17</f>
        <v>0</v>
      </c>
      <c r="L655" s="2943">
        <f t="shared" ref="L655:L662" si="340">MAX(0,H655-I655-J655)</f>
        <v>1793</v>
      </c>
      <c r="M655" s="2943">
        <f t="shared" ref="M655:M662" si="341">MAX(0,E655*L655)</f>
        <v>3586</v>
      </c>
      <c r="N655" s="2775" t="str">
        <f>'Part V-Revenues &amp; Expenses'!N17</f>
        <v>No</v>
      </c>
      <c r="O655" s="2944" t="str">
        <f>'Part V-Revenues &amp; Expenses'!O17</f>
        <v>Low-Rise Apt</v>
      </c>
      <c r="P655" s="2775" t="str">
        <f>'Part V-Revenues &amp; Expenses'!P17</f>
        <v>New Construction</v>
      </c>
      <c r="Q655" s="2945" t="str">
        <f>'Part V-Revenues &amp; Expenses'!Q17</f>
        <v>No</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f t="shared" si="41"/>
        <v>2</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f t="shared" si="156"/>
        <v>2500</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f t="shared" si="176"/>
        <v>2</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f t="shared" si="216"/>
        <v>2</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f t="shared" si="261"/>
        <v>2</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2</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1</v>
      </c>
      <c r="F656" s="2941">
        <f>'Part V-Revenues &amp; Expenses'!F18</f>
        <v>800</v>
      </c>
      <c r="G656" s="2941">
        <f>'Part V-Revenues &amp; Expenses'!G18</f>
        <v>808</v>
      </c>
      <c r="H656" s="2941">
        <f>'Part V-Revenues &amp; Expenses'!H18</f>
        <v>808</v>
      </c>
      <c r="I656" s="2941">
        <f>'Part V-Revenues &amp; Expenses'!I18</f>
        <v>0</v>
      </c>
      <c r="J656" s="2941">
        <f>'Part V-Revenues &amp; Expenses'!J18</f>
        <v>167</v>
      </c>
      <c r="K656" s="2942">
        <f>'Part V-Revenues &amp; Expenses'!K18</f>
        <v>0</v>
      </c>
      <c r="L656" s="2943">
        <f t="shared" si="340"/>
        <v>641</v>
      </c>
      <c r="M656" s="2943">
        <f t="shared" si="341"/>
        <v>641</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1</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800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1</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1</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1</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1</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9</v>
      </c>
      <c r="F657" s="2941">
        <f>'Part V-Revenues &amp; Expenses'!F19</f>
        <v>1100</v>
      </c>
      <c r="G657" s="2941">
        <f>'Part V-Revenues &amp; Expenses'!G19</f>
        <v>970</v>
      </c>
      <c r="H657" s="2941">
        <f>'Part V-Revenues &amp; Expenses'!H19</f>
        <v>970</v>
      </c>
      <c r="I657" s="2941">
        <f>'Part V-Revenues &amp; Expenses'!I19</f>
        <v>0</v>
      </c>
      <c r="J657" s="2941">
        <f>'Part V-Revenues &amp; Expenses'!J19</f>
        <v>220</v>
      </c>
      <c r="K657" s="2942">
        <f>'Part V-Revenues &amp; Expenses'!K19</f>
        <v>0</v>
      </c>
      <c r="L657" s="2943">
        <f t="shared" si="340"/>
        <v>750</v>
      </c>
      <c r="M657" s="2943">
        <f t="shared" si="341"/>
        <v>6750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9</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9900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9</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9</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9</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9</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5</v>
      </c>
      <c r="F658" s="2941">
        <f>'Part V-Revenues &amp; Expenses'!F20</f>
        <v>1250</v>
      </c>
      <c r="G658" s="2941">
        <f>'Part V-Revenues &amp; Expenses'!G20</f>
        <v>1120</v>
      </c>
      <c r="H658" s="2941">
        <f>'Part V-Revenues &amp; Expenses'!H20</f>
        <v>1120</v>
      </c>
      <c r="I658" s="2941">
        <f>'Part V-Revenues &amp; Expenses'!I20</f>
        <v>0</v>
      </c>
      <c r="J658" s="2941">
        <f>'Part V-Revenues &amp; Expenses'!J20</f>
        <v>269</v>
      </c>
      <c r="K658" s="2942">
        <f>'Part V-Revenues &amp; Expenses'!K20</f>
        <v>0</v>
      </c>
      <c r="L658" s="2943">
        <f t="shared" si="340"/>
        <v>851</v>
      </c>
      <c r="M658" s="2943">
        <f t="shared" si="341"/>
        <v>4255</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5</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6250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5</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5</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5</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5</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10</v>
      </c>
      <c r="F659" s="2941">
        <f>'Part V-Revenues &amp; Expenses'!F21</f>
        <v>800</v>
      </c>
      <c r="G659" s="2941">
        <f>'Part V-Revenues &amp; Expenses'!G21</f>
        <v>970</v>
      </c>
      <c r="H659" s="2941">
        <f>'Part V-Revenues &amp; Expenses'!H21</f>
        <v>970</v>
      </c>
      <c r="I659" s="2941">
        <f>'Part V-Revenues &amp; Expenses'!I21</f>
        <v>0</v>
      </c>
      <c r="J659" s="2941">
        <f>'Part V-Revenues &amp; Expenses'!J21</f>
        <v>167</v>
      </c>
      <c r="K659" s="2942">
        <f>'Part V-Revenues &amp; Expenses'!K21</f>
        <v>0</v>
      </c>
      <c r="L659" s="2943">
        <f t="shared" si="340"/>
        <v>803</v>
      </c>
      <c r="M659" s="2943">
        <f t="shared" si="341"/>
        <v>8030</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10</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8000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10</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10</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10</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10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24</v>
      </c>
      <c r="F660" s="2941">
        <f>'Part V-Revenues &amp; Expenses'!F22</f>
        <v>1100</v>
      </c>
      <c r="G660" s="2941">
        <f>'Part V-Revenues &amp; Expenses'!G22</f>
        <v>1164</v>
      </c>
      <c r="H660" s="2941">
        <f>'Part V-Revenues &amp; Expenses'!H22</f>
        <v>1164</v>
      </c>
      <c r="I660" s="2941">
        <f>'Part V-Revenues &amp; Expenses'!I22</f>
        <v>0</v>
      </c>
      <c r="J660" s="2941">
        <f>'Part V-Revenues &amp; Expenses'!J22</f>
        <v>220</v>
      </c>
      <c r="K660" s="2942">
        <f>'Part V-Revenues &amp; Expenses'!K22</f>
        <v>0</v>
      </c>
      <c r="L660" s="2943">
        <f t="shared" si="340"/>
        <v>944</v>
      </c>
      <c r="M660" s="2943">
        <f t="shared" si="341"/>
        <v>22656</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24</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26400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24</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24</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24</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24</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15</v>
      </c>
      <c r="F661" s="2941">
        <f>'Part V-Revenues &amp; Expenses'!F23</f>
        <v>1250</v>
      </c>
      <c r="G661" s="2941">
        <f>'Part V-Revenues &amp; Expenses'!G23</f>
        <v>1344</v>
      </c>
      <c r="H661" s="2941">
        <f>'Part V-Revenues &amp; Expenses'!H23</f>
        <v>1344</v>
      </c>
      <c r="I661" s="2941">
        <f>'Part V-Revenues &amp; Expenses'!I23</f>
        <v>0</v>
      </c>
      <c r="J661" s="2941">
        <f>'Part V-Revenues &amp; Expenses'!J23</f>
        <v>269</v>
      </c>
      <c r="K661" s="2942">
        <f>'Part V-Revenues &amp; Expenses'!K23</f>
        <v>0</v>
      </c>
      <c r="L661" s="2943">
        <f t="shared" si="340"/>
        <v>1075</v>
      </c>
      <c r="M661" s="2943">
        <f t="shared" si="341"/>
        <v>16125</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15</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18750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15</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15</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15</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15</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72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78600</v>
      </c>
      <c r="H687" s="2953" t="s">
        <v>3768</v>
      </c>
      <c r="I687" s="2954" t="s">
        <v>3769</v>
      </c>
      <c r="J687" s="2955" t="str">
        <f>IF(P705=0,"",IF(SUM(P696:P700)/P705&gt;=0.4,"Pass","Fail"))</f>
        <v>Pass</v>
      </c>
      <c r="K687" s="475"/>
      <c r="L687" s="2950" t="s">
        <v>1226</v>
      </c>
      <c r="M687" s="2956">
        <f>SUM(M649:M686)</f>
        <v>70839</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10</v>
      </c>
      <c r="AJ687" s="2948">
        <f t="shared" si="344"/>
        <v>24</v>
      </c>
      <c r="AK687" s="2948">
        <f t="shared" si="344"/>
        <v>15</v>
      </c>
      <c r="AL687" s="2948">
        <f t="shared" si="344"/>
        <v>0</v>
      </c>
      <c r="AM687" s="2948">
        <f>SUM(AM649:AM686)</f>
        <v>0</v>
      </c>
      <c r="AN687" s="2948">
        <f>SUM(AN649:AN686)</f>
        <v>1</v>
      </c>
      <c r="AO687" s="2948">
        <f>SUM(AO649:AO686)</f>
        <v>9</v>
      </c>
      <c r="AP687" s="2948">
        <f>SUM(AP649:AP686)</f>
        <v>5</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2</v>
      </c>
      <c r="BI687" s="2948">
        <f t="shared" si="344"/>
        <v>4</v>
      </c>
      <c r="BJ687" s="2948">
        <f t="shared" si="344"/>
        <v>2</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8000</v>
      </c>
      <c r="EU687" s="2948">
        <f t="shared" si="344"/>
        <v>26400</v>
      </c>
      <c r="EV687" s="2948">
        <f t="shared" si="344"/>
        <v>18750</v>
      </c>
      <c r="EW687" s="2948">
        <f t="shared" si="344"/>
        <v>0</v>
      </c>
      <c r="EX687" s="2948">
        <f t="shared" si="344"/>
        <v>0</v>
      </c>
      <c r="EY687" s="2948">
        <f t="shared" si="344"/>
        <v>800</v>
      </c>
      <c r="EZ687" s="2948">
        <f t="shared" si="344"/>
        <v>9900</v>
      </c>
      <c r="FA687" s="2948">
        <f t="shared" si="344"/>
        <v>6250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1600</v>
      </c>
      <c r="FT687" s="2948">
        <f t="shared" si="346"/>
        <v>4400</v>
      </c>
      <c r="FU687" s="2948">
        <f t="shared" si="346"/>
        <v>2500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11</v>
      </c>
      <c r="GI687" s="2948">
        <f t="shared" si="346"/>
        <v>33</v>
      </c>
      <c r="GJ687" s="2948">
        <f t="shared" si="346"/>
        <v>20</v>
      </c>
      <c r="GK687" s="2948">
        <f t="shared" si="346"/>
        <v>0</v>
      </c>
      <c r="GL687" s="2948">
        <f t="shared" si="346"/>
        <v>0</v>
      </c>
      <c r="GM687" s="2948">
        <f t="shared" si="346"/>
        <v>2</v>
      </c>
      <c r="GN687" s="2948">
        <f t="shared" si="346"/>
        <v>4</v>
      </c>
      <c r="GO687" s="2948">
        <f t="shared" si="346"/>
        <v>2</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13</v>
      </c>
      <c r="IB687" s="2948">
        <f t="shared" si="347"/>
        <v>37</v>
      </c>
      <c r="IC687" s="2948">
        <f t="shared" si="347"/>
        <v>22</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13</v>
      </c>
      <c r="JU687" s="2948">
        <f t="shared" si="347"/>
        <v>37</v>
      </c>
      <c r="JV687" s="2948">
        <f t="shared" si="347"/>
        <v>22</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13</v>
      </c>
      <c r="MM687" s="2948">
        <f t="shared" si="348"/>
        <v>37</v>
      </c>
      <c r="MN687" s="2948">
        <f t="shared" si="348"/>
        <v>22</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57.65625</v>
      </c>
      <c r="C688" s="2957"/>
      <c r="D688" s="2910" t="s">
        <v>3678</v>
      </c>
      <c r="E688" s="2951">
        <f>SUM(E656:E686)</f>
        <v>64</v>
      </c>
      <c r="F688" s="2952">
        <f>(E656*F656+E657*F657+E658*F658+E659*F659+E660*F660+E661*F661+E662*F662+E663*F663+E664*F664+E665*F665+E666*F666+E667*F667+E668*F668+E669*F669+E670*F670+E671*F671+E672*F672+E673*F673+E674*F674+E675*F675+E676*F676+E677*F677+E678*F678+E679*F679+E680*F680+E681*F681+E682*F682+E683*F683+E684*F684+E685*F685+E686*F686)</f>
        <v>70100</v>
      </c>
      <c r="H688" s="2953"/>
      <c r="I688" s="2954" t="s">
        <v>3770</v>
      </c>
      <c r="J688" s="2955" t="str">
        <f>IF(P705=0,"",IF(SUM(P697:P700)/P705&gt;=0.2,"Pass","Fail"))</f>
        <v>Pass</v>
      </c>
      <c r="K688" s="475"/>
      <c r="L688" s="2950" t="s">
        <v>757</v>
      </c>
      <c r="M688" s="2956">
        <f>M687*12</f>
        <v>850068</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6651</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6653</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6500</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10</v>
      </c>
      <c r="M696" s="2962">
        <f>AJ687</f>
        <v>24</v>
      </c>
      <c r="N696" s="2962">
        <f>AK687</f>
        <v>15</v>
      </c>
      <c r="O696" s="2962">
        <f>AL687</f>
        <v>0</v>
      </c>
      <c r="P696" s="2962">
        <f t="shared" si="349"/>
        <v>49</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1</v>
      </c>
      <c r="M697" s="2962">
        <f>AO687</f>
        <v>9</v>
      </c>
      <c r="N697" s="2962">
        <f>AP687</f>
        <v>5</v>
      </c>
      <c r="O697" s="2962">
        <f>AQ687</f>
        <v>0</v>
      </c>
      <c r="P697" s="2962">
        <f t="shared" si="349"/>
        <v>15</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11</v>
      </c>
      <c r="M701" s="2962">
        <f>SUM(M694:M700)</f>
        <v>33</v>
      </c>
      <c r="N701" s="2962">
        <f>SUM(N694:N700)</f>
        <v>20</v>
      </c>
      <c r="O701" s="2962">
        <f>SUM(O694:O700)</f>
        <v>0</v>
      </c>
      <c r="P701" s="2962">
        <f t="shared" si="349"/>
        <v>64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2</v>
      </c>
      <c r="M702" s="2962">
        <f>BI687</f>
        <v>4</v>
      </c>
      <c r="N702" s="2962">
        <f>BJ687</f>
        <v>2</v>
      </c>
      <c r="O702" s="2962">
        <f>BK687</f>
        <v>0</v>
      </c>
      <c r="P702" s="2962">
        <f t="shared" si="349"/>
        <v>8</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13</v>
      </c>
      <c r="M703" s="2968">
        <f>SUM(M701:M702)</f>
        <v>37</v>
      </c>
      <c r="N703" s="2968">
        <f>SUM(N701:N702)</f>
        <v>22</v>
      </c>
      <c r="O703" s="2968">
        <f>SUM(O701:O702)</f>
        <v>0</v>
      </c>
      <c r="P703" s="2968">
        <f t="shared" si="349"/>
        <v>72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13</v>
      </c>
      <c r="M705" s="2962">
        <f>SUM(M703:M704)</f>
        <v>37</v>
      </c>
      <c r="N705" s="2962">
        <f>SUM(N703:N704)</f>
        <v>22</v>
      </c>
      <c r="O705" s="2962">
        <f>SUM(O703:O704)</f>
        <v>0</v>
      </c>
      <c r="P705" s="2962">
        <f t="shared" si="349"/>
        <v>72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0.76923076923076927</v>
      </c>
      <c r="M714" s="2973">
        <f t="shared" si="354"/>
        <v>0.64864864864864868</v>
      </c>
      <c r="N714" s="2973">
        <f t="shared" si="354"/>
        <v>0.68181818181818177</v>
      </c>
      <c r="O714" s="2973" t="str">
        <f t="shared" si="354"/>
        <v/>
      </c>
      <c r="P714" s="2973">
        <f t="shared" si="354"/>
        <v>0.68055555555555558</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8.8472222222222232</v>
      </c>
      <c r="M715" s="2975">
        <f>IF(OR(M696=0,P714="",M705=0),"",P714*M705)</f>
        <v>25.180555555555557</v>
      </c>
      <c r="N715" s="2975">
        <f>IF(OR(N696=0,P714="",N705=0),"",P714*N705)</f>
        <v>14.972222222222223</v>
      </c>
      <c r="O715" s="2975" t="str">
        <f>IF(OR(O696=0,P714="",O705=0),"",P714*O705)</f>
        <v/>
      </c>
      <c r="P715" s="2975">
        <f>IF(OR(P714="",P705=0),"",P714*P705)</f>
        <v>49</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1.1527777777777768</v>
      </c>
      <c r="M716" s="2975">
        <f t="shared" si="355"/>
        <v>-1.1805555555555571</v>
      </c>
      <c r="N716" s="2975">
        <f t="shared" si="355"/>
        <v>2.7777777777776791E-2</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7.6923076923076927E-2</v>
      </c>
      <c r="M717" s="2973">
        <f t="shared" si="356"/>
        <v>0.24324324324324326</v>
      </c>
      <c r="N717" s="2973">
        <f t="shared" si="356"/>
        <v>0.22727272727272727</v>
      </c>
      <c r="O717" s="2973" t="str">
        <f t="shared" si="356"/>
        <v/>
      </c>
      <c r="P717" s="2973">
        <f t="shared" si="356"/>
        <v>0.20833333333333334</v>
      </c>
    </row>
    <row r="718" spans="1:380">
      <c r="C718" s="2977"/>
      <c r="D718" s="2977"/>
      <c r="E718" s="2977"/>
      <c r="F718" s="652"/>
      <c r="G718" s="652"/>
      <c r="H718" s="2970" t="s">
        <v>6845</v>
      </c>
      <c r="I718" s="2971"/>
      <c r="J718" s="2550"/>
      <c r="K718" s="2975" t="str">
        <f>IF(OR(K697=0,P717="",K705=0),"",P717*K705)</f>
        <v/>
      </c>
      <c r="L718" s="2975">
        <f>IF(OR(L697=0,P717="",L705=0),"",P717*L705)</f>
        <v>2.7083333333333335</v>
      </c>
      <c r="M718" s="2975">
        <f>IF(OR(M697=0,P717="",M705=0),"",P717*M705)</f>
        <v>7.7083333333333339</v>
      </c>
      <c r="N718" s="2975">
        <f>IF(OR(N697=0,P717="",N705=0),"",P717*N705)</f>
        <v>4.5833333333333339</v>
      </c>
      <c r="O718" s="2975" t="str">
        <f>IF(OR(O697=0,P717="",O705=0),"",P717*O705)</f>
        <v/>
      </c>
      <c r="P718" s="2975">
        <f>IF(OR(P717="",P705=0),"",P717*P705)</f>
        <v>15</v>
      </c>
    </row>
    <row r="719" spans="1:380">
      <c r="C719" s="2977"/>
      <c r="D719" s="2977"/>
      <c r="E719" s="2977"/>
      <c r="F719" s="652"/>
      <c r="G719" s="2976"/>
      <c r="H719" s="2970" t="s">
        <v>6846</v>
      </c>
      <c r="I719" s="2971"/>
      <c r="J719" s="2550"/>
      <c r="K719" s="2975" t="str">
        <f t="shared" ref="K719:P719" si="357">IF(OR(K718="",K697=0),"", K697-K718)</f>
        <v/>
      </c>
      <c r="L719" s="2975">
        <f t="shared" si="357"/>
        <v>-1.7083333333333335</v>
      </c>
      <c r="M719" s="2975">
        <f t="shared" si="357"/>
        <v>1.2916666666666661</v>
      </c>
      <c r="N719" s="2975">
        <f t="shared" si="357"/>
        <v>0.41666666666666607</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11</v>
      </c>
      <c r="M751" s="2962">
        <f>GI687</f>
        <v>33</v>
      </c>
      <c r="N751" s="2962">
        <f>GJ687</f>
        <v>20</v>
      </c>
      <c r="O751" s="2962">
        <f>GK687</f>
        <v>0</v>
      </c>
      <c r="P751" s="2962">
        <f t="shared" ref="P751:P761" si="366">SUM(K751:O751)</f>
        <v>64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2</v>
      </c>
      <c r="M752" s="2962">
        <f>GN687</f>
        <v>4</v>
      </c>
      <c r="N752" s="2962">
        <f>GO687</f>
        <v>2</v>
      </c>
      <c r="O752" s="2962">
        <f>GP687</f>
        <v>0</v>
      </c>
      <c r="P752" s="2962">
        <f t="shared" si="366"/>
        <v>8</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13</v>
      </c>
      <c r="M753" s="2962">
        <f>SUM(M751:M752)+GS687</f>
        <v>37</v>
      </c>
      <c r="N753" s="2962">
        <f>SUM(N751:N752)+GT687</f>
        <v>22</v>
      </c>
      <c r="O753" s="2962">
        <f>SUM(O751:O752)+GU687</f>
        <v>0</v>
      </c>
      <c r="P753" s="2962">
        <f t="shared" si="366"/>
        <v>72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13</v>
      </c>
      <c r="M765" s="2962">
        <f t="shared" si="367"/>
        <v>37</v>
      </c>
      <c r="N765" s="2962">
        <f t="shared" si="367"/>
        <v>22</v>
      </c>
      <c r="O765" s="2962">
        <f t="shared" si="367"/>
        <v>0</v>
      </c>
      <c r="P765" s="2962">
        <f t="shared" si="367"/>
        <v>72</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13</v>
      </c>
      <c r="M766" s="2962">
        <f>JU687</f>
        <v>37</v>
      </c>
      <c r="N766" s="2962">
        <f>JV687</f>
        <v>22</v>
      </c>
      <c r="O766" s="2962">
        <f>JW687</f>
        <v>0</v>
      </c>
      <c r="P766" s="2962">
        <f t="shared" ref="P766:P781" si="368">SUM(K766:O766)</f>
        <v>72</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6485</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6492</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6487</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6488</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13</v>
      </c>
      <c r="M789" s="2962">
        <f t="shared" si="372"/>
        <v>37</v>
      </c>
      <c r="N789" s="2962">
        <f t="shared" si="372"/>
        <v>22</v>
      </c>
      <c r="O789" s="2962">
        <f t="shared" si="372"/>
        <v>0</v>
      </c>
      <c r="P789" s="2962">
        <f t="shared" si="370"/>
        <v>72</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6501</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8000</v>
      </c>
      <c r="M797" s="2986">
        <f>EU687</f>
        <v>26400</v>
      </c>
      <c r="N797" s="2986">
        <f>EV687</f>
        <v>18750</v>
      </c>
      <c r="O797" s="2986">
        <f>EW687</f>
        <v>0</v>
      </c>
      <c r="P797" s="2986">
        <f t="shared" si="373"/>
        <v>53150</v>
      </c>
      <c r="Q797" s="2987">
        <f t="shared" si="374"/>
        <v>1084.6938775510205</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800</v>
      </c>
      <c r="M798" s="2986">
        <f>EZ687</f>
        <v>9900</v>
      </c>
      <c r="N798" s="2986">
        <f>FA687</f>
        <v>6250</v>
      </c>
      <c r="O798" s="2986">
        <f>FB687</f>
        <v>0</v>
      </c>
      <c r="P798" s="2986">
        <f t="shared" si="373"/>
        <v>16950</v>
      </c>
      <c r="Q798" s="2987">
        <f t="shared" si="374"/>
        <v>1130</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8800</v>
      </c>
      <c r="M802" s="2988">
        <f>SUM(M795:M801)</f>
        <v>36300</v>
      </c>
      <c r="N802" s="2988">
        <f>SUM(N795:N801)</f>
        <v>25000</v>
      </c>
      <c r="O802" s="2988">
        <f>SUM(O795:O801)</f>
        <v>0</v>
      </c>
      <c r="P802" s="2988">
        <f>SUM(K802:O802)</f>
        <v>70100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1600</v>
      </c>
      <c r="M803" s="2986">
        <f>FT687</f>
        <v>4400</v>
      </c>
      <c r="N803" s="2986">
        <f>FU687</f>
        <v>2500</v>
      </c>
      <c r="O803" s="2986">
        <f>FV687</f>
        <v>0</v>
      </c>
      <c r="P803" s="2986">
        <f>SUM(K803:O803)</f>
        <v>8500</v>
      </c>
      <c r="Q803" s="2987">
        <f>IF(OR(P702=0,P702=""),"",P803/P702)</f>
        <v>1062.5</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10400</v>
      </c>
      <c r="M804" s="2988">
        <f>SUM(M802:M803)</f>
        <v>40700</v>
      </c>
      <c r="N804" s="2988">
        <f>SUM(N802:N803)</f>
        <v>27500</v>
      </c>
      <c r="O804" s="2988">
        <f>SUM(O802:O803)</f>
        <v>0</v>
      </c>
      <c r="P804" s="2988">
        <f>SUM(K804:O804)</f>
        <v>78600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10400</v>
      </c>
      <c r="M806" s="2986">
        <f>SUM(M804:M805)</f>
        <v>40700</v>
      </c>
      <c r="N806" s="2986">
        <f>SUM(N804:N805)</f>
        <v>27500</v>
      </c>
      <c r="O806" s="2986">
        <f>SUM(O804:O805)</f>
        <v>0</v>
      </c>
      <c r="P806" s="2986">
        <f>SUM(K806:O806)</f>
        <v>78600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800</v>
      </c>
      <c r="M809" s="2989">
        <f>IF(OR(M705="",M705=0),"",M806/M705)</f>
        <v>1100</v>
      </c>
      <c r="N809" s="2989">
        <f>IF(OR(N705="",N705=0),"",N806/N705)</f>
        <v>1250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6656</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2500</v>
      </c>
      <c r="L812" s="2764"/>
      <c r="Z812" s="2682">
        <v>68</v>
      </c>
    </row>
    <row r="813" spans="1:380" s="2681" customFormat="1" ht="13.35" customHeight="1">
      <c r="A813" s="2682"/>
      <c r="C813" s="2693" t="s">
        <v>242</v>
      </c>
      <c r="K813" s="2990">
        <f>P806+K812</f>
        <v>81100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17001.36</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64510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45000</v>
      </c>
      <c r="G859" s="3008"/>
      <c r="I859" s="2550" t="s">
        <v>1301</v>
      </c>
      <c r="L859" s="3008">
        <f>'Part V-Revenues &amp; Expenses'!L221</f>
        <v>0</v>
      </c>
      <c r="M859" s="3008"/>
      <c r="O859" s="3009">
        <f>+Q858/(P705*0.93)</f>
        <v>963.41099163679803</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37200</v>
      </c>
      <c r="G860" s="3008"/>
      <c r="I860" s="2550" t="s">
        <v>1302</v>
      </c>
      <c r="L860" s="3008">
        <f>'Part V-Revenues &amp; Expenses'!L222</f>
        <v>0</v>
      </c>
      <c r="M860" s="3008"/>
      <c r="O860" s="3009">
        <f>+Q858/(P705*0.93)/12</f>
        <v>80.284249303066503</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6641</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82200</v>
      </c>
      <c r="G865" s="2986"/>
      <c r="I865" s="2550" t="s">
        <v>1498</v>
      </c>
      <c r="L865" s="3008">
        <f>'Part V-Revenues &amp; Expenses'!L227</f>
        <v>4000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324060</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0</v>
      </c>
      <c r="M867" s="3008"/>
      <c r="N867" s="2925"/>
      <c r="O867" s="2967" t="s">
        <v>2488</v>
      </c>
      <c r="P867" s="3009">
        <f>+Q866/P705</f>
        <v>4500.833333333333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1000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1000</v>
      </c>
      <c r="G869" s="3008"/>
      <c r="K869" s="3010" t="s">
        <v>184</v>
      </c>
      <c r="L869" s="2989">
        <f>SUM(L865:L868)</f>
        <v>11000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1000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0</v>
      </c>
      <c r="G872" s="3008"/>
      <c r="I872" s="2550" t="s">
        <v>1298</v>
      </c>
      <c r="K872" s="2682" t="s">
        <v>3888</v>
      </c>
      <c r="O872" s="2550" t="s">
        <v>3088</v>
      </c>
      <c r="Q872" s="3015">
        <f>'Part V-Revenues &amp; Expenses'!Q234</f>
        <v>18000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10.416666666666666</v>
      </c>
      <c r="L873" s="3008">
        <f>'Part V-Revenues &amp; Expenses'!L235</f>
        <v>9000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3000</v>
      </c>
      <c r="G874" s="2986"/>
      <c r="I874" s="2550" t="s">
        <v>1292</v>
      </c>
      <c r="K874" s="2803" t="e">
        <f>L874/12/P705</f>
        <v>#VALUE!</v>
      </c>
      <c r="L874" s="3008" t="str">
        <f>'Part V-Revenues &amp; Expenses'!L236</f>
        <v xml:space="preserve"> </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10.416666666666666</v>
      </c>
      <c r="L875" s="3008">
        <f>'Part V-Revenues &amp; Expenses'!L237</f>
        <v>9000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11.574074074074074</v>
      </c>
      <c r="L876" s="3008">
        <f>'Part V-Revenues &amp; Expenses'!L238</f>
        <v>10000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10350</v>
      </c>
      <c r="G877" s="3008"/>
      <c r="I877" s="2550" t="s">
        <v>6854</v>
      </c>
      <c r="K877" s="2803">
        <f>L877/12/P705</f>
        <v>1.7361111111111112</v>
      </c>
      <c r="L877" s="3008">
        <f>'Part V-Revenues &amp; Expenses'!L239</f>
        <v>1500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4000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72 units x $250 =</v>
      </c>
      <c r="Q878" s="3021">
        <f>SUM(MK687:MO687)*'DCA Underwriting Assumptions'!$Q$29</f>
        <v>18000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9000</v>
      </c>
      <c r="G879" s="3008"/>
      <c r="K879" s="3010" t="s">
        <v>184</v>
      </c>
      <c r="L879" s="2989">
        <f>SUM(L873:L878)</f>
        <v>29500</v>
      </c>
      <c r="M879" s="2989"/>
      <c r="N879" s="2925"/>
      <c r="O879" s="2692" t="s">
        <v>6505</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4000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7000</v>
      </c>
      <c r="G881" s="3008"/>
      <c r="I881" s="2550" t="s">
        <v>1299</v>
      </c>
      <c r="O881" s="2950" t="s">
        <v>2468</v>
      </c>
      <c r="P881" s="3022">
        <f>SUM(MF687:MJ687)+SUM(MK687:MO687)+SUM(MP687:MT687)+P763</f>
        <v>72</v>
      </c>
      <c r="Q881" s="3022">
        <f>SUM(Q877:Q880)</f>
        <v>18000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6855</v>
      </c>
      <c r="L882" s="3008">
        <f>'Part V-Revenues &amp; Expenses'!L244</f>
        <v>70000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2500</v>
      </c>
      <c r="G883" s="3008"/>
      <c r="I883" s="2550" t="s">
        <v>140</v>
      </c>
      <c r="L883" s="3008">
        <f>'Part V-Revenues &amp; Expenses'!L245</f>
        <v>27000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36850</v>
      </c>
      <c r="G885" s="2986"/>
      <c r="K885" s="3010" t="s">
        <v>184</v>
      </c>
      <c r="L885" s="2989">
        <f>SUM(L881:L884)</f>
        <v>97000</v>
      </c>
      <c r="M885" s="2989"/>
      <c r="O885" s="2550" t="s">
        <v>2031</v>
      </c>
      <c r="Q885" s="2989">
        <f>Q866+Q872</f>
        <v>342060</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6657</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real estate taxes for the first year of operations were provided by TBG's property tax advisor, Ryan, LLC.  The real estate tax is derived by applying an income capitalization rate to the year 1 NOI to establish the fair market value.  40% of the fair market value is then used to calculate the projected assessed value.  The Fulton County millage rate is applied to this value to arrive at the budgeted expense reflected in the operating budget of our core application.
Insurance expense is based on our agent's estimate of $375.00 a unit annually, and a letter from Top Floor Insurance can be found in Tab 2 to substantiate this estimate.  
2021 Income Limits are used to calculate gross rents.
Income Limit Distribution Among Bedroom Sizes is within two units as required.
Expenses per unit are above DCA's minimun.Insurance expense is based on our agent's estimate of $375.00 a unit annually, and a letter from Top Floor Insurance can be found in Tab 2 to substantiate this estimate.  
Income Limit Distribution Among Bedroom Sizes is within two units as required</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Gibson Park , ,  County</v>
      </c>
      <c r="B897" s="2904"/>
      <c r="C897" s="2904"/>
      <c r="D897" s="2904"/>
      <c r="E897" s="2904"/>
      <c r="F897" s="2904"/>
      <c r="G897" s="2904"/>
      <c r="H897" s="2904"/>
      <c r="I897" s="2904"/>
      <c r="J897" s="2904"/>
      <c r="K897" s="2904"/>
      <c r="L897" s="2550"/>
      <c r="M897" s="2550"/>
      <c r="N897" s="2550" t="str">
        <f>A897</f>
        <v>PART SIX - OPERATING PRO FORMA  -  2022-0 Gibson Park ,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6856</v>
      </c>
      <c r="E901" s="2969"/>
      <c r="F901" s="2969"/>
      <c r="G901" s="3026">
        <f>'Part VI-Pro Forma'!G6</f>
        <v>4800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0.08</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850068</v>
      </c>
      <c r="C910" s="3035">
        <f>'Part VI-Pro Forma'!C15</f>
        <v>867069.36</v>
      </c>
      <c r="D910" s="3035">
        <f>'Part VI-Pro Forma'!D15</f>
        <v>884410.74719999998</v>
      </c>
      <c r="E910" s="3035">
        <f>'Part VI-Pro Forma'!E15</f>
        <v>902098.96214399999</v>
      </c>
      <c r="F910" s="3035">
        <f>'Part VI-Pro Forma'!F15</f>
        <v>920140.94138688</v>
      </c>
      <c r="G910" s="3035">
        <f>'Part VI-Pro Forma'!G15</f>
        <v>938543.76021461759</v>
      </c>
      <c r="H910" s="3035">
        <f>'Part VI-Pro Forma'!H15</f>
        <v>957314.63541891007</v>
      </c>
      <c r="I910" s="3035">
        <f>'Part VI-Pro Forma'!I15</f>
        <v>976460.928127288</v>
      </c>
      <c r="J910" s="3035">
        <f>'Part VI-Pro Forma'!J15</f>
        <v>995990.14668983384</v>
      </c>
      <c r="K910" s="3035">
        <f>'Part VI-Pro Forma'!K15</f>
        <v>1015909.9496236305</v>
      </c>
      <c r="N910" s="2846"/>
      <c r="O910" s="2846"/>
      <c r="S910" s="2918" t="s">
        <v>3411</v>
      </c>
      <c r="Z910" s="2751" t="s">
        <v>6468</v>
      </c>
      <c r="AA910" s="2671">
        <v>15</v>
      </c>
    </row>
    <row r="911" spans="1:27" s="652" customFormat="1" ht="13.35" customHeight="1">
      <c r="A911" s="652" t="s">
        <v>953</v>
      </c>
      <c r="B911" s="3035">
        <f>'Part VI-Pro Forma'!B16</f>
        <v>17001.36</v>
      </c>
      <c r="C911" s="3035">
        <f>'Part VI-Pro Forma'!C16</f>
        <v>17341.387200000001</v>
      </c>
      <c r="D911" s="3035">
        <f>'Part VI-Pro Forma'!D16</f>
        <v>17688.214943999999</v>
      </c>
      <c r="E911" s="3035">
        <f>'Part VI-Pro Forma'!E16</f>
        <v>18041.979242879999</v>
      </c>
      <c r="F911" s="3035">
        <f>'Part VI-Pro Forma'!F16</f>
        <v>18402.818827737599</v>
      </c>
      <c r="G911" s="3035">
        <f>'Part VI-Pro Forma'!G16</f>
        <v>18770.875204292352</v>
      </c>
      <c r="H911" s="3035">
        <f>'Part VI-Pro Forma'!H16</f>
        <v>19146.292708378201</v>
      </c>
      <c r="I911" s="3035">
        <f>'Part VI-Pro Forma'!I16</f>
        <v>19529.218562545761</v>
      </c>
      <c r="J911" s="3035">
        <f>'Part VI-Pro Forma'!J16</f>
        <v>19919.802933796676</v>
      </c>
      <c r="K911" s="3035">
        <f>'Part VI-Pro Forma'!K16</f>
        <v>20318.198992472611</v>
      </c>
      <c r="N911" s="2846"/>
      <c r="O911" s="2846"/>
      <c r="S911" s="2918"/>
      <c r="Z911" s="2751" t="s">
        <v>6468</v>
      </c>
      <c r="AA911" s="2671">
        <v>16</v>
      </c>
    </row>
    <row r="912" spans="1:27" s="652" customFormat="1" ht="13.35" customHeight="1">
      <c r="A912" s="652" t="s">
        <v>2217</v>
      </c>
      <c r="B912" s="3035">
        <f>'Part VI-Pro Forma'!B17</f>
        <v>-60694.855200000005</v>
      </c>
      <c r="C912" s="3035">
        <f>'Part VI-Pro Forma'!C17</f>
        <v>-61908.752304000001</v>
      </c>
      <c r="D912" s="3035">
        <f>'Part VI-Pro Forma'!D17</f>
        <v>-63146.927350080005</v>
      </c>
      <c r="E912" s="3035">
        <f>'Part VI-Pro Forma'!E17</f>
        <v>-64409.865897081603</v>
      </c>
      <c r="F912" s="3035">
        <f>'Part VI-Pro Forma'!F17</f>
        <v>-65698.063215023241</v>
      </c>
      <c r="G912" s="3035">
        <f>'Part VI-Pro Forma'!G17</f>
        <v>-67012.024479323707</v>
      </c>
      <c r="H912" s="3035">
        <f>'Part VI-Pro Forma'!H17</f>
        <v>-68352.264968910182</v>
      </c>
      <c r="I912" s="3035">
        <f>'Part VI-Pro Forma'!I17</f>
        <v>-69719.310268288362</v>
      </c>
      <c r="J912" s="3035">
        <f>'Part VI-Pro Forma'!J17</f>
        <v>-71113.696473654141</v>
      </c>
      <c r="K912" s="3035">
        <f>'Part VI-Pro Forma'!K17</f>
        <v>-72535.970403127227</v>
      </c>
      <c r="N912" s="2846"/>
      <c r="O912" s="2846"/>
      <c r="Q912" s="2918" t="s">
        <v>3301</v>
      </c>
      <c r="R912" s="2918" t="s">
        <v>3410</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806374.5048</v>
      </c>
      <c r="C915" s="3035">
        <f t="shared" ref="C915:K915" si="382">SUM(C910:C914)</f>
        <v>822501.99489600002</v>
      </c>
      <c r="D915" s="3035">
        <f t="shared" si="382"/>
        <v>838952.03479392</v>
      </c>
      <c r="E915" s="3035">
        <f t="shared" si="382"/>
        <v>855731.07548979844</v>
      </c>
      <c r="F915" s="3035">
        <f t="shared" si="382"/>
        <v>872845.69699959434</v>
      </c>
      <c r="G915" s="3035">
        <f t="shared" si="382"/>
        <v>890302.6109395863</v>
      </c>
      <c r="H915" s="3035">
        <f t="shared" si="382"/>
        <v>908108.6631583781</v>
      </c>
      <c r="I915" s="3035">
        <f t="shared" si="382"/>
        <v>926270.83642154536</v>
      </c>
      <c r="J915" s="3035">
        <f t="shared" si="382"/>
        <v>944796.25314997637</v>
      </c>
      <c r="K915" s="3035">
        <f t="shared" si="382"/>
        <v>963692.17821297585</v>
      </c>
      <c r="N915" s="2846"/>
      <c r="O915" s="2846"/>
      <c r="Z915" s="2751" t="s">
        <v>6468</v>
      </c>
      <c r="AA915" s="2671">
        <v>20</v>
      </c>
    </row>
    <row r="916" spans="1:27" s="652" customFormat="1" ht="13.35" customHeight="1">
      <c r="A916" s="652" t="s">
        <v>572</v>
      </c>
      <c r="B916" s="3035">
        <f>'Part VI-Pro Forma'!B21</f>
        <v>-259550</v>
      </c>
      <c r="C916" s="3035">
        <f>'Part VI-Pro Forma'!C21</f>
        <v>-267336.5</v>
      </c>
      <c r="D916" s="3035">
        <f>'Part VI-Pro Forma'!D21</f>
        <v>-275356.59499999997</v>
      </c>
      <c r="E916" s="3035">
        <f>'Part VI-Pro Forma'!E21</f>
        <v>-283617.29285000003</v>
      </c>
      <c r="F916" s="3035">
        <f>'Part VI-Pro Forma'!F21</f>
        <v>-292125.81163549999</v>
      </c>
      <c r="G916" s="3035">
        <f>'Part VI-Pro Forma'!G21</f>
        <v>-300889.58598456497</v>
      </c>
      <c r="H916" s="3035">
        <f>'Part VI-Pro Forma'!H21</f>
        <v>-309916.27356410195</v>
      </c>
      <c r="I916" s="3035">
        <f>'Part VI-Pro Forma'!I21</f>
        <v>-319213.76177102502</v>
      </c>
      <c r="J916" s="3035">
        <f>'Part VI-Pro Forma'!J21</f>
        <v>-328790.17462415574</v>
      </c>
      <c r="K916" s="3035">
        <f>'Part VI-Pro Forma'!K21</f>
        <v>-338653.87986288039</v>
      </c>
      <c r="N916" s="2846"/>
      <c r="O916" s="2846"/>
      <c r="Q916" s="2671">
        <v>1</v>
      </c>
      <c r="R916" s="2948">
        <f>-B927</f>
        <v>59701</v>
      </c>
      <c r="S916" s="2948">
        <f>B928+R916</f>
        <v>74471.401505987742</v>
      </c>
      <c r="Z916" s="2751" t="s">
        <v>6468</v>
      </c>
      <c r="AA916" s="2671">
        <v>21</v>
      </c>
    </row>
    <row r="917" spans="1:27" s="652" customFormat="1" ht="13.35" customHeight="1">
      <c r="A917" s="652" t="s">
        <v>1051</v>
      </c>
      <c r="B917" s="3035">
        <f>'Part VI-Pro Forma'!B22</f>
        <v>-64510</v>
      </c>
      <c r="C917" s="3035">
        <f>'Part VI-Pro Forma'!C22</f>
        <v>-65800</v>
      </c>
      <c r="D917" s="3035">
        <f>'Part VI-Pro Forma'!D22</f>
        <v>-67116</v>
      </c>
      <c r="E917" s="3035">
        <f>'Part VI-Pro Forma'!E22</f>
        <v>-68458</v>
      </c>
      <c r="F917" s="3035">
        <f>'Part VI-Pro Forma'!F22</f>
        <v>-69828</v>
      </c>
      <c r="G917" s="3035">
        <f>'Part VI-Pro Forma'!G22</f>
        <v>-71224</v>
      </c>
      <c r="H917" s="3035">
        <f>'Part VI-Pro Forma'!H22</f>
        <v>-72649</v>
      </c>
      <c r="I917" s="3035">
        <f>'Part VI-Pro Forma'!I22</f>
        <v>-74102</v>
      </c>
      <c r="J917" s="3035">
        <f>'Part VI-Pro Forma'!J22</f>
        <v>-75584</v>
      </c>
      <c r="K917" s="3035">
        <f>'Part VI-Pro Forma'!K22</f>
        <v>-77095</v>
      </c>
      <c r="N917" s="2846"/>
      <c r="O917" s="2846"/>
      <c r="Q917" s="2671">
        <v>2</v>
      </c>
      <c r="R917" s="2948">
        <f>-SUM(B927:C927)</f>
        <v>119402</v>
      </c>
      <c r="S917" s="2948">
        <f>SUM(B928:C928)+R917</f>
        <v>155453.79310797551</v>
      </c>
      <c r="Z917" s="2751" t="s">
        <v>6468</v>
      </c>
      <c r="AA917" s="2671">
        <v>22</v>
      </c>
    </row>
    <row r="918" spans="1:27" s="652" customFormat="1" ht="13.35" customHeight="1">
      <c r="A918" s="652" t="s">
        <v>1129</v>
      </c>
      <c r="B918" s="3035">
        <f>'Part VI-Pro Forma'!B23</f>
        <v>-18000</v>
      </c>
      <c r="C918" s="3035">
        <f>'Part VI-Pro Forma'!C23</f>
        <v>-18540</v>
      </c>
      <c r="D918" s="3035">
        <f>'Part VI-Pro Forma'!D23</f>
        <v>-19096.2</v>
      </c>
      <c r="E918" s="3035">
        <f>'Part VI-Pro Forma'!E23</f>
        <v>-19669.085999999999</v>
      </c>
      <c r="F918" s="3035">
        <f>'Part VI-Pro Forma'!F23</f>
        <v>-20259.158579999999</v>
      </c>
      <c r="G918" s="3035">
        <f>'Part VI-Pro Forma'!G23</f>
        <v>-20866.933337399998</v>
      </c>
      <c r="H918" s="3035">
        <f>'Part VI-Pro Forma'!H23</f>
        <v>-21492.941337521999</v>
      </c>
      <c r="I918" s="3035">
        <f>'Part VI-Pro Forma'!I23</f>
        <v>-22137.72957764766</v>
      </c>
      <c r="J918" s="3035">
        <f>'Part VI-Pro Forma'!J23</f>
        <v>-22801.861464977086</v>
      </c>
      <c r="K918" s="3035">
        <f>'Part VI-Pro Forma'!K23</f>
        <v>-23485.9173089264</v>
      </c>
      <c r="N918" s="2846"/>
      <c r="O918" s="2846"/>
      <c r="Q918" s="2671">
        <v>3</v>
      </c>
      <c r="R918" s="2948">
        <f>-SUM(B927:D927)</f>
        <v>179103</v>
      </c>
      <c r="S918" s="2948">
        <f>SUM(B928:D928)+R918</f>
        <v>242993.92960788327</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238804</v>
      </c>
      <c r="S919" s="2948">
        <f>SUM(B928:E928)+R919</f>
        <v>337137.52295366948</v>
      </c>
      <c r="Z919" s="2751" t="s">
        <v>6468</v>
      </c>
      <c r="AA919" s="2857">
        <v>24</v>
      </c>
    </row>
    <row r="920" spans="1:27" s="652" customFormat="1" ht="13.35" customHeight="1">
      <c r="A920" s="652" t="s">
        <v>1130</v>
      </c>
      <c r="B920" s="3035">
        <f>SUM(B915:B919)</f>
        <v>464314.5048</v>
      </c>
      <c r="C920" s="3035">
        <f t="shared" ref="C920:K920" si="383">SUM(C915:C919)</f>
        <v>470825.49489600002</v>
      </c>
      <c r="D920" s="3035">
        <f t="shared" si="383"/>
        <v>477383.23979392002</v>
      </c>
      <c r="E920" s="3035">
        <f t="shared" si="383"/>
        <v>483986.69663979847</v>
      </c>
      <c r="F920" s="3035">
        <f t="shared" si="383"/>
        <v>490632.72678409429</v>
      </c>
      <c r="G920" s="3035">
        <f t="shared" si="383"/>
        <v>497322.09161762137</v>
      </c>
      <c r="H920" s="3035">
        <f t="shared" si="383"/>
        <v>504050.4482567542</v>
      </c>
      <c r="I920" s="3035">
        <f t="shared" si="383"/>
        <v>510817.3450728727</v>
      </c>
      <c r="J920" s="3035">
        <f t="shared" si="383"/>
        <v>517620.21706084354</v>
      </c>
      <c r="K920" s="3035">
        <f t="shared" si="383"/>
        <v>524457.38104116917</v>
      </c>
      <c r="N920" s="2846"/>
      <c r="O920" s="2846"/>
      <c r="Q920" s="2671">
        <v>5</v>
      </c>
      <c r="R920" s="2948">
        <f>-SUM(B927:F927)</f>
        <v>298505</v>
      </c>
      <c r="S920" s="2948">
        <f>SUM(B928:F928)+R920</f>
        <v>437927.14644375152</v>
      </c>
      <c r="Z920" s="2751" t="s">
        <v>6468</v>
      </c>
      <c r="AA920" s="2671">
        <v>25</v>
      </c>
    </row>
    <row r="921" spans="1:27" s="652" customFormat="1" ht="13.35" customHeight="1">
      <c r="A921" s="652" t="s">
        <v>1487</v>
      </c>
      <c r="B921" s="3036">
        <f>'Part VI-Pro Forma'!B26</f>
        <v>-385043.10329401225</v>
      </c>
      <c r="C921" s="3036">
        <f>'Part VI-Pro Forma'!C26</f>
        <v>-385043.10329401225</v>
      </c>
      <c r="D921" s="3036">
        <f>'Part VI-Pro Forma'!D26</f>
        <v>-385043.10329401225</v>
      </c>
      <c r="E921" s="3036">
        <f>'Part VI-Pro Forma'!E26</f>
        <v>-385043.10329401225</v>
      </c>
      <c r="F921" s="3036">
        <f>'Part VI-Pro Forma'!F26</f>
        <v>-385043.10329401225</v>
      </c>
      <c r="G921" s="3036">
        <f>'Part VI-Pro Forma'!G26</f>
        <v>-385043.10329401225</v>
      </c>
      <c r="H921" s="3036">
        <f>'Part VI-Pro Forma'!H26</f>
        <v>-385043.10329401225</v>
      </c>
      <c r="I921" s="3036">
        <f>'Part VI-Pro Forma'!I26</f>
        <v>-385043.10329401225</v>
      </c>
      <c r="J921" s="3036">
        <f>'Part VI-Pro Forma'!J26</f>
        <v>-385043.10329401225</v>
      </c>
      <c r="K921" s="3036">
        <f>'Part VI-Pro Forma'!K26</f>
        <v>-385043.10329401225</v>
      </c>
      <c r="N921" s="2846"/>
      <c r="O921" s="2846"/>
      <c r="Q921" s="2671">
        <v>6</v>
      </c>
      <c r="R921" s="2948">
        <f>-SUM(B927:G927)</f>
        <v>358206</v>
      </c>
      <c r="S921" s="2948">
        <f>SUM(B928:G928)+R921</f>
        <v>545406.13476736064</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417907</v>
      </c>
      <c r="S922" s="2948">
        <f>SUM(B928:H928)+R922</f>
        <v>659613.47973010258</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477608</v>
      </c>
      <c r="S923" s="2948">
        <f>SUM(B928:I928)+R923</f>
        <v>780587.72150896303</v>
      </c>
      <c r="Z923" s="2751" t="s">
        <v>6468</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537309</v>
      </c>
      <c r="S924" s="2948">
        <f>SUM(B928:J928)+R924</f>
        <v>908364.83527579438</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597010</v>
      </c>
      <c r="S925" s="2948">
        <f>SUM(B928:K928)+R925</f>
        <v>1042979.1130229512</v>
      </c>
      <c r="Z925" s="2751" t="s">
        <v>6468</v>
      </c>
      <c r="AA925" s="2671">
        <v>30</v>
      </c>
    </row>
    <row r="926" spans="1:27" s="652" customFormat="1" ht="13.35" customHeight="1">
      <c r="A926" s="652" t="s">
        <v>1096</v>
      </c>
      <c r="B926" s="3036">
        <f>'Part VI-Pro Forma'!B31</f>
        <v>-4800</v>
      </c>
      <c r="C926" s="3036">
        <f>'Part VI-Pro Forma'!C31</f>
        <v>-4800</v>
      </c>
      <c r="D926" s="3036">
        <f>'Part VI-Pro Forma'!D31</f>
        <v>-4800</v>
      </c>
      <c r="E926" s="3036">
        <f>'Part VI-Pro Forma'!E31</f>
        <v>-4800</v>
      </c>
      <c r="F926" s="3036">
        <f>'Part VI-Pro Forma'!F31</f>
        <v>-4800</v>
      </c>
      <c r="G926" s="3036">
        <f>'Part VI-Pro Forma'!G31</f>
        <v>-4800</v>
      </c>
      <c r="H926" s="3036">
        <f>'Part VI-Pro Forma'!H31</f>
        <v>-4800</v>
      </c>
      <c r="I926" s="3036">
        <f>'Part VI-Pro Forma'!I31</f>
        <v>-4800</v>
      </c>
      <c r="J926" s="3036">
        <f>'Part VI-Pro Forma'!J31</f>
        <v>-4800</v>
      </c>
      <c r="K926" s="3036">
        <f>'Part VI-Pro Forma'!K31</f>
        <v>-4800</v>
      </c>
      <c r="N926" s="2846"/>
      <c r="O926" s="2846"/>
      <c r="Q926" s="2671">
        <v>11</v>
      </c>
      <c r="R926" s="2948">
        <f>-SUM(B927:K927)-B959</f>
        <v>656711</v>
      </c>
      <c r="S926" s="2948">
        <f>SUM(B928:K928)+B960+R926</f>
        <v>1184461.0404192137</v>
      </c>
      <c r="Z926" s="2751" t="s">
        <v>6468</v>
      </c>
      <c r="AA926" s="2671">
        <v>31</v>
      </c>
    </row>
    <row r="927" spans="1:27" s="652" customFormat="1" ht="13.35" customHeight="1">
      <c r="A927" s="652" t="s">
        <v>3364</v>
      </c>
      <c r="B927" s="3036">
        <f>'Part VI-Pro Forma'!B32</f>
        <v>-59701</v>
      </c>
      <c r="C927" s="3036">
        <f>'Part VI-Pro Forma'!C32</f>
        <v>-59701</v>
      </c>
      <c r="D927" s="3036">
        <f>'Part VI-Pro Forma'!D32</f>
        <v>-59701</v>
      </c>
      <c r="E927" s="3036">
        <f>'Part VI-Pro Forma'!E32</f>
        <v>-59701</v>
      </c>
      <c r="F927" s="3036">
        <f>'Part VI-Pro Forma'!F32</f>
        <v>-59701</v>
      </c>
      <c r="G927" s="3036">
        <f>'Part VI-Pro Forma'!G32</f>
        <v>-59701</v>
      </c>
      <c r="H927" s="3036">
        <f>'Part VI-Pro Forma'!H32</f>
        <v>-59701</v>
      </c>
      <c r="I927" s="3036">
        <f>'Part VI-Pro Forma'!I32</f>
        <v>-59701</v>
      </c>
      <c r="J927" s="3036">
        <f>'Part VI-Pro Forma'!J32</f>
        <v>-59701</v>
      </c>
      <c r="K927" s="3036">
        <f>'Part VI-Pro Forma'!K32</f>
        <v>-59701</v>
      </c>
      <c r="N927" s="2846"/>
      <c r="O927" s="2846"/>
      <c r="Q927" s="2671">
        <v>12</v>
      </c>
      <c r="R927" s="2948">
        <f>-SUM(B927:K927) - SUM(B959:C959)</f>
        <v>716412</v>
      </c>
      <c r="S927" s="2948">
        <f>SUM(B928:K928) + SUM(B960:C960)+R927</f>
        <v>1332839.1685184117</v>
      </c>
      <c r="Z927" s="2751" t="s">
        <v>6468</v>
      </c>
      <c r="AA927" s="2671">
        <v>32</v>
      </c>
    </row>
    <row r="928" spans="1:27" s="652" customFormat="1" ht="13.35" customHeight="1">
      <c r="A928" s="652" t="s">
        <v>1097</v>
      </c>
      <c r="B928" s="3035">
        <f t="shared" ref="B928:K928" si="384">SUM(B920:B927)</f>
        <v>14770.401505987742</v>
      </c>
      <c r="C928" s="3035">
        <f t="shared" si="384"/>
        <v>21281.391601987765</v>
      </c>
      <c r="D928" s="3035">
        <f t="shared" si="384"/>
        <v>27839.136499907763</v>
      </c>
      <c r="E928" s="3035">
        <f t="shared" si="384"/>
        <v>34442.593345786212</v>
      </c>
      <c r="F928" s="3035">
        <f t="shared" si="384"/>
        <v>41088.623490082042</v>
      </c>
      <c r="G928" s="3035">
        <f t="shared" si="384"/>
        <v>47777.988323609112</v>
      </c>
      <c r="H928" s="3035">
        <f t="shared" si="384"/>
        <v>54506.344962741947</v>
      </c>
      <c r="I928" s="3035">
        <f t="shared" si="384"/>
        <v>61273.241778860451</v>
      </c>
      <c r="J928" s="3035">
        <f t="shared" si="384"/>
        <v>68076.113766831288</v>
      </c>
      <c r="K928" s="3035">
        <f t="shared" si="384"/>
        <v>74913.277747156913</v>
      </c>
      <c r="N928" s="2846"/>
      <c r="O928" s="2846"/>
      <c r="Q928" s="2671">
        <v>13</v>
      </c>
      <c r="R928" s="2948">
        <f>-SUM(B927:K927) - SUM(B959:D959)</f>
        <v>776113</v>
      </c>
      <c r="S928" s="2948">
        <f>SUM(B928:K928) + SUM(B960:D960)+R928</f>
        <v>1488139.9801372783</v>
      </c>
      <c r="Z928" s="2751" t="s">
        <v>6468</v>
      </c>
      <c r="AA928" s="2857">
        <v>33</v>
      </c>
    </row>
    <row r="929" spans="1:27" s="652" customFormat="1" ht="13.35" customHeight="1">
      <c r="A929" s="652" t="str">
        <f>IF('Part II-Sources of Funds'!$E$40 = "Neither", "", "DCR Mortgage A")</f>
        <v>DCR Mortgage A</v>
      </c>
      <c r="B929" s="3037">
        <f t="shared" ref="B929:K929" si="385">IF(B921=0,"",-B920/B921)</f>
        <v>1.2058766949150039</v>
      </c>
      <c r="C929" s="3037">
        <f t="shared" si="385"/>
        <v>1.2227864643415929</v>
      </c>
      <c r="D929" s="3037">
        <f t="shared" si="385"/>
        <v>1.2398176612175247</v>
      </c>
      <c r="E929" s="3037">
        <f t="shared" si="385"/>
        <v>1.2569675771344346</v>
      </c>
      <c r="F929" s="3037">
        <f t="shared" si="385"/>
        <v>1.2742280606684588</v>
      </c>
      <c r="G929" s="3037">
        <f t="shared" si="385"/>
        <v>1.2916010892366894</v>
      </c>
      <c r="H929" s="3037">
        <f t="shared" si="385"/>
        <v>1.3090753838846712</v>
      </c>
      <c r="I929" s="3037">
        <f t="shared" si="385"/>
        <v>1.3266497716823704</v>
      </c>
      <c r="J929" s="3037">
        <f t="shared" si="385"/>
        <v>1.3443175910246019</v>
      </c>
      <c r="K929" s="3037">
        <f t="shared" si="385"/>
        <v>1.3620744705059751</v>
      </c>
      <c r="N929" s="2846"/>
      <c r="O929" s="2846"/>
      <c r="Q929" s="2671">
        <v>14</v>
      </c>
      <c r="R929" s="2948">
        <f>-SUM(B927:K927) - SUM(B959:E959)</f>
        <v>835814</v>
      </c>
      <c r="S929" s="2948">
        <f>SUM(B928:K928) + SUM(B960:E960)+R929</f>
        <v>1650385.750712961</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835814</v>
      </c>
      <c r="S930" s="2948">
        <f>SUM(B928:K928) + SUM(B960:F960)+R930</f>
        <v>1819597.4034443526</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835814</v>
      </c>
      <c r="S931" s="2948">
        <f>SUM(B928:K928) + SUM(B960:G960)+R931</f>
        <v>1995792.3585149169</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835814</v>
      </c>
      <c r="S932" s="2948">
        <f>SUM(B928:K928) + SUM(B960:H960)+R932</f>
        <v>2178984.3761879974</v>
      </c>
      <c r="Z932" s="2751" t="s">
        <v>6468</v>
      </c>
      <c r="AA932" s="2671">
        <v>37</v>
      </c>
    </row>
    <row r="933" spans="1:27" s="652" customFormat="1" ht="13.35" customHeight="1">
      <c r="A933" s="652" t="s">
        <v>3216</v>
      </c>
      <c r="B933" s="3037">
        <f t="shared" ref="B933:K933" si="389">IF(AND(B921=0,B922=0,B923=0,B924=0),"",-B920/(B921+B922+B923+B924))</f>
        <v>1.2058766949150039</v>
      </c>
      <c r="C933" s="3037">
        <f t="shared" si="389"/>
        <v>1.2227864643415929</v>
      </c>
      <c r="D933" s="3037">
        <f t="shared" si="389"/>
        <v>1.2398176612175247</v>
      </c>
      <c r="E933" s="3037">
        <f t="shared" si="389"/>
        <v>1.2569675771344346</v>
      </c>
      <c r="F933" s="3037">
        <f t="shared" si="389"/>
        <v>1.2742280606684588</v>
      </c>
      <c r="G933" s="3037">
        <f t="shared" si="389"/>
        <v>1.2916010892366894</v>
      </c>
      <c r="H933" s="3037">
        <f t="shared" si="389"/>
        <v>1.3090753838846712</v>
      </c>
      <c r="I933" s="3037">
        <f t="shared" si="389"/>
        <v>1.3266497716823704</v>
      </c>
      <c r="J933" s="3037">
        <f t="shared" si="389"/>
        <v>1.3443175910246019</v>
      </c>
      <c r="K933" s="3037">
        <f t="shared" si="389"/>
        <v>1.3620744705059751</v>
      </c>
      <c r="N933" s="2846"/>
      <c r="O933" s="2846"/>
      <c r="Q933" s="2671">
        <v>18</v>
      </c>
      <c r="R933" s="2948">
        <f>-SUM(B927:K927) - SUM(B959:I959)</f>
        <v>835814</v>
      </c>
      <c r="S933" s="2948">
        <f>SUM(B928:K928) + SUM(B960:I960)+R933</f>
        <v>2369182.3935587015</v>
      </c>
      <c r="Z933" s="2751" t="s">
        <v>6468</v>
      </c>
      <c r="AA933" s="2671">
        <v>38</v>
      </c>
    </row>
    <row r="934" spans="1:27" s="652" customFormat="1" ht="13.35" customHeight="1">
      <c r="A934" s="652" t="s">
        <v>718</v>
      </c>
      <c r="B934" s="3038">
        <f>'Part VI-Pro Forma'!B39</f>
        <v>2.3574066093667776</v>
      </c>
      <c r="C934" s="3038">
        <f>'Part VI-Pro Forma'!C39</f>
        <v>2.338802834127387</v>
      </c>
      <c r="D934" s="3038">
        <f>'Part VI-Pro Forma'!D39</f>
        <v>2.3203109515961411</v>
      </c>
      <c r="E934" s="3038">
        <f>'Part VI-Pro Forma'!E39</f>
        <v>2.3019341358624512</v>
      </c>
      <c r="F934" s="3038">
        <f>'Part VI-Pro Forma'!F39</f>
        <v>2.2836632061634772</v>
      </c>
      <c r="G934" s="3038">
        <f>'Part VI-Pro Forma'!G39</f>
        <v>2.2655133452306586</v>
      </c>
      <c r="H934" s="3038">
        <f>'Part VI-Pro Forma'!H39</f>
        <v>2.2474698686165193</v>
      </c>
      <c r="I934" s="3038">
        <f>'Part VI-Pro Forma'!I39</f>
        <v>2.2295415869887711</v>
      </c>
      <c r="J934" s="3038">
        <f>'Part VI-Pro Forma'!J39</f>
        <v>2.2117257835896931</v>
      </c>
      <c r="K934" s="3038">
        <f>'Part VI-Pro Forma'!K39</f>
        <v>2.194025119180226</v>
      </c>
      <c r="N934" s="2846"/>
      <c r="O934" s="2846"/>
      <c r="Q934" s="2671">
        <v>19</v>
      </c>
      <c r="R934" s="2948">
        <f>-SUM(B927:K927) - SUM(B959:J959)</f>
        <v>835814</v>
      </c>
      <c r="S934" s="2948">
        <f>SUM(B928:K928) + SUM(B960:J960)+R934</f>
        <v>2566394.3547393288</v>
      </c>
      <c r="Z934" s="2751" t="s">
        <v>6468</v>
      </c>
      <c r="AA934" s="2671">
        <v>39</v>
      </c>
    </row>
    <row r="935" spans="1:27" s="652" customFormat="1" ht="13.35" customHeight="1">
      <c r="A935" s="652" t="s">
        <v>2406</v>
      </c>
      <c r="B935" s="3036">
        <f>'Part VI-Pro Forma'!B40</f>
        <v>6058544.2918105787</v>
      </c>
      <c r="C935" s="3036">
        <f>'Part VI-Pro Forma'!C40</f>
        <v>6014684.7195583433</v>
      </c>
      <c r="D935" s="3036">
        <f>'Part VI-Pro Forma'!D40</f>
        <v>5968281.8920066021</v>
      </c>
      <c r="E935" s="3036">
        <f>'Part VI-Pro Forma'!E40</f>
        <v>5919188.3351334641</v>
      </c>
      <c r="F935" s="3036">
        <f>'Part VI-Pro Forma'!F40</f>
        <v>5867248.02344085</v>
      </c>
      <c r="G935" s="3036">
        <f>'Part VI-Pro Forma'!G40</f>
        <v>5812295.8840858378</v>
      </c>
      <c r="H935" s="3036">
        <f>'Part VI-Pro Forma'!H40</f>
        <v>5754157.2722584065</v>
      </c>
      <c r="I935" s="3036">
        <f>'Part VI-Pro Forma'!I40</f>
        <v>5692647.4161382662</v>
      </c>
      <c r="J935" s="3036">
        <f>'Part VI-Pro Forma'!J40</f>
        <v>5627570.8296667729</v>
      </c>
      <c r="K935" s="3036">
        <f>'Part VI-Pro Forma'!K40</f>
        <v>5558720.6912676515</v>
      </c>
      <c r="N935" s="2846"/>
      <c r="O935" s="2846"/>
      <c r="Q935" s="2671">
        <v>20</v>
      </c>
      <c r="R935" s="2948">
        <f>-SUM(B927:K927) - SUM(B959:K959)</f>
        <v>835814</v>
      </c>
      <c r="S935" s="2948">
        <f>SUM(B928:K928) + SUM(B960:K960)+R935</f>
        <v>2770622.0342479786</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3365</v>
      </c>
      <c r="B939" s="3036">
        <f>'Part VI-Pro Forma'!B44</f>
        <v>719937</v>
      </c>
      <c r="C939" s="3036">
        <f>'Part VI-Pro Forma'!C44</f>
        <v>660236</v>
      </c>
      <c r="D939" s="3036">
        <f>'Part VI-Pro Forma'!D44</f>
        <v>600535</v>
      </c>
      <c r="E939" s="3036">
        <f>'Part VI-Pro Forma'!E44</f>
        <v>540834</v>
      </c>
      <c r="F939" s="3036">
        <f>'Part VI-Pro Forma'!F44</f>
        <v>481133</v>
      </c>
      <c r="G939" s="3036">
        <f>'Part VI-Pro Forma'!G44</f>
        <v>421432</v>
      </c>
      <c r="H939" s="3036">
        <f>'Part VI-Pro Forma'!H44</f>
        <v>361731</v>
      </c>
      <c r="I939" s="3036">
        <f>'Part VI-Pro Forma'!I44</f>
        <v>302030</v>
      </c>
      <c r="J939" s="3036">
        <f>'Part VI-Pro Forma'!J44</f>
        <v>242329</v>
      </c>
      <c r="K939" s="3036">
        <f>'Part VI-Pro Forma'!K44</f>
        <v>182628</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1036228.1486161032</v>
      </c>
      <c r="C942" s="3035">
        <f>'Part VI-Pro Forma'!C47</f>
        <v>1056952.7115884251</v>
      </c>
      <c r="D942" s="3035">
        <f>'Part VI-Pro Forma'!D47</f>
        <v>1078091.7658201938</v>
      </c>
      <c r="E942" s="3035">
        <f>'Part VI-Pro Forma'!E47</f>
        <v>1099653.6011365976</v>
      </c>
      <c r="F942" s="3035">
        <f>'Part VI-Pro Forma'!F47</f>
        <v>1121646.6731593297</v>
      </c>
      <c r="G942" s="3035">
        <f>'Part VI-Pro Forma'!G47</f>
        <v>1144079.6066225159</v>
      </c>
      <c r="H942" s="3035">
        <f>'Part VI-Pro Forma'!H47</f>
        <v>1166961.1987549665</v>
      </c>
      <c r="I942" s="3035">
        <f>'Part VI-Pro Forma'!I47</f>
        <v>1190300.4227300659</v>
      </c>
      <c r="J942" s="3035">
        <f>'Part VI-Pro Forma'!J47</f>
        <v>1214106.4311846669</v>
      </c>
      <c r="K942" s="3035">
        <f>'Part VI-Pro Forma'!K47</f>
        <v>1238388.5598083604</v>
      </c>
      <c r="N942" s="2846"/>
      <c r="O942" s="2846"/>
      <c r="Z942" s="2751" t="s">
        <v>6469</v>
      </c>
      <c r="AA942" s="2857">
        <v>47</v>
      </c>
    </row>
    <row r="943" spans="1:27" s="652" customFormat="1" ht="13.35" customHeight="1">
      <c r="A943" s="652" t="s">
        <v>953</v>
      </c>
      <c r="B943" s="3035">
        <f>'Part VI-Pro Forma'!B48</f>
        <v>20724.562972322063</v>
      </c>
      <c r="C943" s="3035">
        <f>'Part VI-Pro Forma'!C48</f>
        <v>21139.054231768503</v>
      </c>
      <c r="D943" s="3035">
        <f>'Part VI-Pro Forma'!D48</f>
        <v>21561.835316403874</v>
      </c>
      <c r="E943" s="3035">
        <f>'Part VI-Pro Forma'!E48</f>
        <v>21993.072022731951</v>
      </c>
      <c r="F943" s="3035">
        <f>'Part VI-Pro Forma'!F48</f>
        <v>22432.933463186593</v>
      </c>
      <c r="G943" s="3035">
        <f>'Part VI-Pro Forma'!G48</f>
        <v>22881.592132450318</v>
      </c>
      <c r="H943" s="3035">
        <f>'Part VI-Pro Forma'!H48</f>
        <v>23339.223975099329</v>
      </c>
      <c r="I943" s="3035">
        <f>'Part VI-Pro Forma'!I48</f>
        <v>23806.008454601317</v>
      </c>
      <c r="J943" s="3035">
        <f>'Part VI-Pro Forma'!J48</f>
        <v>24282.128623693341</v>
      </c>
      <c r="K943" s="3035">
        <f>'Part VI-Pro Forma'!K48</f>
        <v>24767.771196167207</v>
      </c>
      <c r="N943" s="2846"/>
      <c r="O943" s="2846"/>
      <c r="Z943" s="2751" t="s">
        <v>6469</v>
      </c>
      <c r="AA943" s="2671">
        <v>48</v>
      </c>
    </row>
    <row r="944" spans="1:27" s="652" customFormat="1" ht="13.35" customHeight="1">
      <c r="A944" s="652" t="s">
        <v>2217</v>
      </c>
      <c r="B944" s="3035">
        <f>'Part VI-Pro Forma'!B49</f>
        <v>-73986.689811189775</v>
      </c>
      <c r="C944" s="3035">
        <f>'Part VI-Pro Forma'!C49</f>
        <v>-75466.423607413555</v>
      </c>
      <c r="D944" s="3035">
        <f>'Part VI-Pro Forma'!D49</f>
        <v>-76975.752079561833</v>
      </c>
      <c r="E944" s="3035">
        <f>'Part VI-Pro Forma'!E49</f>
        <v>-78515.267121153069</v>
      </c>
      <c r="F944" s="3035">
        <f>'Part VI-Pro Forma'!F49</f>
        <v>-80085.572463576143</v>
      </c>
      <c r="G944" s="3035">
        <f>'Part VI-Pro Forma'!G49</f>
        <v>-81687.283912847648</v>
      </c>
      <c r="H944" s="3035">
        <f>'Part VI-Pro Forma'!H49</f>
        <v>-83321.029591104627</v>
      </c>
      <c r="I944" s="3035">
        <f>'Part VI-Pro Forma'!I49</f>
        <v>-84987.45018292671</v>
      </c>
      <c r="J944" s="3035">
        <f>'Part VI-Pro Forma'!J49</f>
        <v>-86687.199186585218</v>
      </c>
      <c r="K944" s="3035">
        <f>'Part VI-Pro Forma'!K49</f>
        <v>-88420.943170316939</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982966.02177723555</v>
      </c>
      <c r="C947" s="3035">
        <f t="shared" ref="C947" si="391">SUM(C942:C946)</f>
        <v>1002625.34221278</v>
      </c>
      <c r="D947" s="3035">
        <f t="shared" ref="D947" si="392">SUM(D942:D946)</f>
        <v>1022677.8490570358</v>
      </c>
      <c r="E947" s="3035">
        <f t="shared" ref="E947" si="393">SUM(E942:E946)</f>
        <v>1043131.4060381764</v>
      </c>
      <c r="F947" s="3035">
        <f t="shared" ref="F947" si="394">SUM(F942:F946)</f>
        <v>1063994.03415894</v>
      </c>
      <c r="G947" s="3035">
        <f t="shared" ref="G947" si="395">SUM(G942:G946)</f>
        <v>1085273.9148421185</v>
      </c>
      <c r="H947" s="3035">
        <f t="shared" ref="H947" si="396">SUM(H942:H946)</f>
        <v>1106979.3931389612</v>
      </c>
      <c r="I947" s="3035">
        <f t="shared" ref="I947" si="397">SUM(I942:I946)</f>
        <v>1129118.9810017406</v>
      </c>
      <c r="J947" s="3035">
        <f t="shared" ref="J947" si="398">SUM(J942:J946)</f>
        <v>1151701.360621775</v>
      </c>
      <c r="K947" s="3035">
        <f t="shared" ref="K947" si="399">SUM(K942:K946)</f>
        <v>1174735.3878342106</v>
      </c>
      <c r="N947" s="2846"/>
      <c r="O947" s="2846"/>
      <c r="Z947" s="2751" t="s">
        <v>6469</v>
      </c>
      <c r="AA947" s="2671">
        <v>52</v>
      </c>
    </row>
    <row r="948" spans="1:27" s="652" customFormat="1" ht="13.35" customHeight="1">
      <c r="A948" s="652" t="s">
        <v>572</v>
      </c>
      <c r="B948" s="3035">
        <f>'Part VI-Pro Forma'!B53</f>
        <v>-348813.4962587668</v>
      </c>
      <c r="C948" s="3035">
        <f>'Part VI-Pro Forma'!C53</f>
        <v>-359277.90114652982</v>
      </c>
      <c r="D948" s="3035">
        <f>'Part VI-Pro Forma'!D53</f>
        <v>-370056.23818092566</v>
      </c>
      <c r="E948" s="3035">
        <f>'Part VI-Pro Forma'!E53</f>
        <v>-381157.9253263534</v>
      </c>
      <c r="F948" s="3035">
        <f>'Part VI-Pro Forma'!F53</f>
        <v>-392592.66308614408</v>
      </c>
      <c r="G948" s="3035">
        <f>'Part VI-Pro Forma'!G53</f>
        <v>-404370.44297872839</v>
      </c>
      <c r="H948" s="3035">
        <f>'Part VI-Pro Forma'!H53</f>
        <v>-416501.55626809021</v>
      </c>
      <c r="I948" s="3035">
        <f>'Part VI-Pro Forma'!I53</f>
        <v>-428996.60295613291</v>
      </c>
      <c r="J948" s="3035">
        <f>'Part VI-Pro Forma'!J53</f>
        <v>-441866.50104481686</v>
      </c>
      <c r="K948" s="3035">
        <f>'Part VI-Pro Forma'!K53</f>
        <v>-455122.49607616139</v>
      </c>
      <c r="N948" s="2846"/>
      <c r="O948" s="2846"/>
      <c r="Z948" s="2751" t="s">
        <v>6469</v>
      </c>
      <c r="AA948" s="2671">
        <v>53</v>
      </c>
    </row>
    <row r="949" spans="1:27" s="652" customFormat="1" ht="13.35" customHeight="1">
      <c r="A949" s="652" t="s">
        <v>1051</v>
      </c>
      <c r="B949" s="3035">
        <f>'Part VI-Pro Forma'!B54</f>
        <v>-78637</v>
      </c>
      <c r="C949" s="3035">
        <f>'Part VI-Pro Forma'!C54</f>
        <v>-80210</v>
      </c>
      <c r="D949" s="3035">
        <f>'Part VI-Pro Forma'!D54</f>
        <v>-81814</v>
      </c>
      <c r="E949" s="3035">
        <f>'Part VI-Pro Forma'!E54</f>
        <v>-83451</v>
      </c>
      <c r="F949" s="3035">
        <f>'Part VI-Pro Forma'!F54</f>
        <v>-85120</v>
      </c>
      <c r="G949" s="3035">
        <f>'Part VI-Pro Forma'!G54</f>
        <v>-86822</v>
      </c>
      <c r="H949" s="3035">
        <f>'Part VI-Pro Forma'!H54</f>
        <v>-88558</v>
      </c>
      <c r="I949" s="3035">
        <f>'Part VI-Pro Forma'!I54</f>
        <v>-90330</v>
      </c>
      <c r="J949" s="3035">
        <f>'Part VI-Pro Forma'!J54</f>
        <v>-92136</v>
      </c>
      <c r="K949" s="3035">
        <f>'Part VI-Pro Forma'!K54</f>
        <v>-93979</v>
      </c>
      <c r="N949" s="2846"/>
      <c r="O949" s="2846"/>
      <c r="Z949" s="2751" t="s">
        <v>6469</v>
      </c>
      <c r="AA949" s="2671">
        <v>54</v>
      </c>
    </row>
    <row r="950" spans="1:27" s="652" customFormat="1" ht="13.35" customHeight="1">
      <c r="A950" s="652" t="s">
        <v>1129</v>
      </c>
      <c r="B950" s="3035">
        <f>'Part VI-Pro Forma'!B55</f>
        <v>-24190.494828194191</v>
      </c>
      <c r="C950" s="3035">
        <f>'Part VI-Pro Forma'!C55</f>
        <v>-24916.209673040019</v>
      </c>
      <c r="D950" s="3035">
        <f>'Part VI-Pro Forma'!D55</f>
        <v>-25663.695963231214</v>
      </c>
      <c r="E950" s="3035">
        <f>'Part VI-Pro Forma'!E55</f>
        <v>-26433.606842128149</v>
      </c>
      <c r="F950" s="3035">
        <f>'Part VI-Pro Forma'!F55</f>
        <v>-27226.615047391999</v>
      </c>
      <c r="G950" s="3035">
        <f>'Part VI-Pro Forma'!G55</f>
        <v>-28043.413498813759</v>
      </c>
      <c r="H950" s="3035">
        <f>'Part VI-Pro Forma'!H55</f>
        <v>-28884.715903778168</v>
      </c>
      <c r="I950" s="3035">
        <f>'Part VI-Pro Forma'!I55</f>
        <v>-29751.257380891511</v>
      </c>
      <c r="J950" s="3035">
        <f>'Part VI-Pro Forma'!J55</f>
        <v>-30643.795102318258</v>
      </c>
      <c r="K950" s="3035">
        <f>'Part VI-Pro Forma'!K55</f>
        <v>-31563.108955387805</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531325.03069027467</v>
      </c>
      <c r="C952" s="3035">
        <f t="shared" ref="C952" si="400">SUM(C947:C951)</f>
        <v>538221.23139321024</v>
      </c>
      <c r="D952" s="3035">
        <f t="shared" ref="D952" si="401">SUM(D947:D951)</f>
        <v>545143.91491287888</v>
      </c>
      <c r="E952" s="3035">
        <f t="shared" ref="E952" si="402">SUM(E947:E951)</f>
        <v>552088.87386969489</v>
      </c>
      <c r="F952" s="3035">
        <f t="shared" ref="F952" si="403">SUM(F947:F951)</f>
        <v>559054.75602540397</v>
      </c>
      <c r="G952" s="3035">
        <f t="shared" ref="G952" si="404">SUM(G947:G951)</f>
        <v>566038.05836457643</v>
      </c>
      <c r="H952" s="3035">
        <f t="shared" ref="H952" si="405">SUM(H947:H951)</f>
        <v>573035.12096709281</v>
      </c>
      <c r="I952" s="3035">
        <f t="shared" ref="I952" si="406">SUM(I947:I951)</f>
        <v>580041.12066471612</v>
      </c>
      <c r="J952" s="3035">
        <f t="shared" ref="J952" si="407">SUM(J947:J951)</f>
        <v>587055.06447463995</v>
      </c>
      <c r="K952" s="3035">
        <f t="shared" ref="K952" si="408">SUM(K947:K951)</f>
        <v>594070.78280266142</v>
      </c>
      <c r="N952" s="2846"/>
      <c r="O952" s="2846"/>
      <c r="Z952" s="2751" t="s">
        <v>6469</v>
      </c>
      <c r="AA952" s="2671">
        <v>57</v>
      </c>
    </row>
    <row r="953" spans="1:27" s="652" customFormat="1" ht="13.35" customHeight="1">
      <c r="A953" s="652" t="str">
        <f>$A921</f>
        <v>Mortgage A</v>
      </c>
      <c r="B953" s="3036">
        <f>'Part VI-Pro Forma'!B58</f>
        <v>-385043.10329401225</v>
      </c>
      <c r="C953" s="3036">
        <f>'Part VI-Pro Forma'!C58</f>
        <v>-385043.10329401225</v>
      </c>
      <c r="D953" s="3036">
        <f>'Part VI-Pro Forma'!D58</f>
        <v>-385043.10329401225</v>
      </c>
      <c r="E953" s="3036">
        <f>'Part VI-Pro Forma'!E58</f>
        <v>-385043.10329401225</v>
      </c>
      <c r="F953" s="3036">
        <f>'Part VI-Pro Forma'!F58</f>
        <v>-385043.10329401225</v>
      </c>
      <c r="G953" s="3036">
        <f>'Part VI-Pro Forma'!G58</f>
        <v>-385043.10329401225</v>
      </c>
      <c r="H953" s="3036">
        <f>'Part VI-Pro Forma'!H58</f>
        <v>-385043.10329401225</v>
      </c>
      <c r="I953" s="3036">
        <f>'Part VI-Pro Forma'!I58</f>
        <v>-385043.10329401225</v>
      </c>
      <c r="J953" s="3036">
        <f>'Part VI-Pro Forma'!J58</f>
        <v>-385043.10329401225</v>
      </c>
      <c r="K953" s="3036">
        <f>'Part VI-Pro Forma'!K58</f>
        <v>-385043.10329401225</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-4800</v>
      </c>
      <c r="C958" s="3036">
        <f>'Part VI-Pro Forma'!C63</f>
        <v>-4800</v>
      </c>
      <c r="D958" s="3036">
        <f>'Part VI-Pro Forma'!D63</f>
        <v>-4800</v>
      </c>
      <c r="E958" s="3036">
        <f>'Part VI-Pro Forma'!E63</f>
        <v>-4800</v>
      </c>
      <c r="F958" s="3036">
        <f>'Part VI-Pro Forma'!F63</f>
        <v>-4800</v>
      </c>
      <c r="G958" s="3036">
        <f>'Part VI-Pro Forma'!G63</f>
        <v>-4800</v>
      </c>
      <c r="H958" s="3036">
        <f>'Part VI-Pro Forma'!H63</f>
        <v>-4800</v>
      </c>
      <c r="I958" s="3036">
        <f>'Part VI-Pro Forma'!I63</f>
        <v>-4800</v>
      </c>
      <c r="J958" s="3036">
        <f>'Part VI-Pro Forma'!J63</f>
        <v>-4800</v>
      </c>
      <c r="K958" s="3036">
        <f>'Part VI-Pro Forma'!K63</f>
        <v>-4800</v>
      </c>
      <c r="N958" s="2846"/>
      <c r="O958" s="2846"/>
      <c r="Z958" s="2751" t="s">
        <v>6469</v>
      </c>
      <c r="AA958" s="2671">
        <v>63</v>
      </c>
    </row>
    <row r="959" spans="1:27" s="652" customFormat="1" ht="13.35" customHeight="1">
      <c r="A959" s="652" t="s">
        <v>3364</v>
      </c>
      <c r="B959" s="3036">
        <f>'Part VI-Pro Forma'!B64</f>
        <v>-59701</v>
      </c>
      <c r="C959" s="3036">
        <f>'Part VI-Pro Forma'!C64</f>
        <v>-59701</v>
      </c>
      <c r="D959" s="3036">
        <f>'Part VI-Pro Forma'!D64</f>
        <v>-59701</v>
      </c>
      <c r="E959" s="3036">
        <f>'Part VI-Pro Forma'!E64</f>
        <v>-59701</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81780.927396262414</v>
      </c>
      <c r="C960" s="3035">
        <f t="shared" si="409"/>
        <v>88677.128099197987</v>
      </c>
      <c r="D960" s="3035">
        <f t="shared" si="409"/>
        <v>95599.811618866632</v>
      </c>
      <c r="E960" s="3035">
        <f t="shared" si="409"/>
        <v>102544.77057568263</v>
      </c>
      <c r="F960" s="3035">
        <f t="shared" si="409"/>
        <v>169211.65273139172</v>
      </c>
      <c r="G960" s="3035">
        <f t="shared" si="409"/>
        <v>176194.95507056417</v>
      </c>
      <c r="H960" s="3035">
        <f t="shared" si="409"/>
        <v>183192.01767308055</v>
      </c>
      <c r="I960" s="3035">
        <f t="shared" si="409"/>
        <v>190198.01737070386</v>
      </c>
      <c r="J960" s="3035">
        <f t="shared" si="409"/>
        <v>197211.9611806277</v>
      </c>
      <c r="K960" s="3035">
        <f t="shared" si="409"/>
        <v>204227.67950864916</v>
      </c>
      <c r="N960" s="2846"/>
      <c r="O960" s="2846"/>
      <c r="Z960" s="2751" t="s">
        <v>6469</v>
      </c>
      <c r="AA960" s="2671">
        <v>65</v>
      </c>
    </row>
    <row r="961" spans="1:27" s="652" customFormat="1" ht="13.35" customHeight="1">
      <c r="A961" s="652" t="str">
        <f>$A929</f>
        <v>DCR Mortgage A</v>
      </c>
      <c r="B961" s="3037">
        <f t="shared" ref="B961:K961" si="410">IF(B953=0,"",-B952/B953)</f>
        <v>1.3799105246784904</v>
      </c>
      <c r="C961" s="3037">
        <f t="shared" si="410"/>
        <v>1.3978207291307692</v>
      </c>
      <c r="D961" s="3037">
        <f t="shared" si="410"/>
        <v>1.4157997124197714</v>
      </c>
      <c r="E961" s="3037">
        <f t="shared" si="410"/>
        <v>1.4338365475101871</v>
      </c>
      <c r="F961" s="3037">
        <f t="shared" si="410"/>
        <v>1.4519277224880442</v>
      </c>
      <c r="G961" s="3037">
        <f t="shared" si="410"/>
        <v>1.470064139630517</v>
      </c>
      <c r="H961" s="3037">
        <f t="shared" si="410"/>
        <v>1.4882362937157534</v>
      </c>
      <c r="I961" s="3037">
        <f t="shared" si="410"/>
        <v>1.5064316584364499</v>
      </c>
      <c r="J961" s="3037">
        <f t="shared" si="410"/>
        <v>1.524647654905209</v>
      </c>
      <c r="K961" s="3037">
        <f t="shared" si="410"/>
        <v>1.5428682599959185</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1.3799105246784904</v>
      </c>
      <c r="C965" s="3037">
        <f t="shared" si="414"/>
        <v>1.3978207291307692</v>
      </c>
      <c r="D965" s="3037">
        <f t="shared" si="414"/>
        <v>1.4157997124197714</v>
      </c>
      <c r="E965" s="3037">
        <f t="shared" si="414"/>
        <v>1.4338365475101871</v>
      </c>
      <c r="F965" s="3037">
        <f t="shared" si="414"/>
        <v>1.4519277224880442</v>
      </c>
      <c r="G965" s="3037">
        <f t="shared" si="414"/>
        <v>1.470064139630517</v>
      </c>
      <c r="H965" s="3037">
        <f t="shared" si="414"/>
        <v>1.4882362937157534</v>
      </c>
      <c r="I965" s="3037">
        <f t="shared" si="414"/>
        <v>1.5064316584364499</v>
      </c>
      <c r="J965" s="3037">
        <f t="shared" si="414"/>
        <v>1.524647654905209</v>
      </c>
      <c r="K965" s="3037">
        <f t="shared" si="414"/>
        <v>1.5428682599959185</v>
      </c>
      <c r="N965" s="2846"/>
      <c r="O965" s="2846"/>
      <c r="Z965" s="2751" t="s">
        <v>6469</v>
      </c>
      <c r="AA965" s="2671">
        <v>70</v>
      </c>
    </row>
    <row r="966" spans="1:27" s="652" customFormat="1" ht="13.35" customHeight="1">
      <c r="A966" s="652" t="s">
        <v>718</v>
      </c>
      <c r="B966" s="3038">
        <f>'Part VI-Pro Forma'!B71</f>
        <v>2.1764322574253914</v>
      </c>
      <c r="C966" s="3038">
        <f>'Part VI-Pro Forma'!C71</f>
        <v>2.1589501876789368</v>
      </c>
      <c r="D966" s="3038">
        <f>'Part VI-Pro Forma'!D71</f>
        <v>2.141581521091048</v>
      </c>
      <c r="E966" s="3038">
        <f>'Part VI-Pro Forma'!E71</f>
        <v>2.1243198657998685</v>
      </c>
      <c r="F966" s="3038">
        <f>'Part VI-Pro Forma'!F71</f>
        <v>2.1071722486947357</v>
      </c>
      <c r="G966" s="3038">
        <f>'Part VI-Pro Forma'!G71</f>
        <v>2.0901366908759669</v>
      </c>
      <c r="H966" s="3038">
        <f>'Part VI-Pro Forma'!H71</f>
        <v>2.073211476988448</v>
      </c>
      <c r="I966" s="3038">
        <f>'Part VI-Pro Forma'!I71</f>
        <v>2.0563913837441676</v>
      </c>
      <c r="J966" s="3038">
        <f>'Part VI-Pro Forma'!J71</f>
        <v>2.0396863815107107</v>
      </c>
      <c r="K966" s="3038">
        <f>'Part VI-Pro Forma'!K71</f>
        <v>2.0230876441493861</v>
      </c>
      <c r="N966" s="2846"/>
      <c r="O966" s="2846"/>
      <c r="Z966" s="2751" t="s">
        <v>6469</v>
      </c>
      <c r="AA966" s="2671">
        <v>71</v>
      </c>
    </row>
    <row r="967" spans="1:27" s="652" customFormat="1" ht="13.35" customHeight="1">
      <c r="A967" s="652" t="s">
        <v>2406</v>
      </c>
      <c r="B967" s="3036">
        <f>'Part VI-Pro Forma'!B72</f>
        <v>5485878.1865420127</v>
      </c>
      <c r="C967" s="3036">
        <f>'Part VI-Pro Forma'!C72</f>
        <v>5408811.8128486751</v>
      </c>
      <c r="D967" s="3036">
        <f>'Part VI-Pro Forma'!D72</f>
        <v>5327276.6435596552</v>
      </c>
      <c r="E967" s="3036">
        <f>'Part VI-Pro Forma'!E72</f>
        <v>5241013.5496525411</v>
      </c>
      <c r="F967" s="3036">
        <f>'Part VI-Pro Forma'!F72</f>
        <v>5149748.3761658696</v>
      </c>
      <c r="G967" s="3036">
        <f>'Part VI-Pro Forma'!G72</f>
        <v>5053191.0709001776</v>
      </c>
      <c r="H967" s="3036">
        <f>'Part VI-Pro Forma'!H72</f>
        <v>4951034.762595634</v>
      </c>
      <c r="I967" s="3036">
        <f>'Part VI-Pro Forma'!I72</f>
        <v>4842954.7856565835</v>
      </c>
      <c r="J967" s="3036">
        <f>'Part VI-Pro Forma'!J72</f>
        <v>4728607.6483234474</v>
      </c>
      <c r="K967" s="3036">
        <f>'Part VI-Pro Forma'!K72</f>
        <v>4607629.9410127169</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3365</v>
      </c>
      <c r="B971" s="3036">
        <f>'Part VI-Pro Forma'!B76</f>
        <v>122927</v>
      </c>
      <c r="C971" s="3036">
        <f>'Part VI-Pro Forma'!C76</f>
        <v>63226</v>
      </c>
      <c r="D971" s="3036">
        <f>'Part VI-Pro Forma'!D76</f>
        <v>3525</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1263156.3310045276</v>
      </c>
      <c r="C974" s="3035">
        <f>'Part VI-Pro Forma'!C79</f>
        <v>1288419.4576246182</v>
      </c>
      <c r="D974" s="3035">
        <f>'Part VI-Pro Forma'!D79</f>
        <v>1314187.8467771106</v>
      </c>
      <c r="E974" s="3035">
        <f>'Part VI-Pro Forma'!E79</f>
        <v>1340471.6037126526</v>
      </c>
      <c r="F974" s="3035">
        <f>'Part VI-Pro Forma'!F79</f>
        <v>1367281.0357869056</v>
      </c>
      <c r="G974" s="3035">
        <f>'Part VI-Pro Forma'!G79</f>
        <v>1394626.6565026436</v>
      </c>
      <c r="H974" s="3035">
        <f>'Part VI-Pro Forma'!H79</f>
        <v>1422519.1896326968</v>
      </c>
      <c r="I974" s="3035">
        <f>'Part VI-Pro Forma'!I79</f>
        <v>1450969.5734253505</v>
      </c>
      <c r="J974" s="3035">
        <f>'Part VI-Pro Forma'!J79</f>
        <v>1479988.9648938577</v>
      </c>
      <c r="K974" s="3035">
        <f>'Part VI-Pro Forma'!K79</f>
        <v>1509588.7441917346</v>
      </c>
      <c r="N974" s="2846"/>
      <c r="O974" s="2846"/>
      <c r="Z974" s="2751" t="s">
        <v>6470</v>
      </c>
      <c r="AA974" s="2671">
        <v>79</v>
      </c>
    </row>
    <row r="975" spans="1:27" s="652" customFormat="1" ht="13.35" customHeight="1">
      <c r="A975" s="652" t="s">
        <v>953</v>
      </c>
      <c r="B975" s="3035">
        <f>'Part VI-Pro Forma'!B80</f>
        <v>25263.126620090552</v>
      </c>
      <c r="C975" s="3035">
        <f>'Part VI-Pro Forma'!C80</f>
        <v>25768.389152492364</v>
      </c>
      <c r="D975" s="3035">
        <f>'Part VI-Pro Forma'!D80</f>
        <v>26283.756935542213</v>
      </c>
      <c r="E975" s="3035">
        <f>'Part VI-Pro Forma'!E80</f>
        <v>26809.432074253051</v>
      </c>
      <c r="F975" s="3035">
        <f>'Part VI-Pro Forma'!F80</f>
        <v>27345.620715738114</v>
      </c>
      <c r="G975" s="3035">
        <f>'Part VI-Pro Forma'!G80</f>
        <v>27892.533130052874</v>
      </c>
      <c r="H975" s="3035">
        <f>'Part VI-Pro Forma'!H80</f>
        <v>28450.383792653935</v>
      </c>
      <c r="I975" s="3035">
        <f>'Part VI-Pro Forma'!I80</f>
        <v>29019.391468507009</v>
      </c>
      <c r="J975" s="3035">
        <f>'Part VI-Pro Forma'!J80</f>
        <v>29599.779297877154</v>
      </c>
      <c r="K975" s="3035">
        <f>'Part VI-Pro Forma'!K80</f>
        <v>30191.774883834692</v>
      </c>
      <c r="N975" s="2846"/>
      <c r="O975" s="2846"/>
      <c r="Z975" s="2751" t="s">
        <v>6470</v>
      </c>
      <c r="AA975" s="2671">
        <v>80</v>
      </c>
    </row>
    <row r="976" spans="1:27" s="652" customFormat="1" ht="13.35" customHeight="1">
      <c r="A976" s="652" t="s">
        <v>2217</v>
      </c>
      <c r="B976" s="3035">
        <f>'Part VI-Pro Forma'!B81</f>
        <v>-90189.362033723286</v>
      </c>
      <c r="C976" s="3035">
        <f>'Part VI-Pro Forma'!C81</f>
        <v>-91993.149274397743</v>
      </c>
      <c r="D976" s="3035">
        <f>'Part VI-Pro Forma'!D81</f>
        <v>-93833.012259885712</v>
      </c>
      <c r="E976" s="3035">
        <f>'Part VI-Pro Forma'!E81</f>
        <v>-95709.672505083392</v>
      </c>
      <c r="F976" s="3035">
        <f>'Part VI-Pro Forma'!F81</f>
        <v>-97623.865955185058</v>
      </c>
      <c r="G976" s="3035">
        <f>'Part VI-Pro Forma'!G81</f>
        <v>-99576.343274288767</v>
      </c>
      <c r="H976" s="3035">
        <f>'Part VI-Pro Forma'!H81</f>
        <v>-101567.87013977456</v>
      </c>
      <c r="I976" s="3035">
        <f>'Part VI-Pro Forma'!I81</f>
        <v>-103599.22754257004</v>
      </c>
      <c r="J976" s="3035">
        <f>'Part VI-Pro Forma'!J81</f>
        <v>-105671.21209342145</v>
      </c>
      <c r="K976" s="3035">
        <f>'Part VI-Pro Forma'!K81</f>
        <v>-107784.63633528986</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1198230.0955908948</v>
      </c>
      <c r="C979" s="3035">
        <f t="shared" ref="C979" si="416">SUM(C974:C978)</f>
        <v>1222194.697502713</v>
      </c>
      <c r="D979" s="3035">
        <f t="shared" ref="D979" si="417">SUM(D974:D978)</f>
        <v>1246638.5914527671</v>
      </c>
      <c r="E979" s="3035">
        <f t="shared" ref="E979" si="418">SUM(E974:E978)</f>
        <v>1271571.3632818221</v>
      </c>
      <c r="F979" s="3035">
        <f t="shared" ref="F979" si="419">SUM(F974:F978)</f>
        <v>1297002.7905474585</v>
      </c>
      <c r="G979" s="3035">
        <f t="shared" ref="G979" si="420">SUM(G974:G978)</f>
        <v>1322942.8463584078</v>
      </c>
      <c r="H979" s="3035">
        <f t="shared" ref="H979" si="421">SUM(H974:H978)</f>
        <v>1349401.7032855761</v>
      </c>
      <c r="I979" s="3035">
        <f t="shared" ref="I979" si="422">SUM(I974:I978)</f>
        <v>1376389.7373512874</v>
      </c>
      <c r="J979" s="3035">
        <f t="shared" ref="J979" si="423">SUM(J974:J978)</f>
        <v>1403917.5320983133</v>
      </c>
      <c r="K979" s="3035">
        <f t="shared" ref="K979" si="424">SUM(K974:K978)</f>
        <v>1431995.8827402794</v>
      </c>
      <c r="N979" s="2846"/>
      <c r="O979" s="2846"/>
      <c r="Z979" s="2751" t="s">
        <v>6470</v>
      </c>
      <c r="AA979" s="2671">
        <v>84</v>
      </c>
    </row>
    <row r="980" spans="1:27" s="652" customFormat="1" ht="13.35" customHeight="1">
      <c r="A980" s="652" t="s">
        <v>572</v>
      </c>
      <c r="B980" s="3035">
        <f>'Part VI-Pro Forma'!B85</f>
        <v>-468776.17095844622</v>
      </c>
      <c r="C980" s="3035">
        <f>'Part VI-Pro Forma'!C85</f>
        <v>-482839.45608719956</v>
      </c>
      <c r="D980" s="3035">
        <f>'Part VI-Pro Forma'!D85</f>
        <v>-497324.63976981555</v>
      </c>
      <c r="E980" s="3035">
        <f>'Part VI-Pro Forma'!E85</f>
        <v>-512244.37896291009</v>
      </c>
      <c r="F980" s="3035">
        <f>'Part VI-Pro Forma'!F85</f>
        <v>-527611.71033179725</v>
      </c>
      <c r="G980" s="3035">
        <f>'Part VI-Pro Forma'!G85</f>
        <v>-543440.06164175121</v>
      </c>
      <c r="H980" s="3035">
        <f>'Part VI-Pro Forma'!H85</f>
        <v>-559743.26349100377</v>
      </c>
      <c r="I980" s="3035">
        <f>'Part VI-Pro Forma'!I85</f>
        <v>-576535.56139573385</v>
      </c>
      <c r="J980" s="3035">
        <f>'Part VI-Pro Forma'!J85</f>
        <v>-593831.62823760591</v>
      </c>
      <c r="K980" s="3035">
        <f>'Part VI-Pro Forma'!K85</f>
        <v>-611646.57708473399</v>
      </c>
      <c r="N980" s="2846"/>
      <c r="O980" s="2846"/>
      <c r="Z980" s="2751" t="s">
        <v>6470</v>
      </c>
      <c r="AA980" s="2671">
        <v>85</v>
      </c>
    </row>
    <row r="981" spans="1:27" s="652" customFormat="1" ht="13.35" customHeight="1">
      <c r="A981" s="652" t="s">
        <v>1051</v>
      </c>
      <c r="B981" s="3035">
        <f>'Part VI-Pro Forma'!B86</f>
        <v>-95858</v>
      </c>
      <c r="C981" s="3035">
        <f>'Part VI-Pro Forma'!C86</f>
        <v>-97776</v>
      </c>
      <c r="D981" s="3035">
        <f>'Part VI-Pro Forma'!D86</f>
        <v>-99731</v>
      </c>
      <c r="E981" s="3035">
        <f>'Part VI-Pro Forma'!E86</f>
        <v>-101726</v>
      </c>
      <c r="F981" s="3035">
        <f>'Part VI-Pro Forma'!F86</f>
        <v>-103760</v>
      </c>
      <c r="G981" s="3035">
        <f>'Part VI-Pro Forma'!G86</f>
        <v>-105835</v>
      </c>
      <c r="H981" s="3035">
        <f>'Part VI-Pro Forma'!H86</f>
        <v>-107952</v>
      </c>
      <c r="I981" s="3035">
        <f>'Part VI-Pro Forma'!I86</f>
        <v>-110111</v>
      </c>
      <c r="J981" s="3035">
        <f>'Part VI-Pro Forma'!J86</f>
        <v>-112313</v>
      </c>
      <c r="K981" s="3035">
        <f>'Part VI-Pro Forma'!K86</f>
        <v>-114560</v>
      </c>
      <c r="N981" s="2846"/>
      <c r="O981" s="2846"/>
      <c r="Z981" s="2751" t="s">
        <v>6470</v>
      </c>
      <c r="AA981" s="2671">
        <v>86</v>
      </c>
    </row>
    <row r="982" spans="1:27" s="652" customFormat="1" ht="13.35" customHeight="1">
      <c r="A982" s="652" t="s">
        <v>1129</v>
      </c>
      <c r="B982" s="3035">
        <f>'Part VI-Pro Forma'!B87</f>
        <v>-32510.00222404944</v>
      </c>
      <c r="C982" s="3035">
        <f>'Part VI-Pro Forma'!C87</f>
        <v>-33485.302290770916</v>
      </c>
      <c r="D982" s="3035">
        <f>'Part VI-Pro Forma'!D87</f>
        <v>-34489.861359494047</v>
      </c>
      <c r="E982" s="3035">
        <f>'Part VI-Pro Forma'!E87</f>
        <v>-35524.557200278869</v>
      </c>
      <c r="F982" s="3035">
        <f>'Part VI-Pro Forma'!F87</f>
        <v>-36590.293916287235</v>
      </c>
      <c r="G982" s="3035">
        <f>'Part VI-Pro Forma'!G87</f>
        <v>-37688.002733775851</v>
      </c>
      <c r="H982" s="3035">
        <f>'Part VI-Pro Forma'!H87</f>
        <v>-38818.642815789128</v>
      </c>
      <c r="I982" s="3035">
        <f>'Part VI-Pro Forma'!I87</f>
        <v>-39983.202100262803</v>
      </c>
      <c r="J982" s="3035">
        <f>'Part VI-Pro Forma'!J87</f>
        <v>-41182.698163270681</v>
      </c>
      <c r="K982" s="3035">
        <f>'Part VI-Pro Forma'!K87</f>
        <v>-42418.179108168799</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601085.92240839917</v>
      </c>
      <c r="C984" s="3035">
        <f t="shared" ref="C984" si="425">SUM(C979:C983)</f>
        <v>608093.93912474252</v>
      </c>
      <c r="D984" s="3035">
        <f t="shared" ref="D984" si="426">SUM(D979:D983)</f>
        <v>615093.09032345749</v>
      </c>
      <c r="E984" s="3035">
        <f t="shared" ref="E984" si="427">SUM(E979:E983)</f>
        <v>622076.42711863318</v>
      </c>
      <c r="F984" s="3035">
        <f t="shared" ref="F984" si="428">SUM(F979:F983)</f>
        <v>629040.78629937395</v>
      </c>
      <c r="G984" s="3035">
        <f t="shared" ref="G984" si="429">SUM(G979:G983)</f>
        <v>635979.78198288067</v>
      </c>
      <c r="H984" s="3035">
        <f t="shared" ref="H984" si="430">SUM(H979:H983)</f>
        <v>642887.79697878321</v>
      </c>
      <c r="I984" s="3035">
        <f t="shared" ref="I984" si="431">SUM(I979:I983)</f>
        <v>649759.97385529079</v>
      </c>
      <c r="J984" s="3035">
        <f t="shared" ref="J984" si="432">SUM(J979:J983)</f>
        <v>656590.2056974367</v>
      </c>
      <c r="K984" s="3035">
        <f t="shared" ref="K984" si="433">SUM(K979:K983)</f>
        <v>663371.12654737663</v>
      </c>
      <c r="N984" s="2846"/>
      <c r="O984" s="2846"/>
      <c r="Z984" s="2751" t="s">
        <v>6470</v>
      </c>
      <c r="AA984" s="2671">
        <v>89</v>
      </c>
    </row>
    <row r="985" spans="1:27" s="652" customFormat="1" ht="13.35" customHeight="1">
      <c r="A985" s="652" t="str">
        <f>$A953</f>
        <v>Mortgage A</v>
      </c>
      <c r="B985" s="3036">
        <f>'Part VI-Pro Forma'!B90</f>
        <v>-385043.10329401225</v>
      </c>
      <c r="C985" s="3036">
        <f>'Part VI-Pro Forma'!C90</f>
        <v>-385043.10329401225</v>
      </c>
      <c r="D985" s="3036">
        <f>'Part VI-Pro Forma'!D90</f>
        <v>-385043.10329401225</v>
      </c>
      <c r="E985" s="3036">
        <f>'Part VI-Pro Forma'!E90</f>
        <v>-385043.10329401225</v>
      </c>
      <c r="F985" s="3036">
        <f>'Part VI-Pro Forma'!F90</f>
        <v>-385043.10329401225</v>
      </c>
      <c r="G985" s="3036">
        <f>'Part VI-Pro Forma'!G90</f>
        <v>-385043.10329401225</v>
      </c>
      <c r="H985" s="3036">
        <f>'Part VI-Pro Forma'!H90</f>
        <v>-385043.10329401225</v>
      </c>
      <c r="I985" s="3036">
        <f>'Part VI-Pro Forma'!I90</f>
        <v>-385043.10329401225</v>
      </c>
      <c r="J985" s="3036">
        <f>'Part VI-Pro Forma'!J90</f>
        <v>-385043.10329401225</v>
      </c>
      <c r="K985" s="3036">
        <f>'Part VI-Pro Forma'!K90</f>
        <v>-385043.10329401225</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-4800</v>
      </c>
      <c r="C990" s="3036">
        <f>'Part VI-Pro Forma'!C95</f>
        <v>-4800</v>
      </c>
      <c r="D990" s="3036">
        <f>'Part VI-Pro Forma'!D95</f>
        <v>-4800</v>
      </c>
      <c r="E990" s="3036">
        <f>'Part VI-Pro Forma'!E95</f>
        <v>-4800</v>
      </c>
      <c r="F990" s="3036">
        <f>'Part VI-Pro Forma'!F95</f>
        <v>-4800</v>
      </c>
      <c r="G990" s="3036">
        <f>'Part VI-Pro Forma'!G95</f>
        <v>-4800</v>
      </c>
      <c r="H990" s="3036">
        <f>'Part VI-Pro Forma'!H95</f>
        <v>-4800</v>
      </c>
      <c r="I990" s="3036">
        <f>'Part VI-Pro Forma'!I95</f>
        <v>-4800</v>
      </c>
      <c r="J990" s="3036">
        <f>'Part VI-Pro Forma'!J95</f>
        <v>-4800</v>
      </c>
      <c r="K990" s="3036">
        <f>'Part VI-Pro Forma'!K95</f>
        <v>-4800</v>
      </c>
      <c r="N990" s="2846"/>
      <c r="O990" s="2846"/>
      <c r="Z990" s="2751" t="s">
        <v>6470</v>
      </c>
      <c r="AA990" s="2671">
        <v>95</v>
      </c>
    </row>
    <row r="991" spans="1:27" s="652" customFormat="1" ht="13.35" customHeight="1">
      <c r="A991" s="652" t="s">
        <v>1097</v>
      </c>
      <c r="B991" s="3035">
        <f t="shared" ref="B991:K991" si="434">SUM(B984:B990)</f>
        <v>211242.81911438692</v>
      </c>
      <c r="C991" s="3035">
        <f t="shared" si="434"/>
        <v>218250.83583073027</v>
      </c>
      <c r="D991" s="3035">
        <f t="shared" si="434"/>
        <v>225249.98702944524</v>
      </c>
      <c r="E991" s="3035">
        <f t="shared" si="434"/>
        <v>232233.32382462092</v>
      </c>
      <c r="F991" s="3035">
        <f t="shared" si="434"/>
        <v>239197.6830053617</v>
      </c>
      <c r="G991" s="3035">
        <f t="shared" si="434"/>
        <v>246136.67868886841</v>
      </c>
      <c r="H991" s="3035">
        <f t="shared" si="434"/>
        <v>253044.69368477096</v>
      </c>
      <c r="I991" s="3035">
        <f t="shared" si="434"/>
        <v>259916.87056127854</v>
      </c>
      <c r="J991" s="3035">
        <f t="shared" si="434"/>
        <v>266747.10240342445</v>
      </c>
      <c r="K991" s="3035">
        <f t="shared" si="434"/>
        <v>273528.02325336437</v>
      </c>
      <c r="N991" s="2846"/>
      <c r="O991" s="2846"/>
      <c r="Z991" s="2751" t="s">
        <v>6470</v>
      </c>
      <c r="AA991" s="2857">
        <v>96</v>
      </c>
    </row>
    <row r="992" spans="1:27" s="652" customFormat="1" ht="13.35" customHeight="1">
      <c r="A992" s="652" t="str">
        <f>$A961</f>
        <v>DCR Mortgage A</v>
      </c>
      <c r="B992" s="3037">
        <f t="shared" ref="B992:K992" si="435">IF(B985=0,"",-B984/B985)</f>
        <v>1.5610873620801367</v>
      </c>
      <c r="C992" s="3037">
        <f t="shared" si="435"/>
        <v>1.5792879652240193</v>
      </c>
      <c r="D992" s="3037">
        <f t="shared" si="435"/>
        <v>1.5974655436271588</v>
      </c>
      <c r="E992" s="3037">
        <f t="shared" si="435"/>
        <v>1.6156020502557251</v>
      </c>
      <c r="F992" s="3037">
        <f t="shared" si="435"/>
        <v>1.6336892698972698</v>
      </c>
      <c r="G992" s="3037">
        <f t="shared" si="435"/>
        <v>1.6517106177000072</v>
      </c>
      <c r="H992" s="3037">
        <f t="shared" si="435"/>
        <v>1.6696515051923555</v>
      </c>
      <c r="I992" s="3037">
        <f t="shared" si="435"/>
        <v>1.6874993170807304</v>
      </c>
      <c r="J992" s="3037">
        <f t="shared" si="435"/>
        <v>1.7052381930240048</v>
      </c>
      <c r="K992" s="3037">
        <f t="shared" si="435"/>
        <v>1.722849002805896</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1.5610873620801367</v>
      </c>
      <c r="C996" s="3037">
        <f t="shared" si="439"/>
        <v>1.5792879652240193</v>
      </c>
      <c r="D996" s="3037">
        <f t="shared" si="439"/>
        <v>1.5974655436271588</v>
      </c>
      <c r="E996" s="3037">
        <f t="shared" si="439"/>
        <v>1.6156020502557251</v>
      </c>
      <c r="F996" s="3037">
        <f t="shared" si="439"/>
        <v>1.6336892698972698</v>
      </c>
      <c r="G996" s="3037">
        <f t="shared" si="439"/>
        <v>1.6517106177000072</v>
      </c>
      <c r="H996" s="3037">
        <f t="shared" si="439"/>
        <v>1.6696515051923555</v>
      </c>
      <c r="I996" s="3037">
        <f t="shared" si="439"/>
        <v>1.6874993170807304</v>
      </c>
      <c r="J996" s="3037">
        <f t="shared" si="439"/>
        <v>1.7052381930240048</v>
      </c>
      <c r="K996" s="3037">
        <f t="shared" si="439"/>
        <v>1.722849002805896</v>
      </c>
      <c r="N996" s="2846"/>
      <c r="O996" s="2846"/>
      <c r="Z996" s="2751" t="s">
        <v>6470</v>
      </c>
      <c r="AA996" s="2671">
        <v>101</v>
      </c>
    </row>
    <row r="997" spans="1:27" s="652" customFormat="1" ht="13.35" customHeight="1">
      <c r="A997" s="652" t="s">
        <v>718</v>
      </c>
      <c r="B997" s="3038">
        <f>IF(OR(B981="Choose mgt fee",B981="Choose One!"),"",(B974+B975+B976+B977+B978) / -(B980+B981+B982))</f>
        <v>2.0066010009021706</v>
      </c>
      <c r="C997" s="3038">
        <f t="shared" ref="C997:K997" si="440">IF(OR(C981="Choose mgt fee",C981="Choose One!"),"",(C974+C975+C976+C977+C978) / -(C980+C981+C982))</f>
        <v>1.9902185119114757</v>
      </c>
      <c r="D997" s="3038">
        <f t="shared" si="440"/>
        <v>1.9739489699848507</v>
      </c>
      <c r="E997" s="3038">
        <f t="shared" si="440"/>
        <v>1.9577848763432597</v>
      </c>
      <c r="F997" s="3038">
        <f t="shared" si="440"/>
        <v>1.9417313893587052</v>
      </c>
      <c r="G997" s="3038">
        <f t="shared" si="440"/>
        <v>1.9257845362632531</v>
      </c>
      <c r="H997" s="3038">
        <f t="shared" si="440"/>
        <v>1.9099435853136895</v>
      </c>
      <c r="I997" s="3038">
        <f t="shared" si="440"/>
        <v>1.894210513383231</v>
      </c>
      <c r="J997" s="3038">
        <f t="shared" si="440"/>
        <v>1.8785845003949886</v>
      </c>
      <c r="K997" s="3038">
        <f t="shared" si="440"/>
        <v>1.863062399698312</v>
      </c>
      <c r="N997" s="2846"/>
      <c r="O997" s="2846"/>
      <c r="Z997" s="2751" t="s">
        <v>6470</v>
      </c>
      <c r="AA997" s="2671">
        <v>102</v>
      </c>
    </row>
    <row r="998" spans="1:27" s="652" customFormat="1" ht="13.35" customHeight="1">
      <c r="A998" s="652" t="s">
        <v>2406</v>
      </c>
      <c r="B998" s="3036">
        <f>'Part VI-Pro Forma'!B103</f>
        <v>4479637.1813555872</v>
      </c>
      <c r="C998" s="3036">
        <f>'Part VI-Pro Forma'!C103</f>
        <v>4344222.5922646383</v>
      </c>
      <c r="D998" s="3036">
        <f>'Part VI-Pro Forma'!D103</f>
        <v>4200955.8091450892</v>
      </c>
      <c r="E998" s="3036">
        <f>'Part VI-Pro Forma'!E103</f>
        <v>4049381.5121419914</v>
      </c>
      <c r="F998" s="3036">
        <f>'Part VI-Pro Forma'!F103</f>
        <v>3889017.9790764656</v>
      </c>
      <c r="G998" s="3036">
        <f>'Part VI-Pro Forma'!G103</f>
        <v>3719355.5544720325</v>
      </c>
      <c r="H998" s="3036">
        <f>'Part VI-Pro Forma'!H103</f>
        <v>3539855.0298054116</v>
      </c>
      <c r="I998" s="3036">
        <f>'Part VI-Pro Forma'!I103</f>
        <v>3349945.9298340189</v>
      </c>
      <c r="J998" s="3036">
        <f>'Part VI-Pro Forma'!J103</f>
        <v>3149024.6995538995</v>
      </c>
      <c r="K998" s="3036">
        <f>'Part VI-Pro Forma'!K103</f>
        <v>2936452.7860260173</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1539780.5190755695</v>
      </c>
      <c r="C1004" s="3035">
        <f>'Part VI-Pro Forma'!C109</f>
        <v>1570576.1294570805</v>
      </c>
      <c r="D1004" s="3035">
        <f>'Part VI-Pro Forma'!D109</f>
        <v>1601987.6520462225</v>
      </c>
      <c r="E1004" s="3035">
        <f>'Part VI-Pro Forma'!E109</f>
        <v>1634027.4050871469</v>
      </c>
      <c r="F1004" s="3035">
        <f>'Part VI-Pro Forma'!F109</f>
        <v>1666707.9531888899</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30795.610381511389</v>
      </c>
      <c r="C1005" s="3035">
        <f>'Part VI-Pro Forma'!C110</f>
        <v>31411.522589141612</v>
      </c>
      <c r="D1005" s="3035">
        <f>'Part VI-Pro Forma'!D110</f>
        <v>32039.75304092445</v>
      </c>
      <c r="E1005" s="3035">
        <f>'Part VI-Pro Forma'!E110</f>
        <v>32680.548101742941</v>
      </c>
      <c r="F1005" s="3035">
        <f>'Part VI-Pro Forma'!F110</f>
        <v>33334.159063777799</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-109940.32906199567</v>
      </c>
      <c r="C1006" s="3035">
        <f>'Part VI-Pro Forma'!C111</f>
        <v>-112139.13564323555</v>
      </c>
      <c r="D1006" s="3035">
        <f>'Part VI-Pro Forma'!D111</f>
        <v>-114381.9183561003</v>
      </c>
      <c r="E1006" s="3035">
        <f>'Part VI-Pro Forma'!E111</f>
        <v>-116669.5567232223</v>
      </c>
      <c r="F1006" s="3035">
        <f>'Part VI-Pro Forma'!F111</f>
        <v>-119002.94785768676</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1460635.800395085</v>
      </c>
      <c r="C1009" s="3035">
        <f t="shared" ref="C1009" si="441">SUM(C1004:C1008)</f>
        <v>1489848.5164029864</v>
      </c>
      <c r="D1009" s="3035">
        <f t="shared" ref="D1009" si="442">SUM(D1004:D1008)</f>
        <v>1519645.4867310466</v>
      </c>
      <c r="E1009" s="3035">
        <f t="shared" ref="E1009" si="443">SUM(E1004:E1008)</f>
        <v>1550038.3964656675</v>
      </c>
      <c r="F1009" s="3035">
        <f t="shared" ref="F1009" si="444">SUM(F1004:F1008)</f>
        <v>1581039.164394981</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-629995.97439727606</v>
      </c>
      <c r="C1010" s="3035">
        <f>'Part VI-Pro Forma'!C115</f>
        <v>-648895.85362919443</v>
      </c>
      <c r="D1010" s="3035">
        <f>'Part VI-Pro Forma'!D115</f>
        <v>-668362.72923807008</v>
      </c>
      <c r="E1010" s="3035">
        <f>'Part VI-Pro Forma'!E115</f>
        <v>-688413.6111152122</v>
      </c>
      <c r="F1010" s="3035">
        <f>'Part VI-Pro Forma'!F115</f>
        <v>-709066.01944866846</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-116851</v>
      </c>
      <c r="C1011" s="3035">
        <f>'Part VI-Pro Forma'!C116</f>
        <v>-119188</v>
      </c>
      <c r="D1011" s="3035">
        <f>'Part VI-Pro Forma'!D116</f>
        <v>-121572</v>
      </c>
      <c r="E1011" s="3035">
        <f>'Part VI-Pro Forma'!E116</f>
        <v>-124003</v>
      </c>
      <c r="F1011" s="3035">
        <f>'Part VI-Pro Forma'!F116</f>
        <v>-126483</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-43690.724481413861</v>
      </c>
      <c r="C1012" s="3035">
        <f>'Part VI-Pro Forma'!C117</f>
        <v>-45001.446215856289</v>
      </c>
      <c r="D1012" s="3035">
        <f>'Part VI-Pro Forma'!D117</f>
        <v>-46351.489602331967</v>
      </c>
      <c r="E1012" s="3035">
        <f>'Part VI-Pro Forma'!E117</f>
        <v>-47742.034290401927</v>
      </c>
      <c r="F1012" s="3035">
        <f>'Part VI-Pro Forma'!F117</f>
        <v>-49174.295319113975</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670098.10151639511</v>
      </c>
      <c r="C1014" s="3035">
        <f t="shared" ref="C1014" si="445">SUM(C1009:C1013)</f>
        <v>676763.2165579357</v>
      </c>
      <c r="D1014" s="3035">
        <f t="shared" ref="D1014" si="446">SUM(D1009:D1013)</f>
        <v>683359.26789064449</v>
      </c>
      <c r="E1014" s="3035">
        <f t="shared" ref="E1014" si="447">SUM(E1009:E1013)</f>
        <v>689879.75106005336</v>
      </c>
      <c r="F1014" s="3035">
        <f t="shared" ref="F1014" si="448">SUM(F1009:F1013)</f>
        <v>696315.84962719854</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-385043.10329401225</v>
      </c>
      <c r="C1015" s="3036">
        <f>'Part VI-Pro Forma'!C120</f>
        <v>-385043.10329401225</v>
      </c>
      <c r="D1015" s="3036">
        <f>'Part VI-Pro Forma'!D120</f>
        <v>-385043.10329401225</v>
      </c>
      <c r="E1015" s="3036">
        <f>'Part VI-Pro Forma'!E120</f>
        <v>-385043.10329401225</v>
      </c>
      <c r="F1015" s="3036">
        <f>'Part VI-Pro Forma'!F120</f>
        <v>-385043.10329401225</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-4800</v>
      </c>
      <c r="C1020" s="3036">
        <f>'Part VI-Pro Forma'!C125</f>
        <v>-4800</v>
      </c>
      <c r="D1020" s="3036">
        <f>'Part VI-Pro Forma'!D125</f>
        <v>-4800</v>
      </c>
      <c r="E1020" s="3036">
        <f>'Part VI-Pro Forma'!E125</f>
        <v>-4800</v>
      </c>
      <c r="F1020" s="3036">
        <f>'Part VI-Pro Forma'!F125</f>
        <v>-4800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280254.99822238286</v>
      </c>
      <c r="C1021" s="3035">
        <f t="shared" si="449"/>
        <v>286920.11326392344</v>
      </c>
      <c r="D1021" s="3035">
        <f t="shared" si="449"/>
        <v>293516.16459663224</v>
      </c>
      <c r="E1021" s="3035">
        <f t="shared" si="449"/>
        <v>300036.6477660411</v>
      </c>
      <c r="F1021" s="3035">
        <f t="shared" si="449"/>
        <v>306472.74633318628</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1.7403197091020737</v>
      </c>
      <c r="C1022" s="3037">
        <f t="shared" si="450"/>
        <v>1.7576297582485747</v>
      </c>
      <c r="D1022" s="3037">
        <f t="shared" si="450"/>
        <v>1.7747604412195981</v>
      </c>
      <c r="E1022" s="3037">
        <f t="shared" si="450"/>
        <v>1.7916948652194742</v>
      </c>
      <c r="F1022" s="3037">
        <f t="shared" si="450"/>
        <v>1.80841013297024</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f t="shared" ref="B1026:F1026" si="454">IF(AND(B1015=0,B1016=0,B1017=0,B1018=0),"",-B1014/(B1015+B1016+B1017+B1018))</f>
        <v>1.7403197091020737</v>
      </c>
      <c r="C1026" s="3037">
        <f t="shared" si="454"/>
        <v>1.7576297582485747</v>
      </c>
      <c r="D1026" s="3037">
        <f t="shared" si="454"/>
        <v>1.7747604412195981</v>
      </c>
      <c r="E1026" s="3037">
        <f t="shared" si="454"/>
        <v>1.7916948652194742</v>
      </c>
      <c r="F1026" s="3037">
        <f t="shared" si="454"/>
        <v>1.80841013297024</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1.8476485086882914</v>
      </c>
      <c r="C1027" s="3038">
        <f t="shared" ref="C1027:F1027" si="455">IF(OR(C1011="Choose mgt fee",C1011="Choose One!"),"",(C1004+C1005+C1006+C1007+C1008) / -(C1010+C1011+C1012))</f>
        <v>1.832339751668006</v>
      </c>
      <c r="D1027" s="3038">
        <f t="shared" si="455"/>
        <v>1.8171356319110379</v>
      </c>
      <c r="E1027" s="3038">
        <f t="shared" si="455"/>
        <v>1.8020378040085099</v>
      </c>
      <c r="F1027" s="3038">
        <f t="shared" si="455"/>
        <v>1.7870436304823321</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2711554.6089747068</v>
      </c>
      <c r="C1028" s="3036">
        <f>'Part VI-Pro Forma'!C133</f>
        <v>2473615.4137085914</v>
      </c>
      <c r="D1028" s="3036">
        <f>'Part VI-Pro Forma'!D133</f>
        <v>2221878.999540281</v>
      </c>
      <c r="E1028" s="3036">
        <f>'Part VI-Pro Forma'!E133</f>
        <v>1955545.3164854844</v>
      </c>
      <c r="F1028" s="3036">
        <f>'Part VI-Pro Forma'!F133</f>
        <v>1673767.9226035371</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
Deferred developer fee is paid off in 14 years.
Synovus Bank's asset management fee is $4,800 and does not escalate annually.  The State Investor does not have an asset management fee.</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Gibson Park ,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6540</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6539</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6642</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02 are consistent with current equity market pricing.  Annual operating expenses meet the minimum standard in Exhibit A of Appendix I of the 2022 QAP.  Applicant has followed all of DCA's policies pertaining to Project Rents, Operating Utility Allowances, Deferred Developer Fees and Commitments in this application.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6859</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6649</v>
      </c>
      <c r="C1074" s="2550"/>
      <c r="D1074" s="2550"/>
      <c r="E1074" s="3052"/>
      <c r="F1074" s="3052"/>
      <c r="G1074" s="3054"/>
      <c r="H1074" s="3052"/>
      <c r="J1074" s="2698" t="str">
        <f>'Part VII-Threshold Criteria'!J36</f>
        <v>&lt;&lt; Select CURRENT Tenancy &gt;&gt;</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 xml:space="preserve">Applicant has met Threshold by designating this as a Family project.  </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Applicant has met Threshold by agreeing to the above statements and that all selcted services will meet QAP policies. Since there are 72 family units, applicant will include 2 services from the categories in the 2022 QAP.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6643</v>
      </c>
      <c r="K1094" s="2692" t="str">
        <f>'Part VIII Scoring Criteria'!$M$59</f>
        <v>Atlanta Metro</v>
      </c>
      <c r="L1094" s="2802" t="s">
        <v>3825</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14 units per month /5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0.98399999999999999</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1.4999999999999999E-2</v>
      </c>
      <c r="L1099" s="3073"/>
      <c r="N1099" s="3074"/>
      <c r="O1099" s="3075" t="s">
        <v>3392</v>
      </c>
      <c r="P1099" s="3072">
        <f>'Part VII-Threshold Criteria'!P61</f>
        <v>2E-3</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2010-052</v>
      </c>
      <c r="E1102" s="2913" t="str">
        <f>'Part VII-Threshold Criteria'!E64</f>
        <v xml:space="preserve">Maplewood Park </v>
      </c>
      <c r="F1102" s="2913"/>
      <c r="G1102" s="2913"/>
      <c r="H1102" s="3064" t="s">
        <v>2183</v>
      </c>
      <c r="I1102" s="3066" t="str">
        <f>'Part VII-Threshold Criteria'!I64</f>
        <v>1999-058</v>
      </c>
      <c r="J1102" s="2913" t="str">
        <f>'Part VII-Threshold Criteria'!J64</f>
        <v>Columbia Colony</v>
      </c>
      <c r="K1102" s="2913"/>
      <c r="L1102" s="2913"/>
      <c r="M1102" s="3064" t="s">
        <v>93</v>
      </c>
      <c r="N1102" s="3066" t="str">
        <f>'Part VII-Threshold Criteria'!N64</f>
        <v>2002-518</v>
      </c>
      <c r="O1102" s="2913" t="str">
        <f>'Part VII-Threshold Criteria'!O64</f>
        <v xml:space="preserve">Orchard Springs </v>
      </c>
      <c r="P1102" s="2913"/>
      <c r="Q1102" s="2913"/>
    </row>
    <row r="1103" spans="1:31" s="652" customFormat="1" ht="12.75" customHeight="1">
      <c r="C1103" s="3064" t="s">
        <v>1616</v>
      </c>
      <c r="D1103" s="3066" t="str">
        <f>'Part VII-Threshold Criteria'!D65</f>
        <v>2013-013</v>
      </c>
      <c r="E1103" s="2913" t="str">
        <f>'Part VII-Threshold Criteria'!E65</f>
        <v>Manor at Broad Street</v>
      </c>
      <c r="F1103" s="2913"/>
      <c r="G1103" s="2913"/>
      <c r="H1103" s="3064" t="s">
        <v>1449</v>
      </c>
      <c r="I1103" s="3066" t="str">
        <f>'Part VII-Threshold Criteria'!I65</f>
        <v>2002-502</v>
      </c>
      <c r="J1103" s="2913" t="str">
        <f>'Part VII-Threshold Criteria'!J65</f>
        <v>Park View at Coventry Station</v>
      </c>
      <c r="K1103" s="2913"/>
      <c r="L1103" s="2913"/>
      <c r="M1103" s="3064" t="s">
        <v>481</v>
      </c>
      <c r="N1103" s="3066" t="str">
        <f>'Part VII-Threshold Criteria'!N65</f>
        <v>2003-039</v>
      </c>
      <c r="O1103" s="2913" t="str">
        <f>'Part VII-Threshold Criteria'!O65</f>
        <v>Princeton Court</v>
      </c>
      <c r="P1103" s="2913"/>
      <c r="Q1103" s="2913"/>
    </row>
    <row r="1104" spans="1:31" s="652" customFormat="1" ht="12.75" customHeight="1">
      <c r="C1104" s="3064" t="s">
        <v>1617</v>
      </c>
      <c r="D1104" s="3066" t="str">
        <f>'Part VII-Threshold Criteria'!D66</f>
        <v>1999-039</v>
      </c>
      <c r="E1104" s="2913" t="str">
        <f>'Part VII-Threshold Criteria'!E66</f>
        <v>Village of College Park</v>
      </c>
      <c r="F1104" s="2913"/>
      <c r="G1104" s="2913"/>
      <c r="H1104" s="3064" t="s">
        <v>1450</v>
      </c>
      <c r="I1104" s="3066" t="str">
        <f>'Part VII-Threshold Criteria'!I66</f>
        <v>2004-522</v>
      </c>
      <c r="J1104" s="2913" t="str">
        <f>'Part VII-Threshold Criteria'!J66</f>
        <v xml:space="preserve">Leyland Pointe </v>
      </c>
      <c r="K1104" s="2913"/>
      <c r="L1104" s="2913"/>
      <c r="M1104" s="3064" t="s">
        <v>482</v>
      </c>
      <c r="N1104" s="3066" t="str">
        <f>'Part VII-Threshold Criteria'!N66</f>
        <v>2007-016</v>
      </c>
      <c r="O1104" s="2913" t="str">
        <f>'Part VII-Threshold Criteria'!O66</f>
        <v xml:space="preserve">Legacy at Walton Lakes </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 xml:space="preserve">Applicant has met Threshold by providing a Market Study that adheres to all requirements of the 2022 Market Study Manual. There is not more than one DCA funded projects in the PMA which have physical occupancy rates of less than 90% and which compete for the same tenant base as Gibson Park.   There are no capture rates over 30% for either a specific bedroom type or market segement.  The capture rate for the LIHTC units is 1.5% and for the Market Rate units the capture rate is .2% .  Other LIHTC projects in the PMA are shown above. Within the last 15 years, there has been one 9% DCA funded property within the City of College Park.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67.5">
      <c r="A1127" s="3049" t="str">
        <f>'Part VII-Threshold Criteria'!A89</f>
        <v xml:space="preserve">There is no identity of interest between the buyer and seller.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6541</v>
      </c>
      <c r="O1130" s="3047" t="s">
        <v>1731</v>
      </c>
      <c r="P1130" s="2135"/>
      <c r="Q1130" s="2135"/>
      <c r="R1130" s="2833" t="s">
        <v>6528</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 xml:space="preserve">Geotechnical and Environmental Consultants </v>
      </c>
      <c r="M1132" s="3000"/>
      <c r="N1132" s="3000"/>
      <c r="O1132" s="3000"/>
      <c r="P1132" s="3000"/>
      <c r="Q1132" s="2976"/>
    </row>
    <row r="1133" spans="1:31" s="652" customFormat="1" ht="12" customHeight="1">
      <c r="B1133" s="1024" t="s">
        <v>6633</v>
      </c>
      <c r="O1133" s="3064" t="s">
        <v>1616</v>
      </c>
      <c r="P1133" s="3066" t="str">
        <f>'Part VII-Threshold Criteria'!P95</f>
        <v>No</v>
      </c>
      <c r="Q1133" s="2976"/>
    </row>
    <row r="1134" spans="1:31" s="652" customFormat="1" ht="12" customHeight="1">
      <c r="B1134" s="1024" t="s">
        <v>6529</v>
      </c>
      <c r="I1134" s="1024" t="s">
        <v>6531</v>
      </c>
      <c r="K1134" s="3076">
        <f>'Part VII-Threshold Criteria'!K96</f>
        <v>44652</v>
      </c>
      <c r="L1134" s="3077"/>
      <c r="N1134" s="1024" t="s">
        <v>6530</v>
      </c>
      <c r="P1134" s="3076">
        <f>'Part VII-Threshold Criteria'!P96</f>
        <v>44694</v>
      </c>
      <c r="Q1134" s="3077"/>
    </row>
    <row r="1135" spans="1:31" s="652" customFormat="1" ht="12" customHeight="1">
      <c r="A1135" s="3064" t="s">
        <v>1844</v>
      </c>
      <c r="B1135" s="474" t="s">
        <v>6640</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 xml:space="preserve">Geotechnical and Environmental Consultants </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74</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6626</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6627</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6628</v>
      </c>
      <c r="E1143" s="3079" t="s">
        <v>2241</v>
      </c>
      <c r="F1143" s="2971" t="s">
        <v>6629</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6630</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6628</v>
      </c>
      <c r="E1146" s="3079" t="s">
        <v>2241</v>
      </c>
      <c r="F1146" s="2971" t="s">
        <v>6631</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6632</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Yes</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3863</v>
      </c>
      <c r="I1150" s="474" t="s">
        <v>6114</v>
      </c>
      <c r="J1150" s="3066" t="str">
        <f>'Part VII-Threshold Criteria'!J112</f>
        <v>No</v>
      </c>
      <c r="K1150" s="2976"/>
      <c r="L1150" s="3064" t="s">
        <v>3867</v>
      </c>
      <c r="M1150" s="1024" t="s">
        <v>3283</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6532</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6634</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6860</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 xml:space="preserve">  Applicant has met Threshold by providing a Phase I Environmental Report that adheres to all requriements in the 2022 Environmental Manual. The noise level was above DCA's threshold, however, a noise attenuation plan is included in the site assessment. All noise concerns are being mitgated through building standards and site design.  Suitable wall, window, and door design details will be incorporated into the building to mitigate all noise issues. Apartment  buildings  located  on  site,  as  well  as  the topographic elevation, create a barrier to the noise and ensure no line-of-sight from the outdoor amenity. Please also note that according to the Phase I, the Monarch Butterfly is listed as a "candidate" species but Applicant does not interpret this as "endangered" in respect to DCA's requirements. For further information, please see Section 5.4.  Section F was left blank because there this is not a HOME application and thus it is not applicable to Gibson Park.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6541</v>
      </c>
      <c r="O1168" s="3047" t="s">
        <v>1731</v>
      </c>
      <c r="P1168" s="2135"/>
      <c r="Q1168" s="2135"/>
      <c r="R1168" s="2833" t="s">
        <v>6528</v>
      </c>
    </row>
    <row r="1169" spans="1:31" s="652" customFormat="1" ht="12" customHeight="1">
      <c r="A1169" s="3064" t="s">
        <v>1842</v>
      </c>
      <c r="B1169" s="2923" t="s">
        <v>1615</v>
      </c>
      <c r="C1169" s="474" t="s">
        <v>6806</v>
      </c>
      <c r="D1169" s="474"/>
      <c r="E1169" s="474"/>
      <c r="F1169" s="474"/>
      <c r="G1169" s="474"/>
      <c r="K1169" s="474" t="s">
        <v>2461</v>
      </c>
      <c r="M1169" s="3086">
        <f>'Part VII-Threshold Criteria'!M131</f>
        <v>45031</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2461</v>
      </c>
      <c r="M1170" s="3086">
        <f>'Part VII-Threshold Criteria'!M132</f>
        <v>0</v>
      </c>
      <c r="N1170" s="3086"/>
      <c r="O1170" s="3064" t="s">
        <v>1616</v>
      </c>
      <c r="P1170" s="3066">
        <f>'Part VII-Threshold Criteria'!P132</f>
        <v>0</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 xml:space="preserve">TBG Development Services. Inc. </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Applicant has met Threshold by providing site control for this project through November 30, 2022.  Please note Section 5.1 in the Purchase Agreement that states closing shall occur no later than 90 days following receipt of notice of approval from DCA regarding the award of Housing Credits. Applicant can extend the contract beyond this date utilizing  up to two 30-day extensions if needed.  Applicant has also provided the warranty deed for the site from the current property owner, as well as the legal description in MS Word format both found in TAB 08.</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 xml:space="preserve">Applicant has met Threshold by specifying an entrance to the site  that is legally accessible by paved roads.  See map in TAB 9.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6541</v>
      </c>
      <c r="O1189" s="3047" t="s">
        <v>1731</v>
      </c>
      <c r="P1189" s="2135"/>
      <c r="Q1189" s="2135"/>
      <c r="R1189" s="2833" t="s">
        <v>6528</v>
      </c>
    </row>
    <row r="1190" spans="1:44" s="652" customFormat="1" ht="11.45" customHeight="1">
      <c r="B1190" s="1024" t="s">
        <v>6664</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Applicant has met Threshold because the site is currently zoned appropriately for multifamily development.  The site is zoned RM and allows for multifamily.  The Collaborative Firm (TCF) supplements as College Park's zoning department. A zoning letter confirming this can be found in TAB 10.</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6541</v>
      </c>
      <c r="O1207" s="3047" t="s">
        <v>1731</v>
      </c>
      <c r="P1207" s="2135"/>
      <c r="Q1207" s="2135"/>
      <c r="R1207" s="2833" t="s">
        <v>6528</v>
      </c>
    </row>
    <row r="1208" spans="1:44" s="652" customFormat="1" ht="12.75" customHeight="1">
      <c r="B1208" s="1024" t="s">
        <v>6664</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f>'Part VII-Threshold Criteria'!J171</f>
        <v>0</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 xml:space="preserve">Georgia Power </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Applicant has met Threshold because operating utilities are available to the project. The project will not utilize gas service.  The electricity availability letter is in TAB 11.</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6541</v>
      </c>
      <c r="O1215" s="3047" t="s">
        <v>1731</v>
      </c>
      <c r="P1215" s="2135"/>
      <c r="Q1215" s="2135"/>
      <c r="R1215" s="2833" t="s">
        <v>6528</v>
      </c>
    </row>
    <row r="1216" spans="1:44" s="652" customFormat="1" ht="12.75" customHeight="1">
      <c r="B1216" s="1024" t="s">
        <v>6664</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 xml:space="preserve">City of Atlanta Department of Watershed Management </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 xml:space="preserve">Fulton County Department of Public Works </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6862</v>
      </c>
      <c r="E1219" s="474"/>
      <c r="F1219" s="474"/>
      <c r="G1219" s="474"/>
      <c r="H1219" s="474"/>
      <c r="I1219" s="474"/>
      <c r="J1219" s="474"/>
      <c r="K1219" s="2550"/>
      <c r="L1219" s="474"/>
      <c r="M1219" s="474"/>
      <c r="O1219" s="3058" t="s">
        <v>6511</v>
      </c>
      <c r="P1219" s="3066" t="str">
        <f>'Part VII-Threshold Criteria'!P181</f>
        <v>Yes</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6535</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Applicant has met Threshold because public water and sanitary sewer are available to the project site.  The water and sewer availability letter can be found in TAB 12.  There are no easements  necessary for the City of College Park to extend the existing water and sewer services to the project.   There is no annexation or improvements needed so there is no documentation submitted with this Application.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6864</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6865</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3154</v>
      </c>
      <c r="O1235" s="3092">
        <f>'Part V-Revenues &amp; Expenses'!$P$67</f>
        <v>72</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6866</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(Select an amenity from options provided here)</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No</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No</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Applicant has met Threshold because the project will include all required standard site amenities and additional amenities.   The Site Information and Conceptual Site Development Plan found in TAB 16 includes the location of these amenities. This is a family tenancy so no elevator are included or interior furnished gatherings.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6746</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 xml:space="preserve">Applicant is not providing a CSF.  </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 xml:space="preserve">This project does not include rehabilitation. </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Applicant has met Threshold because the Site Information and Conceptual Site Development Plan accurately addresses all requirements stated above and in the 2022 Architectural Manual.  The Site Plan can be found in TAB 16. All maps and photos are accurate and also included in TAB 16.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 xml:space="preserve">Applicant has met Threshold because this project will achieve the minimum standards for efficiency and sustainable building practices as defined in the 2022 QAP.  The project will also obtain a sustainable building certification from the EarthCraft Multifamily program.    A draft scoring sheet for  the development that includes both the expected score and the minimum score required to achieve the level of certification required by this program can be found in TAB 17.  Gibson Park scores 115 points on the score sheet and 100 points are  required to receive Earth Craft House Multifamily certification. The Earthcraft Multifamily Worksheet used is effective as of January 1, 2020, and this is the most current form. The Applicant also certifies that it has completed the required 30-minute Green Building Affordable Housing Webinar found at the above link provided by DCA.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6665</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6666</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6808</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6809</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Terracon</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6667</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80">
      <c r="A1342" s="3049" t="str">
        <f>'Part VII-Threshold Criteria'!A304</f>
        <v>Applicant has met Threshold by agreeing  to all of DCA's accessibility standards stated above and in the 2022 QAP and Accessibility Manual.</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6678</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6677</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6308</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6309</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6778</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 xml:space="preserve">Applicant has met Threshold by commiting to adhering  to DCA design and quality standards.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6542</v>
      </c>
      <c r="C1364" s="2906"/>
      <c r="D1364" s="3052"/>
      <c r="E1364" s="3052"/>
      <c r="F1364" s="3052"/>
      <c r="G1364" s="3052"/>
      <c r="H1364" s="3052"/>
      <c r="N1364" s="2833" t="s">
        <v>6541</v>
      </c>
      <c r="O1364" s="3047" t="s">
        <v>1731</v>
      </c>
      <c r="P1364" s="2135"/>
      <c r="Q1364" s="2135"/>
      <c r="R1364" s="2833" t="s">
        <v>6528</v>
      </c>
    </row>
    <row r="1365" spans="1:44" s="652" customFormat="1" ht="11.45" customHeight="1">
      <c r="A1365" s="3064" t="s">
        <v>1842</v>
      </c>
      <c r="B1365" s="1024" t="s">
        <v>6537</v>
      </c>
      <c r="O1365" s="3058" t="s">
        <v>1842</v>
      </c>
      <c r="P1365" s="3066" t="str">
        <f>'Part VII-Threshold Criteria'!P327</f>
        <v>Yes</v>
      </c>
      <c r="Q1365" s="2976"/>
    </row>
    <row r="1366" spans="1:44" s="652" customFormat="1" ht="11.45" customHeight="1">
      <c r="A1366" s="3058" t="s">
        <v>1844</v>
      </c>
      <c r="B1366" s="1024" t="s">
        <v>6544</v>
      </c>
      <c r="O1366" s="3058" t="s">
        <v>1844</v>
      </c>
      <c r="P1366" s="3066" t="str">
        <f>'Part VII-Threshold Criteria'!P328</f>
        <v>Yes</v>
      </c>
      <c r="Q1366" s="2976"/>
    </row>
    <row r="1367" spans="1:44" s="652" customFormat="1" ht="11.45" customHeight="1">
      <c r="A1367" s="3058" t="s">
        <v>698</v>
      </c>
      <c r="B1367" s="1024" t="s">
        <v>6545</v>
      </c>
      <c r="K1367" s="2822"/>
      <c r="M1367" s="3058" t="s">
        <v>698</v>
      </c>
      <c r="N1367" s="2698" t="str">
        <f>'Part VII-Threshold Criteria'!N329</f>
        <v>No</v>
      </c>
      <c r="O1367" s="2698"/>
      <c r="P1367" s="2719" t="s">
        <v>1647</v>
      </c>
      <c r="Q1367" s="2719"/>
    </row>
    <row r="1368" spans="1:44" s="652" customFormat="1" ht="11.45" customHeight="1">
      <c r="A1368" s="3064" t="s">
        <v>1963</v>
      </c>
      <c r="B1368" s="1024" t="s">
        <v>6546</v>
      </c>
      <c r="O1368" s="3064" t="s">
        <v>1963</v>
      </c>
      <c r="P1368" s="3066" t="str">
        <f>'Part VII-Threshold Criteria'!P330</f>
        <v>No</v>
      </c>
      <c r="Q1368" s="2976"/>
    </row>
    <row r="1369" spans="1:44" s="652" customFormat="1" ht="11.45" customHeight="1">
      <c r="A1369" s="3058" t="s">
        <v>1613</v>
      </c>
      <c r="B1369" s="1024" t="s">
        <v>6547</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Applicant has met Threshold because the Certifying Entities and other team members have completed all required documents as listed in QAP Threshold Section XX.</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6548</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6549</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6550</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6811</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72</v>
      </c>
      <c r="F1381" s="474" t="s">
        <v>3898</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6812</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72</v>
      </c>
      <c r="F1383" s="474" t="s">
        <v>6698</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6551</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72</v>
      </c>
      <c r="F1386" s="474" t="s">
        <v>3898</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Applicant has not applied for the Preservation Set Aside.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67.5">
      <c r="A1404" s="3049" t="str">
        <f>'Part VII-Threshold Criteria'!A366</f>
        <v xml:space="preserve">Applicant has not applied for the Nonprofit Set-Aside. </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Applicant has not applied for CHDO Setaside.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 legal opinions are requied for this applicaton.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t="str">
        <f>'Part VII-Threshold Criteria'!P392</f>
        <v>No</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6507</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6158</v>
      </c>
      <c r="D1438" s="3053"/>
      <c r="E1438" s="3053"/>
      <c r="F1438" s="3053"/>
      <c r="G1438" s="474" t="s">
        <v>3947</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6236</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56.25">
      <c r="A1462" s="3049" t="str">
        <f>'Part VII-Threshold Criteria'!A424</f>
        <v>This project does not involve relocation.</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has met Threshold by agreeing to all of the above.</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Applicant has met Threshold here by structuring this project in a way that adheres to all of DCA's Underwriting Policies.  Applicant believes the requested allocation represents an appropriate amount that is consistent with the project scope and budget.  Applicant has efficiently assembled the project design, financing and tenant services to best fit with DCA's current policies and objectives.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Gibson Park , ,  County</v>
      </c>
      <c r="B1492" s="2550"/>
      <c r="C1492" s="2550"/>
      <c r="D1492" s="2550"/>
      <c r="E1492" s="2550"/>
      <c r="F1492" s="2550"/>
      <c r="G1492" s="2550"/>
      <c r="H1492" s="2550"/>
      <c r="I1492" s="2550"/>
      <c r="J1492" s="2550"/>
      <c r="K1492" s="2550"/>
      <c r="L1492" s="2550"/>
      <c r="M1492" s="2550"/>
      <c r="N1492" s="2550"/>
      <c r="O1492" s="2550"/>
      <c r="P1492" s="2550"/>
      <c r="Q1492" s="3127" t="s">
        <v>6654</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51</v>
      </c>
      <c r="P1497" s="3132">
        <f>P1932</f>
        <v>22</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6502</v>
      </c>
      <c r="G1503" s="3020"/>
      <c r="H1503" s="3020"/>
      <c r="I1503" s="3020"/>
      <c r="J1503" s="3020"/>
      <c r="K1503" s="3020"/>
      <c r="L1503" s="3020"/>
      <c r="M1503" s="3020"/>
      <c r="N1503" s="3020"/>
      <c r="O1503" s="3137" t="s">
        <v>3814</v>
      </c>
      <c r="P1503" s="2976">
        <f>SUM(P1504:P1522)</f>
        <v>0</v>
      </c>
      <c r="Q1503" s="3053" t="s">
        <v>6874</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6646</v>
      </c>
      <c r="B1513" s="2749" t="s">
        <v>6558</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6648</v>
      </c>
      <c r="B1514" s="2749" t="s">
        <v>6647</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6564</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6645</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6562</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6572</v>
      </c>
    </row>
    <row r="1522" spans="1:35" s="2550" customFormat="1" ht="10.5" customHeight="1">
      <c r="A1522" s="3138" t="s">
        <v>6565</v>
      </c>
      <c r="B1522" s="2749" t="s">
        <v>6563</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6573</v>
      </c>
      <c r="AD1522" s="2550" t="s">
        <v>6574</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6512</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6512</v>
      </c>
      <c r="AA1524" s="3144"/>
      <c r="AB1524" s="3144"/>
      <c r="AC1524" s="3144"/>
      <c r="AD1524" s="3144" t="s">
        <v>6131</v>
      </c>
      <c r="AE1524" s="3144"/>
      <c r="AF1524" s="3144" t="s">
        <v>6512</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6555</v>
      </c>
      <c r="K1525" s="3145" t="s">
        <v>6556</v>
      </c>
      <c r="L1525" s="3145" t="s">
        <v>6557</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6555</v>
      </c>
      <c r="AB1525" s="3145" t="s">
        <v>6556</v>
      </c>
      <c r="AC1525" s="3145" t="s">
        <v>6557</v>
      </c>
      <c r="AD1525" s="3145">
        <v>0.09</v>
      </c>
      <c r="AE1525" s="3145">
        <v>0.04</v>
      </c>
      <c r="AF1525" s="3145">
        <v>0.04</v>
      </c>
      <c r="AG1525" s="3145" t="s">
        <v>6555</v>
      </c>
      <c r="AH1525" s="3145" t="s">
        <v>6556</v>
      </c>
      <c r="AI1525" s="3145" t="s">
        <v>6557</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9</v>
      </c>
      <c r="Y1528" s="3149">
        <f>O1593</f>
        <v>9</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6571</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6566</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Yes</v>
      </c>
      <c r="Q1533" s="2753"/>
      <c r="R1533" s="2802" t="s">
        <v>342</v>
      </c>
      <c r="S1533" s="2883" t="s">
        <v>4043</v>
      </c>
      <c r="T1533" s="2692"/>
      <c r="U1533" s="474"/>
      <c r="V1533" s="474"/>
      <c r="W1533" s="474"/>
      <c r="X1533" s="3147">
        <f>O1695</f>
        <v>2</v>
      </c>
      <c r="Y1533" s="3147">
        <f>O1695</f>
        <v>2</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0</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6520</v>
      </c>
      <c r="N1535" s="2719"/>
      <c r="O1535" s="2847" t="s">
        <v>6148</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6567</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6568</v>
      </c>
      <c r="P1537" s="2682" t="str">
        <f>IF('Part VII-Threshold Criteria'!P1837="Agree","Yes","")</f>
        <v/>
      </c>
      <c r="Q1537" s="2753"/>
      <c r="R1537" s="2802" t="s">
        <v>3372</v>
      </c>
      <c r="S1537" s="2883" t="s">
        <v>4047</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3372</v>
      </c>
      <c r="B1539" s="2883" t="s">
        <v>6558</v>
      </c>
      <c r="C1539" s="2833"/>
      <c r="D1539" s="1024"/>
      <c r="E1539" s="1024"/>
      <c r="F1539" s="1024"/>
      <c r="G1539" s="3146">
        <v>2</v>
      </c>
      <c r="H1539" s="3146">
        <v>2</v>
      </c>
      <c r="I1539" s="3146">
        <v>2</v>
      </c>
      <c r="J1539" s="3146">
        <v>2</v>
      </c>
      <c r="K1539" s="3146">
        <v>2</v>
      </c>
      <c r="L1539" s="3146">
        <v>2</v>
      </c>
      <c r="M1539" s="2692" t="s">
        <v>6569</v>
      </c>
      <c r="N1539" s="2719"/>
      <c r="O1539" s="2719"/>
      <c r="P1539" s="2707" t="str">
        <f>'Part VIII Scoring Criteria'!P48</f>
        <v>No</v>
      </c>
      <c r="R1539" s="2802" t="s">
        <v>3372</v>
      </c>
      <c r="S1539" s="2883" t="s">
        <v>6558</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3373</v>
      </c>
      <c r="B1540" s="2883" t="s">
        <v>6559</v>
      </c>
      <c r="C1540" s="2833"/>
      <c r="D1540" s="1024"/>
      <c r="E1540" s="1024"/>
      <c r="F1540" s="1024"/>
      <c r="G1540" s="3146">
        <v>2</v>
      </c>
      <c r="H1540" s="3146">
        <v>2</v>
      </c>
      <c r="I1540" s="3146">
        <v>2</v>
      </c>
      <c r="J1540" s="3146">
        <v>2</v>
      </c>
      <c r="K1540" s="3146">
        <v>2</v>
      </c>
      <c r="L1540" s="3146">
        <v>2</v>
      </c>
      <c r="M1540" s="2692" t="s">
        <v>6570</v>
      </c>
      <c r="N1540" s="2550"/>
      <c r="O1540" s="2550"/>
      <c r="P1540" s="2976" t="str">
        <f>'Part II-Sources of Funds'!$L$14</f>
        <v>No</v>
      </c>
      <c r="R1540" s="2802" t="s">
        <v>3373</v>
      </c>
      <c r="S1540" s="2883" t="s">
        <v>6559</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6700</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6564</v>
      </c>
      <c r="C1541" s="2833"/>
      <c r="D1541" s="1024"/>
      <c r="E1541" s="1024"/>
      <c r="F1541" s="1024"/>
      <c r="G1541" s="3146">
        <v>2</v>
      </c>
      <c r="H1541" s="3146"/>
      <c r="I1541" s="3146"/>
      <c r="J1541" s="3146">
        <v>2</v>
      </c>
      <c r="K1541" s="3146">
        <v>2</v>
      </c>
      <c r="L1541" s="3146">
        <v>2</v>
      </c>
      <c r="Q1541" s="2753"/>
      <c r="R1541" s="2802" t="s">
        <v>3371</v>
      </c>
      <c r="S1541" s="2883" t="s">
        <v>6564</v>
      </c>
      <c r="T1541" s="2692"/>
      <c r="U1541" s="474"/>
      <c r="V1541" s="474"/>
      <c r="W1541" s="474"/>
      <c r="X1541" s="3147">
        <f>O1800</f>
        <v>0</v>
      </c>
      <c r="Y1541" s="3146"/>
      <c r="Z1541" s="3146"/>
      <c r="AA1541" s="3147">
        <f>O1800</f>
        <v>0</v>
      </c>
      <c r="AB1541" s="3147">
        <f>O1800</f>
        <v>0</v>
      </c>
      <c r="AC1541" s="3147">
        <f>O1800</f>
        <v>0</v>
      </c>
      <c r="AD1541" s="3147">
        <f>P1800</f>
        <v>0</v>
      </c>
      <c r="AE1541" s="3146"/>
      <c r="AF1541" s="3146"/>
      <c r="AG1541" s="3147">
        <f>P1800</f>
        <v>0</v>
      </c>
      <c r="AH1541" s="3147">
        <f>P1800</f>
        <v>0</v>
      </c>
      <c r="AI1541" s="3147">
        <f>P1800</f>
        <v>0</v>
      </c>
    </row>
    <row r="1542" spans="1:46" s="652" customFormat="1" ht="10.5" customHeight="1">
      <c r="A1542" s="2802" t="s">
        <v>3374</v>
      </c>
      <c r="B1542" s="2883" t="s">
        <v>6136</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3374</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6560</v>
      </c>
      <c r="C1547" s="2833"/>
      <c r="D1547" s="1024"/>
      <c r="E1547" s="1024"/>
      <c r="F1547" s="1024"/>
      <c r="G1547" s="3146">
        <v>3</v>
      </c>
      <c r="H1547" s="3146">
        <v>3</v>
      </c>
      <c r="I1547" s="3146">
        <v>3</v>
      </c>
      <c r="J1547" s="3146">
        <v>3</v>
      </c>
      <c r="K1547" s="3146">
        <v>3</v>
      </c>
      <c r="L1547" s="3146">
        <v>3</v>
      </c>
      <c r="R1547" s="2802" t="s">
        <v>3381</v>
      </c>
      <c r="S1547" s="2883" t="s">
        <v>6560</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3382</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6561</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6561</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6562</v>
      </c>
      <c r="C1550" s="2833"/>
      <c r="D1550" s="1024"/>
      <c r="E1550" s="1024"/>
      <c r="F1550" s="1024"/>
      <c r="G1550" s="3146"/>
      <c r="H1550" s="3146"/>
      <c r="I1550" s="3146">
        <v>4</v>
      </c>
      <c r="J1550" s="3146">
        <v>4</v>
      </c>
      <c r="K1550" s="3146">
        <v>4</v>
      </c>
      <c r="L1550" s="3146">
        <v>4</v>
      </c>
      <c r="M1550" s="3000" t="str">
        <f>'Part VIII Scoring Criteria'!M59</f>
        <v>Atlanta Metro</v>
      </c>
      <c r="N1550" s="3000"/>
      <c r="O1550" s="3000"/>
      <c r="P1550" s="3000"/>
      <c r="R1550" s="2802" t="s">
        <v>3807</v>
      </c>
      <c r="S1550" s="2883" t="s">
        <v>6562</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6565</v>
      </c>
      <c r="B1551" s="2883" t="s">
        <v>6563</v>
      </c>
      <c r="C1551" s="2833"/>
      <c r="D1551" s="1024"/>
      <c r="E1551" s="1024"/>
      <c r="F1551" s="1024"/>
      <c r="G1551" s="3146"/>
      <c r="H1551" s="3146"/>
      <c r="I1551" s="3146">
        <v>6</v>
      </c>
      <c r="J1551" s="3146">
        <v>4</v>
      </c>
      <c r="K1551" s="3146">
        <v>6</v>
      </c>
      <c r="L1551" s="3146">
        <v>4</v>
      </c>
      <c r="M1551" s="3000"/>
      <c r="N1551" s="3000"/>
      <c r="O1551" s="3000"/>
      <c r="P1551" s="3000"/>
      <c r="Q1551" s="2753"/>
      <c r="R1551" s="2802" t="s">
        <v>6565</v>
      </c>
      <c r="S1551" s="2883" t="s">
        <v>6563</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51</v>
      </c>
      <c r="Y1553" s="3153">
        <f t="shared" ref="Y1553" si="462">SUM(Y1526:Y1551)</f>
        <v>48</v>
      </c>
      <c r="Z1553" s="3153">
        <f>SUM(Z1526:Z1551)</f>
        <v>31</v>
      </c>
      <c r="AA1553" s="3153">
        <f>SUM(AA1526:AA1551)</f>
        <v>29</v>
      </c>
      <c r="AB1553" s="3153">
        <f>SUM(AB1526:AB1551)</f>
        <v>31</v>
      </c>
      <c r="AC1553" s="3153">
        <f>SUM(AC1526:AC1551)</f>
        <v>31</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6877</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6878</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6879</v>
      </c>
      <c r="J1562" s="2967"/>
      <c r="M1562" s="2910"/>
      <c r="N1562" s="3064" t="s">
        <v>1844</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3393</v>
      </c>
      <c r="G1564" s="3011" t="s">
        <v>6780</v>
      </c>
      <c r="H1564" s="3011"/>
      <c r="I1564" s="3011"/>
      <c r="J1564" s="2822" t="s">
        <v>3393</v>
      </c>
      <c r="K1564" s="3006" t="s">
        <v>6781</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6881</v>
      </c>
      <c r="E1581" s="474"/>
      <c r="G1581" s="3006"/>
      <c r="H1581" s="1024" t="s">
        <v>6655</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6882</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9</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6883</v>
      </c>
      <c r="J1596" s="2849"/>
      <c r="K1596" s="2849"/>
      <c r="L1596" s="2849"/>
      <c r="M1596" s="2917">
        <v>20</v>
      </c>
      <c r="N1596" s="3157" t="s">
        <v>1842</v>
      </c>
      <c r="O1596" s="3181">
        <f>'Part VIII Scoring Criteria'!O105</f>
        <v>9</v>
      </c>
      <c r="P1596" s="3182"/>
      <c r="Q1596" s="3104"/>
      <c r="R1596" s="2694" t="s">
        <v>4063</v>
      </c>
    </row>
    <row r="1597" spans="1:18" s="3106" customFormat="1" ht="12.75" customHeight="1">
      <c r="A1597" s="2950" t="s">
        <v>1844</v>
      </c>
      <c r="B1597" s="2135" t="s">
        <v>3281</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 xml:space="preserve">Applicant is applying under the General Set-aside. In this category for the following desirable activities/characteristics that are all within a 1.5 mile walking/driving distance from the site are Wayfield Foods, Inc., K Wings Roosevelt Hwy, Feldwood Elementary School, City of South Fulton/Fire Station #1, Siloam Church International and United States Postal Service. Other desirable activities were included in the "Desirable" Site Certification form that are not within 1.5 miles to demonstrate that there are desirable entities near the site and that residents will still have access to amenties such as Daycares, Parks, Libraries and many more. There are no undesirable activities/characteristics located within a  1/4th mile radius of the site.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Atlanta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t="str">
        <f>'Part VIII Scoring Criteria'!O116</f>
        <v>No</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6576</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6579</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3218</v>
      </c>
      <c r="G1613" s="2135"/>
      <c r="H1613" s="2135"/>
      <c r="I1613" s="2135"/>
      <c r="J1613" s="2135" t="s">
        <v>3219</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33.61448</v>
      </c>
      <c r="G1614" s="2711"/>
      <c r="H1614" s="3190"/>
      <c r="I1614" s="3190"/>
      <c r="J1614" s="2711">
        <f>'Part VIII Scoring Criteria'!J123</f>
        <v>-84.516734999999997</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33.614213999999997</v>
      </c>
      <c r="G1615" s="2711"/>
      <c r="H1615" s="3190"/>
      <c r="I1615" s="3190"/>
      <c r="J1615" s="2711">
        <f>'Part VIII Scoring Criteria'!J124</f>
        <v>-84.517270999999994</v>
      </c>
      <c r="K1615" s="2711"/>
      <c r="L1615" s="3190"/>
      <c r="M1615" s="3190"/>
      <c r="N1615" s="3064"/>
      <c r="O1615" s="3191">
        <f>'Part VIII Scoring Criteria'!O124</f>
        <v>0.04</v>
      </c>
      <c r="P1615" s="3192"/>
      <c r="Q1615" s="2910"/>
      <c r="R1615" s="3185"/>
      <c r="S1615" s="3185"/>
      <c r="T1615" s="3185"/>
      <c r="U1615" s="3185"/>
    </row>
    <row r="1616" spans="1:21" s="3093" customFormat="1" ht="12" customHeight="1">
      <c r="A1616" s="3193" t="s">
        <v>6689</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6887</v>
      </c>
      <c r="M1621" s="2910">
        <v>6</v>
      </c>
      <c r="N1621" s="3156" t="s">
        <v>1842</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No</v>
      </c>
      <c r="P1622" s="2976"/>
      <c r="Q1622" s="2910"/>
    </row>
    <row r="1623" spans="1:21" s="3195" customFormat="1" ht="15">
      <c r="B1623" s="3196" t="s">
        <v>1845</v>
      </c>
      <c r="C1623" s="2749" t="s">
        <v>6888</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6889</v>
      </c>
      <c r="D1624" s="2849"/>
      <c r="E1624" s="2849"/>
      <c r="F1624" s="2849"/>
      <c r="G1624" s="2746"/>
      <c r="J1624" s="2849" t="s">
        <v>6890</v>
      </c>
      <c r="K1624" s="2849"/>
      <c r="L1624" s="2849"/>
      <c r="M1624" s="2917">
        <v>5</v>
      </c>
      <c r="N1624" s="3187" t="s">
        <v>1847</v>
      </c>
      <c r="O1624" s="3199">
        <f>'Part VIII Scoring Criteria'!O133</f>
        <v>0</v>
      </c>
      <c r="P1624" s="3132"/>
      <c r="Q1624" s="2802" t="s">
        <v>6680</v>
      </c>
      <c r="R1624" s="2822" t="s">
        <v>6271</v>
      </c>
      <c r="S1624" s="2822" t="s">
        <v>6151</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6892</v>
      </c>
      <c r="J1628" s="2744" t="str">
        <f>'Part VIII Scoring Criteria'!J137</f>
        <v>MARTA</v>
      </c>
      <c r="K1628" s="2744"/>
      <c r="L1628" s="3204" t="s">
        <v>3238</v>
      </c>
      <c r="M1628" s="2917">
        <v>3</v>
      </c>
      <c r="N1628" s="3064" t="s">
        <v>1844</v>
      </c>
      <c r="O1628" s="3012">
        <f>'Part VIII Scoring Criteria'!O137</f>
        <v>3</v>
      </c>
      <c r="P1628" s="3012">
        <f>'Part VIII Scoring Criteria'!P137</f>
        <v>0</v>
      </c>
      <c r="Q1628" s="2802" t="s">
        <v>6681</v>
      </c>
      <c r="R1628" s="2976">
        <v>0.25</v>
      </c>
      <c r="S1628" s="2976">
        <v>3</v>
      </c>
    </row>
    <row r="1629" spans="1:21" s="3093" customFormat="1" ht="12" customHeight="1">
      <c r="A1629" s="3135"/>
      <c r="B1629" s="3205" t="s">
        <v>1845</v>
      </c>
      <c r="C1629" s="2692" t="s">
        <v>6893</v>
      </c>
      <c r="D1629" s="2849"/>
      <c r="E1629" s="2849"/>
      <c r="F1629" s="2849"/>
      <c r="G1629" s="2746"/>
      <c r="H1629" s="2849" t="s">
        <v>6894</v>
      </c>
      <c r="I1629" s="2849"/>
      <c r="J1629" s="2875" t="s">
        <v>6699</v>
      </c>
      <c r="K1629" s="2875"/>
      <c r="L1629" s="2875"/>
      <c r="M1629" s="2917">
        <v>3</v>
      </c>
      <c r="N1629" s="3187" t="s">
        <v>1845</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0.04</v>
      </c>
      <c r="I1630" s="3202"/>
      <c r="J1630" s="2744" t="str">
        <f>'Part VIII Scoring Criteria'!J139</f>
        <v>https://www.itsmarta.com/180.aspx
https://www.itsmarta.com/82.aspx</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6895</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6896</v>
      </c>
      <c r="D1633" s="2849"/>
      <c r="E1633" s="2849"/>
      <c r="F1633" s="2849"/>
      <c r="G1633" s="2849"/>
      <c r="H1633" s="2849"/>
      <c r="I1633" s="2849"/>
      <c r="J1633" s="2744" t="str">
        <f>'Part VIII Scoring Criteria'!J142</f>
        <v>https://www.itsmarta.com/pdfs/maps/180.pdf
https://www.itsmarta.com/pdfs/maps/82.pdf</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326.25">
      <c r="A1637" s="3049" t="str">
        <f>'Part VIII Scoring Criteria'!A146</f>
        <v xml:space="preserve">The transit stop which operates MARTA Routes 180 and 82 is in very close proxomity to the site entrance. The transit stop is 190 ft from the site entrance and operates 7 days a week. The site entrance's latitude is "33.614480", the "0" is missing above because of the Excel formatting.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6635</v>
      </c>
      <c r="K1644" s="3080"/>
      <c r="L1644" s="3080"/>
      <c r="M1644" s="3080"/>
    </row>
    <row r="1645" spans="1:19" ht="12.75" customHeight="1">
      <c r="B1645" s="2883"/>
      <c r="C1645" s="2883"/>
      <c r="D1645" s="2883"/>
      <c r="F1645" s="3211" t="s">
        <v>6784</v>
      </c>
      <c r="G1645" s="3211"/>
      <c r="H1645" s="3211" t="s">
        <v>6785</v>
      </c>
      <c r="I1645" s="3211"/>
      <c r="J1645" s="3211" t="s">
        <v>6637</v>
      </c>
      <c r="K1645" s="3211"/>
      <c r="L1645" s="3211" t="s">
        <v>6638</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6639</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Seaborn Lee Elementary School</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25.5">
      <c r="B1649" s="2875" t="str">
        <f>'Part VIII Scoring Criteria'!B158</f>
        <v>Camp Creek Middle School</v>
      </c>
      <c r="C1649" s="2875"/>
      <c r="D1649" s="2875"/>
      <c r="E1649" s="2875"/>
      <c r="F1649" s="2875" t="str">
        <f>'Part VIII Scoring Criteria'!F158</f>
        <v>No</v>
      </c>
      <c r="G1649" s="2875"/>
      <c r="H1649" s="2875" t="str">
        <f>'Part VIII Scoring Criteria'!H158</f>
        <v>Yes</v>
      </c>
      <c r="I1649" s="2875"/>
      <c r="J1649" s="2913" t="str">
        <f>'Part VIII Scoring Criteria'!J158</f>
        <v>Yes</v>
      </c>
      <c r="K1649" s="2913"/>
      <c r="L1649" s="2913" t="str">
        <f>'Part VIII Scoring Criteria'!L158</f>
        <v>Yes</v>
      </c>
      <c r="M1649" s="2913"/>
      <c r="N1649" s="2971"/>
      <c r="O1649" s="2971"/>
      <c r="P1649" s="2857"/>
    </row>
    <row r="1650" spans="1:21" ht="38.25">
      <c r="B1650" s="2875" t="str">
        <f>'Part VIII Scoring Criteria'!B159</f>
        <v>Langston Hughes  Higih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 xml:space="preserve">All three schools meet the Quality Education Standars set forth by DCA. Seaborn "Lee" Elementary School recieved the "Beating the Odds" Designation in 2018. "Lee" Elementary School has a positive year over year change and the average of 2015-2019 CCRPI is 66.9 which is above the threshold 56.745. Camp Creek Middle Schooll recieved the "Beating the Odds" Designation in 2019. Camp Creek Middle School School has a positive year over year change and the average of 2015-2019 CCRPI is 64.3 which is above the threshold 55.335. Langston Hughes High School School has a positive year over year change and the average of 2015-2019 CCRPI is 63 which is above the threshold 57.39.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6786</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6690</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6787</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c r="A1671" s="3064"/>
      <c r="B1671" s="3058" t="s">
        <v>2242</v>
      </c>
      <c r="C1671" s="3046" t="s">
        <v>6788</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6789</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5">
      <c r="A1676" s="3049" t="str">
        <f>'Part VIII Scoring Criteria'!A185</f>
        <v xml:space="preserve">Applicant is not in a redevelopment area.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6217</v>
      </c>
      <c r="C1687" s="2755"/>
      <c r="D1687" s="2550"/>
      <c r="G1687" s="3112"/>
      <c r="O1687" s="2976"/>
      <c r="P1687" s="2976"/>
      <c r="Q1687" s="2847"/>
    </row>
    <row r="1688" spans="1:24" s="3228" customFormat="1" ht="12.75" customHeight="1">
      <c r="B1688" s="3196" t="s">
        <v>1845</v>
      </c>
      <c r="C1688" s="3046" t="s">
        <v>6791</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6792</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89.25">
      <c r="A1691" s="2744" t="str">
        <f>'Part VIII Scoring Criteria'!A200</f>
        <v xml:space="preserve">Applicant is not particapting in Community Transformation. </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2</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1</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1</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t="str">
        <f>'Part VIII Scoring Criteria'!E212</f>
        <v>Above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t="str">
        <f>'Part VIII Scoring Criteria'!E213</f>
        <v>At or Below 60th Percentile</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t="str">
        <f>'Part VIII Scoring Criteria'!E214</f>
        <v>At or Below 60th Percentile</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t="str">
        <f>'Part VIII Scoring Criteria'!E215</f>
        <v>At or Below 60th Percentile</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382.5">
      <c r="A1710" s="3049" t="str">
        <f>'Part VIII Scoring Criteria'!A219</f>
        <v xml:space="preserve"> This site resides in a census tract with a Middle Tract Income Level and is 12.58% below the poverty line according to the most current FFIEC data. This census tract scores aove the 60th Percentile for  Life Expectancy. The Life Expectancy rate is 78.4  which is above DCA's threshold of 77.5.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0</v>
      </c>
      <c r="P1715" s="3012">
        <f>'Part VIII Scoring Criteria'!P224</f>
        <v>0</v>
      </c>
      <c r="Q1715" s="2910" t="s">
        <v>416</v>
      </c>
      <c r="R1715" s="2847" t="str">
        <f>IF(AND(O1715&gt;0,NOT($M$54="New Supply")), "Ineligible to score in this section, not New Supply!","")</f>
        <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0.1111111111111111</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78.75">
      <c r="A1728" s="3049" t="str">
        <f>'Part VIII Scoring Criteria'!A237</f>
        <v>Applicant is not participating in Community Desigantion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3312</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3312</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56.25">
      <c r="A1738" s="3049" t="str">
        <f>'Part VIII Scoring Criteria'!A247</f>
        <v xml:space="preserve">Gibson Park is not a phased development. </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6793</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3</v>
      </c>
      <c r="P1744" s="3012"/>
      <c r="Q1744" s="3200" t="str">
        <f t="shared" ref="Q1744:Q1745" si="464">IF(OR($O1744=$M1744,$O1744=$M1744-1,$O1744=0,$O1744=""),"","*CHECK!*")</f>
        <v/>
      </c>
      <c r="R1744" s="2694" t="s">
        <v>4063</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348.75">
      <c r="A1747" s="3049" t="str">
        <f>'Part VIII Scoring Criteria'!A256</f>
        <v xml:space="preserve">The City of College Park has only received one other 9% Credit Award within the last 6 cycles and it is farther away than one mile from the project site. Please also note that Gibson Park would only be the second 9% tax credit development that City of College Park has recieved in over 15 funding cycles. </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6620</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6621</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6622</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6623</v>
      </c>
      <c r="C1757" s="3011"/>
      <c r="D1757" s="3011"/>
      <c r="E1757" s="3011"/>
      <c r="F1757" s="3011"/>
      <c r="G1757" s="3011"/>
      <c r="H1757" s="3011"/>
      <c r="I1757" s="3011"/>
      <c r="J1757" s="3011"/>
      <c r="K1757" s="3011"/>
      <c r="L1757" s="3011"/>
      <c r="M1757" s="2910"/>
      <c r="N1757" s="3064"/>
      <c r="O1757" s="3078" t="str">
        <f>'Part VIII Scoring Criteria'!O266</f>
        <v>No</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6580</v>
      </c>
      <c r="D1764" s="2967"/>
      <c r="E1764" s="2967"/>
      <c r="G1764" s="3256"/>
      <c r="H1764" s="2692"/>
      <c r="I1764" s="2847" t="s">
        <v>6146</v>
      </c>
      <c r="J1764" s="2822" t="str">
        <f>M1550</f>
        <v>Atlanta Metro</v>
      </c>
      <c r="K1764" s="2692"/>
      <c r="L1764" s="3064" t="str">
        <f>IF(NOT(J1764="Atlanta Metro"),"Atlanta Metro Pool not selected!",IF(AND(O1766="Yes",O1767="Yes"),"Choose A or B!",""))</f>
        <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6581</v>
      </c>
      <c r="D1766" s="3061"/>
      <c r="E1766" s="3061"/>
      <c r="F1766" s="3061"/>
      <c r="G1766" s="3061"/>
      <c r="H1766" s="3061"/>
      <c r="L1766" s="3061"/>
      <c r="M1766" s="2666">
        <v>1</v>
      </c>
      <c r="N1766" s="3064" t="s">
        <v>1842</v>
      </c>
      <c r="O1766" s="3066" t="str">
        <f>'Part VIII Scoring Criteria'!O275</f>
        <v>No</v>
      </c>
      <c r="P1766" s="2976"/>
      <c r="Q1766" s="2860">
        <f>IF(L1766="Yes",1,0)</f>
        <v>0</v>
      </c>
      <c r="R1766" s="3232"/>
      <c r="S1766" s="3232"/>
      <c r="T1766" s="3232"/>
      <c r="U1766" s="3232"/>
      <c r="V1766" s="3232"/>
    </row>
    <row r="1767" spans="1:24" s="652" customFormat="1" ht="11.25" customHeight="1">
      <c r="A1767" s="2917" t="s">
        <v>1844</v>
      </c>
      <c r="B1767" s="3061" t="s">
        <v>6582</v>
      </c>
      <c r="D1767" s="3061"/>
      <c r="L1767" s="3061"/>
      <c r="M1767" s="2666">
        <v>2</v>
      </c>
      <c r="N1767" s="3064" t="s">
        <v>1844</v>
      </c>
      <c r="O1767" s="3066" t="str">
        <f>'Part VIII Scoring Criteria'!O276</f>
        <v>No</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56.25">
      <c r="A1771" s="3049" t="str">
        <f>'Part VIII Scoring Criteria'!A280</f>
        <v xml:space="preserve">Applicant is not providing wifi in each unit. </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6585</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6702</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6701</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6703</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6589</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6588</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6709</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6590</v>
      </c>
      <c r="D1783" s="3183"/>
      <c r="E1783" s="3106"/>
      <c r="F1783" s="3106"/>
      <c r="G1783" s="3106"/>
      <c r="H1783" s="2967"/>
      <c r="I1783" s="2967"/>
      <c r="J1783" s="2135"/>
      <c r="K1783" s="2135"/>
      <c r="L1783" s="3106"/>
      <c r="M1783" s="3106"/>
      <c r="N1783" s="474" t="s">
        <v>2243</v>
      </c>
      <c r="O1783" s="2913" t="str">
        <f>'Part VIII Scoring Criteria'!O292</f>
        <v>N/a</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6586</v>
      </c>
      <c r="C1785" s="2755"/>
      <c r="D1785" s="3046"/>
      <c r="E1785" s="3046"/>
      <c r="F1785" s="2755"/>
      <c r="G1785" s="3046" t="s">
        <v>6594</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6595</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6596</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6587</v>
      </c>
      <c r="C1788" s="2755"/>
      <c r="D1788" s="3061"/>
      <c r="G1788" s="1024" t="s">
        <v>6597</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6598</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6599</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6705</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6600</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6601</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360">
      <c r="A1796" s="3049" t="str">
        <f>'Part VIII Scoring Criteria'!A305</f>
        <v>Applicant agrees to engage Minority and Women Owned Businesses in the amounts equal to approximately 5% of the total construction hard costs and commits to all necessary reporting as defined in Section A.  Section B was left blank because applicant is not claiming points in this section.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6591</v>
      </c>
      <c r="D1800" s="2967"/>
      <c r="E1800" s="2967"/>
      <c r="G1800" s="3256"/>
      <c r="H1800" s="2692"/>
      <c r="I1800" s="2692"/>
      <c r="J1800" s="2692"/>
      <c r="K1800" s="2692"/>
      <c r="L1800" s="2692"/>
      <c r="M1800" s="2910">
        <v>2</v>
      </c>
      <c r="N1800" s="2910"/>
      <c r="O1800" s="3012">
        <f>'Part VIII Scoring Criteria'!O309</f>
        <v>0</v>
      </c>
      <c r="P1800" s="3012">
        <f>'Part VIII Scoring Criteria'!P309</f>
        <v>0</v>
      </c>
      <c r="Q1800" s="2910" t="s">
        <v>416</v>
      </c>
      <c r="R1800" s="3232"/>
      <c r="S1800" s="3232"/>
      <c r="T1800" s="3232"/>
      <c r="U1800" s="3232"/>
      <c r="V1800" s="3232"/>
    </row>
    <row r="1801" spans="1:22" s="652" customFormat="1" ht="11.25" customHeight="1">
      <c r="A1801" s="2917" t="s">
        <v>1842</v>
      </c>
      <c r="B1801" s="3061" t="s">
        <v>6592</v>
      </c>
      <c r="D1801" s="3061"/>
      <c r="E1801" s="3061" t="s">
        <v>6603</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6593</v>
      </c>
      <c r="D1802" s="3061"/>
      <c r="L1802" s="3061"/>
      <c r="M1802" s="2666">
        <v>2</v>
      </c>
      <c r="N1802" s="3064" t="s">
        <v>1844</v>
      </c>
      <c r="O1802" s="3173">
        <f>'Part VIII Scoring Criteria'!O311</f>
        <v>0</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56.25">
      <c r="A1804" s="3049" t="str">
        <f>'Part VIII Scoring Criteria'!A313</f>
        <v xml:space="preserve">Applicant is not claiming points in this section. </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6583</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6584</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 xml:space="preserve">College Park is not a GICH Community.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N/a</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t="str">
        <f>'Part VIII Scoring Criteria'!O344</f>
        <v>N/a</v>
      </c>
      <c r="P1835" s="2976"/>
      <c r="R1835" s="3053"/>
      <c r="S1835" s="3053"/>
    </row>
    <row r="1836" spans="1:20" s="1024" customFormat="1" ht="12.75" customHeight="1">
      <c r="B1836" s="3064" t="s">
        <v>2243</v>
      </c>
      <c r="C1836" s="474" t="s">
        <v>3275</v>
      </c>
      <c r="L1836" s="3053"/>
      <c r="M1836" s="3053"/>
      <c r="N1836" s="3064" t="s">
        <v>2243</v>
      </c>
      <c r="O1836" s="3066" t="str">
        <f>'Part VIII Scoring Criteria'!O345</f>
        <v>N/a</v>
      </c>
      <c r="P1836" s="2976"/>
      <c r="R1836" s="3053"/>
      <c r="S1836" s="3053"/>
    </row>
    <row r="1837" spans="1:20" s="1024" customFormat="1" ht="11.25">
      <c r="B1837" s="3058" t="s">
        <v>2244</v>
      </c>
      <c r="C1837" s="3046" t="s">
        <v>6604</v>
      </c>
      <c r="D1837" s="3053"/>
      <c r="E1837" s="3053"/>
      <c r="F1837" s="3053"/>
      <c r="G1837" s="3053"/>
      <c r="H1837" s="3053"/>
      <c r="I1837" s="3053"/>
      <c r="J1837" s="3053"/>
      <c r="K1837" s="3053"/>
      <c r="L1837" s="3053"/>
      <c r="M1837" s="3053"/>
      <c r="N1837" s="3058" t="s">
        <v>2244</v>
      </c>
      <c r="O1837" s="3078" t="str">
        <f>'Part VIII Scoring Criteria'!O346</f>
        <v>N/a</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6721</v>
      </c>
      <c r="C1840" s="3046"/>
      <c r="D1840" s="3046"/>
      <c r="E1840" s="3046"/>
      <c r="F1840" s="3046"/>
      <c r="G1840" s="3046"/>
      <c r="H1840" s="3046"/>
      <c r="I1840" s="3046"/>
      <c r="O1840" s="3066" t="str">
        <f>'Part VIII Scoring Criteria'!O349</f>
        <v>N/a</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6794</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6815</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6903</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6816</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72</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6609</v>
      </c>
      <c r="D1860" s="3053"/>
      <c r="E1860" s="3053"/>
      <c r="F1860" s="3053"/>
      <c r="G1860" s="3053"/>
      <c r="H1860" s="3053"/>
      <c r="I1860" s="3053"/>
      <c r="J1860" s="3053"/>
      <c r="K1860" s="3053"/>
      <c r="L1860" s="3053"/>
      <c r="M1860" s="3053"/>
      <c r="N1860" s="3196" t="s">
        <v>1845</v>
      </c>
      <c r="O1860" s="3078" t="str">
        <f>'Part VIII Scoring Criteria'!O369</f>
        <v>No</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t="str">
        <f>'Part VIII Scoring Criteria'!O370</f>
        <v>N/a</v>
      </c>
      <c r="P1861" s="2976"/>
      <c r="V1861" s="3260"/>
    </row>
    <row r="1862" spans="1:22" s="652" customFormat="1" ht="12.75" customHeight="1">
      <c r="B1862" s="3187" t="s">
        <v>2333</v>
      </c>
      <c r="C1862" s="1024" t="s">
        <v>3831</v>
      </c>
      <c r="N1862" s="3187" t="s">
        <v>2333</v>
      </c>
      <c r="O1862" s="3066" t="str">
        <f>'Part VIII Scoring Criteria'!O371</f>
        <v>N/a</v>
      </c>
      <c r="P1862" s="2976"/>
    </row>
    <row r="1863" spans="1:22" s="652" customFormat="1" ht="12" customHeight="1">
      <c r="B1863" s="2967" t="s">
        <v>3242</v>
      </c>
      <c r="N1863" s="2671"/>
      <c r="O1863" s="2671"/>
      <c r="P1863" s="2671"/>
    </row>
    <row r="1864" spans="1:22" s="3093" customFormat="1" ht="112.5">
      <c r="A1864" s="3049" t="str">
        <f>'Part VIII Scoring Criteria'!A373</f>
        <v xml:space="preserve">There is no favorable financing or long-term ground leases involved in this application.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6904</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72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72</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67.5">
      <c r="A1883" s="3049" t="str">
        <f>'Part VIII Scoring Criteria'!A392</f>
        <v xml:space="preserve">Applicant is not particpating in historic preservation. </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6612</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6613</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6614</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6615</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6616</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382.5">
      <c r="A1904" s="3049" t="str">
        <f>'Part VIII Scoring Criteria'!A413</f>
        <v xml:space="preserve">Applicant agrees to accet DCA-administered PBRA if funding is available. Gibson Park does not have any PBRA contracts, is a family tenancy and has at least 10% of its units are 1 bedrooms. Additionally, the applicant has a controlling interest in the General Partnership and has previously agreed to contract with DCA PBRA.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45">
      <c r="A1910" s="3049" t="str">
        <f>'Part VIII Scoring Criteria'!A419</f>
        <v xml:space="preserve">This section is not applicable. </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6617</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6618</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45">
      <c r="A1920" s="3049" t="str">
        <f>'Part VIII Scoring Criteria'!A429</f>
        <v xml:space="preserve">This section is not applicable. </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6565</v>
      </c>
      <c r="B1924" s="2964" t="s">
        <v>6619</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45">
      <c r="A1928" s="3049" t="str">
        <f>'Part VIII Scoring Criteria'!A437</f>
        <v xml:space="preserve">This section is not applicable. </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51</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 xml:space="preserve">
    Section III: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IV:  Deeper Targeting/Rent Income Restrictions:  Applicant commits to 40% of the units at 60% AMI as the minimum setaside and targeting units at lower levels.  The Application has an overall property area median income calculation based on the imputed income and rent limitations for each affordable unit, equal to or less than 58%, and therefore, qualifies for 2 points.  
          Section XI:  Mixed Income Developments:  Applicant has included at least 10% unrestricted market rate units, and will not make the income averaging minimum set-aside election, and therefore, qualifies for 1 point. 
     Section XV: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Section XV. C. of the 2022 Scoring Criteria, and in accordance with DCA requirements set forth in Exhibit A of Appendix II of the 2022 Scoring Criteria, and Section 42(i)(7) of the Code.   For these reasons, Applicant qualifies for 4 points in this section.      
       Section XXIII: Compliance Performance:   Compliance/Performance:  Applicant believes it is eligible for all 10 points for this section as there are no instances of noncompliance for any projects on the CHS and for any General Partnership, Developer Entity or Principal associated with this Project Team.     TAB 44 contains a listing of only the Georgia Properties for the entire Development Team, as included in the Compliance History Summary Section of the Performance Workbook.</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3" zoomScaleNormal="100" workbookViewId="0">
      <selection activeCell="O32" sqref="O32"/>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09" t="str">
        <f>CONCATENATE("PART TWO - SOURCES OF FUNDS (Proposed)","  -  ",'Part I-Project Identification'!$O$7," ",'Part I-Project Identification'!$F$29,", ",'Part I-Project Identification'!$F$30,", ",'Part I-Project Identification'!$J$30," County")</f>
        <v>PART TWO - SOURCES OF FUNDS (Proposed)  -  2022-0 Gibson Park , College Park, Fulton County</v>
      </c>
      <c r="B2" s="3410"/>
      <c r="C2" s="3410"/>
      <c r="D2" s="3410"/>
      <c r="E2" s="3410"/>
      <c r="F2" s="3410"/>
      <c r="G2" s="3410"/>
      <c r="H2" s="3410"/>
      <c r="I2" s="3410"/>
      <c r="J2" s="3410"/>
      <c r="K2" s="3410"/>
      <c r="L2" s="3410"/>
      <c r="M2" s="3410"/>
      <c r="N2" s="3410"/>
      <c r="O2" s="3410"/>
      <c r="P2" s="3410"/>
      <c r="Q2" s="3411"/>
      <c r="S2" s="3499" t="str">
        <f>$A$2</f>
        <v>PART TWO - SOURCES OF FUNDS (Proposed)  -  2022-0 Gibson Park , College Park, Fulton County</v>
      </c>
      <c r="T2" s="349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1" t="str">
        <f>'Part I-Project Identification'!$A$6</f>
        <v>May 12 2022 Core Application</v>
      </c>
      <c r="M4" s="3522"/>
      <c r="N4" s="3522"/>
      <c r="O4" s="3522"/>
      <c r="P4" s="3523"/>
      <c r="S4" s="365" t="str">
        <f>B4</f>
        <v>GOVERNMENT FUNDING SOURCES  (check all that apply)</v>
      </c>
      <c r="Y4" s="2290"/>
      <c r="Z4" s="2246">
        <v>4</v>
      </c>
      <c r="AZ4" s="2212"/>
    </row>
    <row r="5" spans="1:52" s="291" customFormat="1" ht="15.75" customHeight="1">
      <c r="A5" s="337"/>
      <c r="B5" s="495"/>
      <c r="C5" s="333"/>
      <c r="D5" s="1041"/>
      <c r="E5" s="1041"/>
      <c r="F5" s="1041"/>
      <c r="G5" s="1041"/>
      <c r="S5" s="3500" t="s">
        <v>2449</v>
      </c>
      <c r="T5" s="3500"/>
      <c r="Y5" s="2290"/>
      <c r="Z5" s="2246">
        <v>5</v>
      </c>
      <c r="AZ5" s="2212"/>
    </row>
    <row r="6" spans="1:52" s="291" customFormat="1" ht="16.5" customHeight="1">
      <c r="A6" s="495"/>
      <c r="B6" s="1559" t="s">
        <v>2651</v>
      </c>
      <c r="C6" s="292" t="s">
        <v>2220</v>
      </c>
      <c r="D6" s="315"/>
      <c r="E6" s="1559" t="s">
        <v>2654</v>
      </c>
      <c r="F6" s="292" t="s">
        <v>6084</v>
      </c>
      <c r="G6" s="315"/>
      <c r="I6" s="3510"/>
      <c r="J6" s="3511"/>
      <c r="L6" s="1559" t="s">
        <v>2654</v>
      </c>
      <c r="M6" s="292" t="s">
        <v>1438</v>
      </c>
      <c r="Q6" s="2108"/>
      <c r="S6" s="3501"/>
      <c r="T6" s="3502"/>
      <c r="Y6" s="2290"/>
      <c r="Z6" s="2246">
        <v>6</v>
      </c>
      <c r="AZ6" s="2212"/>
    </row>
    <row r="7" spans="1:52" s="291" customFormat="1" ht="16.5" customHeight="1">
      <c r="A7" s="495"/>
      <c r="B7" s="1543" t="s">
        <v>2654</v>
      </c>
      <c r="C7" s="292" t="s">
        <v>3881</v>
      </c>
      <c r="D7" s="315"/>
      <c r="E7" s="1542" t="s">
        <v>2654</v>
      </c>
      <c r="F7" s="292" t="s">
        <v>6085</v>
      </c>
      <c r="I7" s="3512"/>
      <c r="J7" s="3513"/>
      <c r="L7" s="1543" t="s">
        <v>2654</v>
      </c>
      <c r="M7" s="292" t="s">
        <v>514</v>
      </c>
      <c r="P7" s="2108"/>
      <c r="Q7" s="2108"/>
      <c r="S7" s="3503"/>
      <c r="T7" s="3504"/>
      <c r="Y7" s="2290"/>
      <c r="Z7" s="2246">
        <v>7</v>
      </c>
      <c r="AZ7" s="2212"/>
    </row>
    <row r="8" spans="1:52" s="291" customFormat="1" ht="16.5" customHeight="1">
      <c r="A8" s="315"/>
      <c r="B8" s="1543" t="s">
        <v>2654</v>
      </c>
      <c r="C8" s="292" t="s">
        <v>6670</v>
      </c>
      <c r="F8" s="291" t="s">
        <v>6673</v>
      </c>
      <c r="H8" s="3524" t="s">
        <v>3068</v>
      </c>
      <c r="I8" s="3525"/>
      <c r="J8" s="3526"/>
      <c r="L8" s="1543" t="s">
        <v>2654</v>
      </c>
      <c r="M8" s="310" t="s">
        <v>6675</v>
      </c>
      <c r="P8" s="2108"/>
      <c r="Q8" s="2108"/>
      <c r="S8" s="3503"/>
      <c r="T8" s="3504"/>
      <c r="Y8" s="2290"/>
      <c r="Z8" s="2246">
        <v>8</v>
      </c>
      <c r="AZ8" s="2212"/>
    </row>
    <row r="9" spans="1:52" s="291" customFormat="1" ht="16.5" customHeight="1">
      <c r="A9" s="495"/>
      <c r="B9" s="1543" t="s">
        <v>2654</v>
      </c>
      <c r="C9" s="291" t="s">
        <v>3303</v>
      </c>
      <c r="E9" s="1563" t="s">
        <v>2654</v>
      </c>
      <c r="F9" s="3516" t="s">
        <v>6669</v>
      </c>
      <c r="G9" s="3517"/>
      <c r="H9" s="3514"/>
      <c r="I9" s="3514"/>
      <c r="J9" s="3515"/>
      <c r="L9" s="1543" t="s">
        <v>2654</v>
      </c>
      <c r="M9" s="310" t="s">
        <v>3882</v>
      </c>
      <c r="Q9" s="2108"/>
      <c r="S9" s="3505"/>
      <c r="T9" s="3506"/>
      <c r="Y9" s="2290"/>
      <c r="Z9" s="2246">
        <v>9</v>
      </c>
      <c r="AZ9" s="2212"/>
    </row>
    <row r="10" spans="1:52" s="291" customFormat="1" ht="16.5" customHeight="1">
      <c r="A10" s="495"/>
      <c r="B10" s="1543" t="s">
        <v>2654</v>
      </c>
      <c r="C10" s="292" t="s">
        <v>2395</v>
      </c>
      <c r="F10" s="3518" t="s">
        <v>3772</v>
      </c>
      <c r="G10" s="3519"/>
      <c r="H10" s="3519"/>
      <c r="I10" s="3519"/>
      <c r="J10" s="3520"/>
      <c r="L10" s="1543" t="s">
        <v>2654</v>
      </c>
      <c r="M10" s="292" t="s">
        <v>3195</v>
      </c>
      <c r="P10" s="2108"/>
      <c r="Q10" s="2108"/>
      <c r="S10" s="3501"/>
      <c r="T10" s="3502"/>
      <c r="Y10" s="2290"/>
      <c r="Z10" s="2245">
        <v>10</v>
      </c>
      <c r="AZ10" s="2212"/>
    </row>
    <row r="11" spans="1:52" s="291" customFormat="1" ht="16.5" customHeight="1">
      <c r="A11" s="495"/>
      <c r="B11" s="1543" t="s">
        <v>2654</v>
      </c>
      <c r="C11" s="292" t="s">
        <v>2396</v>
      </c>
      <c r="E11" s="1563" t="s">
        <v>2654</v>
      </c>
      <c r="F11" s="3514" t="s">
        <v>6671</v>
      </c>
      <c r="G11" s="3514"/>
      <c r="H11" s="3514"/>
      <c r="I11" s="3514"/>
      <c r="J11" s="3515"/>
      <c r="L11" s="1543" t="s">
        <v>2654</v>
      </c>
      <c r="M11" s="291" t="s">
        <v>2399</v>
      </c>
      <c r="S11" s="3503"/>
      <c r="T11" s="3504"/>
      <c r="Y11" s="2290"/>
      <c r="Z11" s="2246">
        <v>11</v>
      </c>
      <c r="AZ11" s="2212"/>
    </row>
    <row r="12" spans="1:52" s="291" customFormat="1" ht="16.5" customHeight="1">
      <c r="A12" s="495"/>
      <c r="B12" s="2097" t="s">
        <v>2654</v>
      </c>
      <c r="C12" s="310" t="s">
        <v>3196</v>
      </c>
      <c r="F12" s="3507" t="s">
        <v>3773</v>
      </c>
      <c r="G12" s="3508"/>
      <c r="H12" s="3527"/>
      <c r="I12" s="3527"/>
      <c r="J12" s="3528"/>
      <c r="L12" s="1543" t="s">
        <v>2654</v>
      </c>
      <c r="M12" s="291" t="s">
        <v>3222</v>
      </c>
      <c r="S12" s="3503"/>
      <c r="T12" s="3504"/>
      <c r="Y12" s="2290"/>
      <c r="Z12" s="2246">
        <v>12</v>
      </c>
      <c r="AZ12" s="2212"/>
    </row>
    <row r="13" spans="1:52" s="291" customFormat="1" ht="16.5" customHeight="1">
      <c r="A13" s="495"/>
      <c r="B13" s="2097" t="s">
        <v>2654</v>
      </c>
      <c r="C13" s="310" t="s">
        <v>6672</v>
      </c>
      <c r="E13" s="1559" t="s">
        <v>2654</v>
      </c>
      <c r="F13" s="310" t="s">
        <v>6674</v>
      </c>
      <c r="H13" s="3507" t="s">
        <v>3294</v>
      </c>
      <c r="I13" s="3508"/>
      <c r="J13" s="3509"/>
      <c r="L13" s="2097" t="s">
        <v>2654</v>
      </c>
      <c r="M13" s="291" t="s">
        <v>6083</v>
      </c>
      <c r="S13" s="3503"/>
      <c r="T13" s="3504"/>
      <c r="Y13" s="2290"/>
      <c r="Z13" s="2246">
        <v>13</v>
      </c>
      <c r="AZ13" s="2212"/>
    </row>
    <row r="14" spans="1:52" s="291" customFormat="1" ht="16.5" customHeight="1">
      <c r="A14" s="495"/>
      <c r="B14" s="1543" t="s">
        <v>2654</v>
      </c>
      <c r="C14" s="291" t="s">
        <v>2398</v>
      </c>
      <c r="E14" s="2097" t="s">
        <v>2654</v>
      </c>
      <c r="F14" s="310" t="s">
        <v>3302</v>
      </c>
      <c r="L14" s="2097" t="s">
        <v>2654</v>
      </c>
      <c r="M14" s="291" t="s">
        <v>6719</v>
      </c>
      <c r="S14" s="3505"/>
      <c r="T14" s="3506"/>
      <c r="Y14" s="2290"/>
      <c r="Z14" s="2246">
        <v>14</v>
      </c>
      <c r="AZ14" s="2212"/>
    </row>
    <row r="15" spans="1:52" s="291" customFormat="1" ht="16.5" customHeight="1">
      <c r="A15" s="495"/>
      <c r="B15" s="1543" t="s">
        <v>2654</v>
      </c>
      <c r="C15" s="291" t="s">
        <v>3221</v>
      </c>
      <c r="E15" s="2097" t="s">
        <v>2654</v>
      </c>
      <c r="F15" s="310" t="s">
        <v>6086</v>
      </c>
      <c r="L15" s="2097" t="s">
        <v>2654</v>
      </c>
      <c r="M15" s="2109" t="s">
        <v>6087</v>
      </c>
      <c r="Y15" s="2290"/>
      <c r="Z15" s="2246">
        <v>15</v>
      </c>
      <c r="AZ15" s="2212"/>
    </row>
    <row r="16" spans="1:52" s="291" customFormat="1" ht="16.5" customHeight="1">
      <c r="A16" s="495"/>
      <c r="B16" s="1542" t="s">
        <v>2654</v>
      </c>
      <c r="C16" s="292" t="s">
        <v>1674</v>
      </c>
      <c r="E16" s="2098" t="s">
        <v>2654</v>
      </c>
      <c r="F16" s="292" t="s">
        <v>6506</v>
      </c>
      <c r="I16" s="3485"/>
      <c r="J16" s="3486"/>
      <c r="L16" s="2098" t="s">
        <v>2654</v>
      </c>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7"/>
      <c r="O19" s="3487"/>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8" t="s">
        <v>1221</v>
      </c>
      <c r="I21" s="3488"/>
      <c r="J21" s="3488"/>
      <c r="K21" s="3488"/>
      <c r="L21" s="3489" t="s">
        <v>3849</v>
      </c>
      <c r="M21" s="3489"/>
      <c r="N21" s="3489" t="s">
        <v>1411</v>
      </c>
      <c r="O21" s="3489"/>
      <c r="P21" s="3489" t="s">
        <v>1524</v>
      </c>
      <c r="Q21" s="3489"/>
      <c r="S21" s="3500" t="s">
        <v>2449</v>
      </c>
      <c r="T21" s="3500"/>
      <c r="Y21" s="2290"/>
      <c r="Z21" s="2246">
        <v>21</v>
      </c>
      <c r="AZ21" s="2212" t="s">
        <v>6348</v>
      </c>
    </row>
    <row r="22" spans="1:52" s="291" customFormat="1" ht="15.75" customHeight="1">
      <c r="A22" s="315"/>
      <c r="B22" s="3529" t="s">
        <v>1487</v>
      </c>
      <c r="C22" s="3530"/>
      <c r="D22" s="3530"/>
      <c r="E22" s="1042"/>
      <c r="F22" s="1042"/>
      <c r="G22" s="1042"/>
      <c r="H22" s="3531" t="s">
        <v>7009</v>
      </c>
      <c r="I22" s="3532"/>
      <c r="J22" s="3532"/>
      <c r="K22" s="3533"/>
      <c r="L22" s="3534">
        <v>6100000</v>
      </c>
      <c r="M22" s="3535"/>
      <c r="N22" s="3536">
        <v>0.04</v>
      </c>
      <c r="O22" s="3537"/>
      <c r="P22" s="3538">
        <v>24</v>
      </c>
      <c r="Q22" s="3539"/>
      <c r="S22" s="3501"/>
      <c r="T22" s="3502"/>
      <c r="Y22" s="2290" t="s">
        <v>6348</v>
      </c>
      <c r="Z22" s="2246">
        <v>22</v>
      </c>
      <c r="AZ22" s="2212" t="s">
        <v>6349</v>
      </c>
    </row>
    <row r="23" spans="1:52" s="291" customFormat="1" ht="15.75" customHeight="1">
      <c r="A23" s="315"/>
      <c r="B23" s="3540" t="s">
        <v>1488</v>
      </c>
      <c r="C23" s="3541"/>
      <c r="D23" s="3541"/>
      <c r="E23" s="1041"/>
      <c r="F23" s="1041"/>
      <c r="G23" s="1041"/>
      <c r="H23" s="3542" t="s">
        <v>7010</v>
      </c>
      <c r="I23" s="3543"/>
      <c r="J23" s="3543"/>
      <c r="K23" s="3544"/>
      <c r="L23" s="3545">
        <v>8030062</v>
      </c>
      <c r="M23" s="3546"/>
      <c r="N23" s="3555">
        <v>0.04</v>
      </c>
      <c r="O23" s="3556"/>
      <c r="P23" s="3557">
        <v>24</v>
      </c>
      <c r="Q23" s="3558"/>
      <c r="S23" s="3503"/>
      <c r="T23" s="3504"/>
      <c r="Y23" s="2290" t="s">
        <v>6349</v>
      </c>
      <c r="Z23" s="2246">
        <v>23</v>
      </c>
      <c r="AZ23" s="2212" t="s">
        <v>6350</v>
      </c>
    </row>
    <row r="24" spans="1:52" s="291" customFormat="1" ht="15.75" customHeight="1">
      <c r="A24" s="315"/>
      <c r="B24" s="3559" t="s">
        <v>1489</v>
      </c>
      <c r="C24" s="3560"/>
      <c r="D24" s="3560"/>
      <c r="E24" s="1048"/>
      <c r="F24" s="1048"/>
      <c r="G24" s="1048"/>
      <c r="H24" s="3490"/>
      <c r="I24" s="3491"/>
      <c r="J24" s="3491"/>
      <c r="K24" s="3492"/>
      <c r="L24" s="3493"/>
      <c r="M24" s="3494"/>
      <c r="N24" s="3495"/>
      <c r="O24" s="3496"/>
      <c r="P24" s="3497"/>
      <c r="Q24" s="3498"/>
      <c r="S24" s="3503"/>
      <c r="T24" s="3504"/>
      <c r="Y24" s="2290" t="s">
        <v>6350</v>
      </c>
      <c r="Z24" s="2246">
        <v>24</v>
      </c>
      <c r="AZ24" s="2212" t="s">
        <v>6351</v>
      </c>
    </row>
    <row r="25" spans="1:52" s="291" customFormat="1" ht="15.75" customHeight="1">
      <c r="A25" s="315"/>
      <c r="B25" s="3529" t="s">
        <v>2048</v>
      </c>
      <c r="C25" s="3530"/>
      <c r="D25" s="3530"/>
      <c r="E25" s="1041"/>
      <c r="F25" s="1041"/>
      <c r="G25" s="1041"/>
      <c r="H25" s="3547"/>
      <c r="I25" s="3548"/>
      <c r="J25" s="3548"/>
      <c r="K25" s="3549"/>
      <c r="L25" s="3550"/>
      <c r="M25" s="3551"/>
      <c r="N25" s="3552"/>
      <c r="O25" s="3553"/>
      <c r="P25" s="3554"/>
      <c r="Q25" s="3554"/>
      <c r="S25" s="3503"/>
      <c r="T25" s="3504"/>
      <c r="Y25" s="2290" t="s">
        <v>6351</v>
      </c>
      <c r="Z25" s="2246">
        <v>25</v>
      </c>
      <c r="AZ25" s="2212" t="s">
        <v>6352</v>
      </c>
    </row>
    <row r="26" spans="1:52" s="291" customFormat="1" ht="15.75" customHeight="1">
      <c r="A26" s="315"/>
      <c r="B26" s="3540" t="s">
        <v>745</v>
      </c>
      <c r="C26" s="3541"/>
      <c r="D26" s="3541"/>
      <c r="E26" s="1041"/>
      <c r="H26" s="3542"/>
      <c r="I26" s="3543"/>
      <c r="J26" s="3543"/>
      <c r="K26" s="3544"/>
      <c r="L26" s="3545"/>
      <c r="M26" s="3546"/>
      <c r="N26" s="3552"/>
      <c r="O26" s="3553"/>
      <c r="P26" s="3554"/>
      <c r="Q26" s="3554"/>
      <c r="S26" s="3503"/>
      <c r="T26" s="3504"/>
      <c r="Y26" s="2290" t="s">
        <v>6352</v>
      </c>
      <c r="Z26" s="2245">
        <v>26</v>
      </c>
      <c r="AZ26" s="2212" t="s">
        <v>6353</v>
      </c>
    </row>
    <row r="27" spans="1:52" s="291" customFormat="1" ht="15.75" customHeight="1">
      <c r="A27" s="315"/>
      <c r="B27" s="3540" t="s">
        <v>595</v>
      </c>
      <c r="C27" s="3541"/>
      <c r="D27" s="3541"/>
      <c r="E27" s="1041"/>
      <c r="H27" s="3542"/>
      <c r="I27" s="3543"/>
      <c r="J27" s="3543"/>
      <c r="K27" s="3544"/>
      <c r="L27" s="3545"/>
      <c r="M27" s="3546"/>
      <c r="N27" s="3552"/>
      <c r="O27" s="3553"/>
      <c r="P27" s="3554"/>
      <c r="Q27" s="3554"/>
      <c r="S27" s="3503"/>
      <c r="T27" s="3504"/>
      <c r="Y27" s="2290" t="s">
        <v>6353</v>
      </c>
      <c r="Z27" s="2246">
        <v>27</v>
      </c>
      <c r="AZ27" s="2212" t="s">
        <v>6354</v>
      </c>
    </row>
    <row r="28" spans="1:52" s="291" customFormat="1" ht="15.75" customHeight="1">
      <c r="A28" s="315"/>
      <c r="B28" s="3540" t="s">
        <v>746</v>
      </c>
      <c r="C28" s="3541"/>
      <c r="D28" s="3541"/>
      <c r="E28" s="1041"/>
      <c r="H28" s="3542" t="s">
        <v>7007</v>
      </c>
      <c r="I28" s="3543"/>
      <c r="J28" s="3543"/>
      <c r="K28" s="3544"/>
      <c r="L28" s="3545">
        <v>1396749</v>
      </c>
      <c r="M28" s="3546"/>
      <c r="N28" s="315"/>
      <c r="Q28" s="315"/>
      <c r="S28" s="3505"/>
      <c r="T28" s="3506"/>
      <c r="Y28" s="2290" t="s">
        <v>6354</v>
      </c>
      <c r="Z28" s="2246">
        <v>28</v>
      </c>
      <c r="AZ28" s="2212" t="s">
        <v>6355</v>
      </c>
    </row>
    <row r="29" spans="1:52" s="291" customFormat="1" ht="15.75" customHeight="1">
      <c r="A29" s="315"/>
      <c r="B29" s="3540" t="s">
        <v>747</v>
      </c>
      <c r="C29" s="3541"/>
      <c r="D29" s="3541"/>
      <c r="E29" s="1041"/>
      <c r="H29" s="3542" t="s">
        <v>7008</v>
      </c>
      <c r="I29" s="3543"/>
      <c r="J29" s="3543"/>
      <c r="K29" s="3544"/>
      <c r="L29" s="3545">
        <v>927110</v>
      </c>
      <c r="M29" s="3546"/>
      <c r="N29" s="315"/>
      <c r="Q29" s="315"/>
      <c r="S29" s="3501"/>
      <c r="T29" s="3502"/>
      <c r="Y29" s="2290" t="s">
        <v>6355</v>
      </c>
      <c r="Z29" s="2246">
        <v>29</v>
      </c>
      <c r="AZ29" s="2212" t="s">
        <v>6356</v>
      </c>
    </row>
    <row r="30" spans="1:52" s="291" customFormat="1" ht="15.75" customHeight="1">
      <c r="A30" s="315"/>
      <c r="B30" s="1040" t="s">
        <v>232</v>
      </c>
      <c r="C30" s="1041"/>
      <c r="D30" s="3561"/>
      <c r="E30" s="3561"/>
      <c r="F30" s="3561"/>
      <c r="G30" s="3561"/>
      <c r="H30" s="3542"/>
      <c r="I30" s="3543"/>
      <c r="J30" s="3543"/>
      <c r="K30" s="3544"/>
      <c r="L30" s="3545"/>
      <c r="M30" s="3546"/>
      <c r="N30" s="315"/>
      <c r="Q30" s="315"/>
      <c r="S30" s="3503"/>
      <c r="T30" s="3504"/>
      <c r="Y30" s="2290" t="s">
        <v>6356</v>
      </c>
      <c r="Z30" s="2246">
        <v>30</v>
      </c>
      <c r="AZ30" s="2212" t="s">
        <v>6357</v>
      </c>
    </row>
    <row r="31" spans="1:52" s="291" customFormat="1" ht="15.75" customHeight="1">
      <c r="A31" s="315"/>
      <c r="B31" s="1040" t="s">
        <v>232</v>
      </c>
      <c r="C31" s="1041"/>
      <c r="D31" s="3562"/>
      <c r="E31" s="3562"/>
      <c r="F31" s="3562"/>
      <c r="G31" s="3562"/>
      <c r="H31" s="3542"/>
      <c r="I31" s="3543"/>
      <c r="J31" s="3543"/>
      <c r="K31" s="3544"/>
      <c r="L31" s="3545"/>
      <c r="M31" s="3546"/>
      <c r="N31" s="315"/>
      <c r="S31" s="3503"/>
      <c r="T31" s="3504"/>
      <c r="Y31" s="2290" t="s">
        <v>6357</v>
      </c>
      <c r="Z31" s="2246">
        <v>31</v>
      </c>
      <c r="AZ31" s="2212" t="s">
        <v>6358</v>
      </c>
    </row>
    <row r="32" spans="1:52" s="291" customFormat="1" ht="15.75" customHeight="1">
      <c r="A32" s="315"/>
      <c r="B32" s="1047" t="s">
        <v>232</v>
      </c>
      <c r="C32" s="1048"/>
      <c r="D32" s="3563"/>
      <c r="E32" s="3563"/>
      <c r="F32" s="3563"/>
      <c r="G32" s="3563"/>
      <c r="H32" s="3490"/>
      <c r="I32" s="3491"/>
      <c r="J32" s="3491"/>
      <c r="K32" s="3492"/>
      <c r="L32" s="3493"/>
      <c r="M32" s="3494"/>
      <c r="N32" s="315"/>
      <c r="S32" s="3503"/>
      <c r="T32" s="3504"/>
      <c r="Y32" s="2290" t="s">
        <v>6358</v>
      </c>
      <c r="Z32" s="2246">
        <v>32</v>
      </c>
      <c r="AZ32" s="2212"/>
    </row>
    <row r="33" spans="1:52" s="291" customFormat="1" ht="16.5" customHeight="1">
      <c r="A33" s="315"/>
      <c r="B33" s="290" t="s">
        <v>1222</v>
      </c>
      <c r="C33" s="315"/>
      <c r="D33" s="315"/>
      <c r="E33" s="315"/>
      <c r="F33" s="315"/>
      <c r="G33" s="315"/>
      <c r="H33" s="315"/>
      <c r="I33" s="315"/>
      <c r="L33" s="3564">
        <f>SUM(L22:L32)</f>
        <v>16453921</v>
      </c>
      <c r="M33" s="3565"/>
      <c r="N33" s="332"/>
      <c r="S33" s="3503"/>
      <c r="T33" s="3504"/>
      <c r="Y33" s="2290"/>
      <c r="Z33" s="2246">
        <v>33</v>
      </c>
      <c r="AZ33" s="2212"/>
    </row>
    <row r="34" spans="1:52" s="291" customFormat="1" ht="16.5" customHeight="1">
      <c r="A34" s="315"/>
      <c r="B34" s="2618" t="s">
        <v>1223</v>
      </c>
      <c r="C34" s="315"/>
      <c r="D34" s="315"/>
      <c r="E34" s="315"/>
      <c r="F34" s="315"/>
      <c r="G34" s="315"/>
      <c r="H34" s="315"/>
      <c r="I34" s="315"/>
      <c r="L34" s="3566">
        <f>'Part III-A-Uses of Funds'!$G$146-'Part III-A-Uses of Funds'!$G$103-'Part III-A-Uses of Funds'!$G$109-'Part III-A-Uses of Funds'!$G$130-'Part III-A-Uses of Funds'!$G$131-'Part III-A-Uses of Funds'!$G$132-'Part III-A-Uses of Funds'!$G$127+'Part III-A-Uses of Funds'!$F$123</f>
        <v>16423766</v>
      </c>
      <c r="M34" s="3567"/>
      <c r="N34" s="839"/>
      <c r="S34" s="3503"/>
      <c r="T34" s="3504"/>
      <c r="Y34" s="2290"/>
      <c r="Z34" s="2246">
        <v>34</v>
      </c>
      <c r="AZ34" s="2212"/>
    </row>
    <row r="35" spans="1:52" s="291" customFormat="1" ht="16.5" customHeight="1">
      <c r="A35" s="315"/>
      <c r="B35" s="320" t="s">
        <v>2003</v>
      </c>
      <c r="C35" s="315"/>
      <c r="D35" s="315"/>
      <c r="E35" s="315"/>
      <c r="F35" s="315"/>
      <c r="G35" s="315"/>
      <c r="H35" s="315"/>
      <c r="I35" s="315"/>
      <c r="L35" s="3568">
        <f>L33-L34</f>
        <v>30155</v>
      </c>
      <c r="M35" s="3569"/>
      <c r="N35" s="839"/>
      <c r="S35" s="3505"/>
      <c r="T35" s="3506"/>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4"/>
      <c r="I38" s="3554"/>
      <c r="K38" s="390" t="s">
        <v>1949</v>
      </c>
      <c r="L38" s="1046" t="s">
        <v>1219</v>
      </c>
      <c r="M38" s="1046" t="s">
        <v>1224</v>
      </c>
      <c r="P38" s="3570" t="s">
        <v>31</v>
      </c>
      <c r="Q38" s="3570"/>
      <c r="S38" s="365"/>
      <c r="Y38" s="2290"/>
      <c r="Z38" s="2246">
        <v>38</v>
      </c>
      <c r="AZ38" s="2212"/>
    </row>
    <row r="39" spans="1:52" s="291" customFormat="1" ht="13.35" customHeight="1">
      <c r="A39" s="315"/>
      <c r="B39" s="1049" t="s">
        <v>1734</v>
      </c>
      <c r="C39" s="1048"/>
      <c r="D39" s="1048"/>
      <c r="E39" s="3572" t="s">
        <v>1221</v>
      </c>
      <c r="F39" s="3572"/>
      <c r="G39" s="3572"/>
      <c r="H39" s="3572"/>
      <c r="I39" s="3489" t="s">
        <v>3848</v>
      </c>
      <c r="J39" s="3489"/>
      <c r="K39" s="1035" t="s">
        <v>1676</v>
      </c>
      <c r="L39" s="1035" t="s">
        <v>2047</v>
      </c>
      <c r="M39" s="1035" t="s">
        <v>2047</v>
      </c>
      <c r="N39" s="3489" t="s">
        <v>69</v>
      </c>
      <c r="O39" s="3489"/>
      <c r="P39" s="3571"/>
      <c r="Q39" s="3571"/>
      <c r="S39" s="3500" t="s">
        <v>2449</v>
      </c>
      <c r="T39" s="3500"/>
      <c r="Y39" s="2290"/>
      <c r="Z39" s="2246">
        <v>39</v>
      </c>
      <c r="AZ39" s="2212" t="s">
        <v>6359</v>
      </c>
    </row>
    <row r="40" spans="1:52" s="291" customFormat="1" ht="15" customHeight="1">
      <c r="A40" s="315"/>
      <c r="B40" s="3529" t="s">
        <v>2403</v>
      </c>
      <c r="C40" s="3530"/>
      <c r="D40" s="3530"/>
      <c r="E40" s="3531" t="s">
        <v>7027</v>
      </c>
      <c r="F40" s="3532"/>
      <c r="G40" s="3532"/>
      <c r="H40" s="3533"/>
      <c r="I40" s="3592">
        <v>6100000</v>
      </c>
      <c r="J40" s="3593"/>
      <c r="K40" s="836">
        <v>5.6500000000000002E-2</v>
      </c>
      <c r="L40" s="1043">
        <v>15</v>
      </c>
      <c r="M40" s="1043">
        <v>40</v>
      </c>
      <c r="N40" s="3577" t="s">
        <v>7006</v>
      </c>
      <c r="O40" s="3577"/>
      <c r="P40" s="3591">
        <f>IF(OR(I40&lt;=0,I40=""),"",IF(N40="Cash Flow",0,IF(N40="Amortizing",-PMT(K40/12,M40*12,I40,0,0)*12,"")))</f>
        <v>385043.10329401225</v>
      </c>
      <c r="Q40" s="3591"/>
      <c r="S40" s="3501"/>
      <c r="T40" s="3502"/>
      <c r="Y40" s="2290" t="s">
        <v>6359</v>
      </c>
      <c r="Z40" s="2246">
        <v>40</v>
      </c>
      <c r="AZ40" s="2212" t="s">
        <v>6360</v>
      </c>
    </row>
    <row r="41" spans="1:52" s="291" customFormat="1" ht="15" customHeight="1">
      <c r="A41" s="315"/>
      <c r="B41" s="3540" t="s">
        <v>2404</v>
      </c>
      <c r="C41" s="3541"/>
      <c r="D41" s="3541"/>
      <c r="E41" s="3542"/>
      <c r="F41" s="3543"/>
      <c r="G41" s="3543"/>
      <c r="H41" s="3544"/>
      <c r="I41" s="3574"/>
      <c r="J41" s="3575"/>
      <c r="K41" s="837"/>
      <c r="L41" s="1044"/>
      <c r="M41" s="1044"/>
      <c r="N41" s="3573"/>
      <c r="O41" s="3573"/>
      <c r="P41" s="3576" t="str">
        <f>IF(OR(I41&lt;=0,I41=""),"",IF(N41="Cash Flow",0,IF(N41="Amortizing",-PMT(K41/12,M41*12,I41,0,0)*12,"")))</f>
        <v/>
      </c>
      <c r="Q41" s="3576"/>
      <c r="S41" s="3503"/>
      <c r="T41" s="3504"/>
      <c r="Y41" s="2290" t="s">
        <v>6360</v>
      </c>
      <c r="Z41" s="2246">
        <v>41</v>
      </c>
      <c r="AZ41" s="2212" t="s">
        <v>6361</v>
      </c>
    </row>
    <row r="42" spans="1:52" s="291" customFormat="1" ht="15" customHeight="1">
      <c r="A42" s="315"/>
      <c r="B42" s="3540" t="s">
        <v>2405</v>
      </c>
      <c r="C42" s="3541"/>
      <c r="D42" s="3541"/>
      <c r="E42" s="3542"/>
      <c r="F42" s="3543"/>
      <c r="G42" s="3543"/>
      <c r="H42" s="3544"/>
      <c r="I42" s="3574"/>
      <c r="J42" s="3575"/>
      <c r="K42" s="837"/>
      <c r="L42" s="1044"/>
      <c r="M42" s="1044"/>
      <c r="N42" s="3573"/>
      <c r="O42" s="3573"/>
      <c r="P42" s="3576" t="str">
        <f>IF(OR(I42&lt;=0,I42=""),"",IF(N42="Cash Flow",0,IF(N42="Amortizing",-PMT(K42/12,M42*12,I42,0,0)*12,"")))</f>
        <v/>
      </c>
      <c r="Q42" s="3576"/>
      <c r="S42" s="3503"/>
      <c r="T42" s="3504"/>
      <c r="Y42" s="2290" t="s">
        <v>6361</v>
      </c>
      <c r="Z42" s="2246">
        <v>42</v>
      </c>
      <c r="AZ42" s="2212" t="s">
        <v>6362</v>
      </c>
    </row>
    <row r="43" spans="1:52" s="291" customFormat="1" ht="15" customHeight="1">
      <c r="A43" s="315"/>
      <c r="B43" s="1040" t="s">
        <v>690</v>
      </c>
      <c r="C43" s="3599"/>
      <c r="D43" s="3600"/>
      <c r="E43" s="3542"/>
      <c r="F43" s="3543"/>
      <c r="G43" s="3543"/>
      <c r="H43" s="3544"/>
      <c r="I43" s="3601"/>
      <c r="J43" s="3602"/>
      <c r="K43" s="838"/>
      <c r="L43" s="1038"/>
      <c r="M43" s="1038"/>
      <c r="N43" s="3604"/>
      <c r="O43" s="3604"/>
      <c r="P43" s="3603" t="str">
        <f>IF(OR(I43&lt;=0,I43=""),"",IF(N43="Cash Flow",0,IF(N43="Amortizing",-PMT(K43/12,M43*12,I43,0,0)*12,"")))</f>
        <v/>
      </c>
      <c r="Q43" s="3603"/>
      <c r="S43" s="3503"/>
      <c r="T43" s="3504"/>
      <c r="Y43" s="2290" t="s">
        <v>6362</v>
      </c>
      <c r="Z43" s="2246">
        <v>43</v>
      </c>
      <c r="AZ43" s="2212" t="s">
        <v>6363</v>
      </c>
    </row>
    <row r="44" spans="1:52" s="291" customFormat="1" ht="15" customHeight="1">
      <c r="A44" s="315"/>
      <c r="B44" s="1040" t="s">
        <v>3948</v>
      </c>
      <c r="C44" s="1041"/>
      <c r="D44" s="1045"/>
      <c r="E44" s="3542"/>
      <c r="F44" s="3543"/>
      <c r="G44" s="3543"/>
      <c r="H44" s="3544"/>
      <c r="I44" s="3574"/>
      <c r="J44" s="3575"/>
      <c r="K44" s="476"/>
      <c r="L44" s="1039"/>
      <c r="M44" s="1039"/>
      <c r="N44" s="3606"/>
      <c r="O44" s="3606"/>
      <c r="P44" s="3605"/>
      <c r="Q44" s="3605"/>
      <c r="S44" s="3503"/>
      <c r="T44" s="3504"/>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0.42188203463203461</v>
      </c>
      <c r="E45" s="3490" t="s">
        <v>7026</v>
      </c>
      <c r="F45" s="3491"/>
      <c r="G45" s="3491"/>
      <c r="H45" s="3492"/>
      <c r="I45" s="3578">
        <v>779638</v>
      </c>
      <c r="J45" s="3579"/>
      <c r="K45" s="835">
        <v>0</v>
      </c>
      <c r="L45" s="834">
        <v>14</v>
      </c>
      <c r="M45" s="834">
        <v>14</v>
      </c>
      <c r="N45" s="3322" t="s">
        <v>1097</v>
      </c>
      <c r="O45" s="3323"/>
      <c r="P45" s="3580">
        <f>IF(OR(I45&lt;=0,I45=""),"",IF(N45="Cash Flow",0,IF(N45="Amortizing",-PMT(K45/12,M45*12,I45,0,0)*12,"")))</f>
        <v>0</v>
      </c>
      <c r="Q45" s="3581"/>
      <c r="S45" s="3503"/>
      <c r="T45" s="3504"/>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3"/>
      <c r="T46" s="3504"/>
      <c r="Y46" s="2290"/>
      <c r="Z46" s="2246">
        <v>46</v>
      </c>
      <c r="AZ46" s="2212"/>
    </row>
    <row r="47" spans="1:52" s="291" customFormat="1" ht="15" customHeight="1">
      <c r="A47" s="315"/>
      <c r="B47" s="1070" t="s">
        <v>3408</v>
      </c>
      <c r="C47" s="1217"/>
      <c r="E47" s="291" t="s">
        <v>3366</v>
      </c>
      <c r="F47" s="3589">
        <f>IF(OR($I$45="",$I$45=0,'Part VI-Pro Forma'!$S$35=0,'Part VI-Pro Forma'!$S$35=""),"",VLOOKUP($L$45,'Part VI-Pro Forma'!$Q$21:$S$40,3))</f>
        <v>1650385.750712961</v>
      </c>
      <c r="G47" s="3590"/>
      <c r="H47" s="628" t="s">
        <v>3407</v>
      </c>
      <c r="I47" s="3589">
        <f>IF(OR($I$45="",$I$45=0,'Part VI-Pro Forma'!$R$35=0,'Part VI-Pro Forma'!$R$35=""),"",VLOOKUP($L$45,'Part VI-Pro Forma'!$Q$21:$S$35,2))</f>
        <v>835814</v>
      </c>
      <c r="J47" s="3590"/>
      <c r="K47" s="628" t="s">
        <v>3409</v>
      </c>
      <c r="L47" s="3587">
        <f>IF(OR($F$47 = 0,$F$47 =""),"",$I$47/$F$47)</f>
        <v>0.50643554068431051</v>
      </c>
      <c r="M47" s="3588"/>
      <c r="N47" s="3612" t="s">
        <v>3852</v>
      </c>
      <c r="O47" s="3613"/>
      <c r="P47" s="3610">
        <f>IF(OR($I$62=0,$I$60&gt;$I$61),0,ABS($I$60-$I$61))</f>
        <v>0</v>
      </c>
      <c r="Q47" s="3611"/>
      <c r="S47" s="3503"/>
      <c r="T47" s="3504"/>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5"/>
      <c r="T48" s="3506"/>
      <c r="Y48" s="2290"/>
      <c r="Z48" s="2246">
        <v>48</v>
      </c>
      <c r="AZ48" s="2212" t="s">
        <v>6365</v>
      </c>
    </row>
    <row r="49" spans="1:52" s="291" customFormat="1" ht="15" customHeight="1">
      <c r="A49" s="315"/>
      <c r="B49" s="3594" t="s">
        <v>2048</v>
      </c>
      <c r="C49" s="3595"/>
      <c r="D49" s="3596"/>
      <c r="E49" s="3531"/>
      <c r="F49" s="3532"/>
      <c r="G49" s="3532"/>
      <c r="H49" s="3533"/>
      <c r="I49" s="3597"/>
      <c r="J49" s="3598"/>
      <c r="K49" s="392"/>
      <c r="L49" s="392"/>
      <c r="M49" s="392"/>
      <c r="N49" s="392"/>
      <c r="O49" s="392"/>
      <c r="P49" s="423" t="s">
        <v>483</v>
      </c>
      <c r="Q49" s="392"/>
      <c r="S49" s="3501"/>
      <c r="T49" s="3502"/>
      <c r="Y49" s="2290" t="s">
        <v>6365</v>
      </c>
      <c r="Z49" s="2246">
        <v>49</v>
      </c>
      <c r="AZ49" s="2212" t="s">
        <v>6366</v>
      </c>
    </row>
    <row r="50" spans="1:52" s="291" customFormat="1" ht="15" customHeight="1">
      <c r="A50" s="315"/>
      <c r="B50" s="3540" t="s">
        <v>745</v>
      </c>
      <c r="C50" s="3541"/>
      <c r="D50" s="3582"/>
      <c r="E50" s="3542"/>
      <c r="F50" s="3543"/>
      <c r="G50" s="3543"/>
      <c r="H50" s="3544"/>
      <c r="I50" s="3574"/>
      <c r="J50" s="3575"/>
      <c r="L50" s="3583" t="s">
        <v>484</v>
      </c>
      <c r="M50" s="3583"/>
      <c r="N50" s="3584" t="s">
        <v>485</v>
      </c>
      <c r="O50" s="3584"/>
      <c r="P50" s="424" t="s">
        <v>2358</v>
      </c>
      <c r="Q50" s="392"/>
      <c r="S50" s="3503"/>
      <c r="T50" s="3504"/>
      <c r="Y50" s="2290" t="s">
        <v>6366</v>
      </c>
      <c r="Z50" s="2246">
        <v>50</v>
      </c>
      <c r="AZ50" s="2212" t="s">
        <v>6367</v>
      </c>
    </row>
    <row r="51" spans="1:52" s="291" customFormat="1" ht="15" customHeight="1">
      <c r="A51" s="315"/>
      <c r="B51" s="3540" t="s">
        <v>746</v>
      </c>
      <c r="C51" s="3541"/>
      <c r="D51" s="3582"/>
      <c r="E51" s="3542" t="s">
        <v>7007</v>
      </c>
      <c r="F51" s="3543"/>
      <c r="G51" s="3543"/>
      <c r="H51" s="3544"/>
      <c r="I51" s="3574">
        <v>6983745</v>
      </c>
      <c r="J51" s="3574"/>
      <c r="L51" s="3585">
        <f>'Part III-A-Uses of Funds'!$J$191*10*'Part III-A-Uses of Funds'!$N$182</f>
        <v>7055000</v>
      </c>
      <c r="M51" s="3585"/>
      <c r="N51" s="3586">
        <f>I51-L51</f>
        <v>-71255</v>
      </c>
      <c r="O51" s="3586"/>
      <c r="P51" s="425">
        <f>I51/I61</f>
        <v>0.37752150353752834</v>
      </c>
      <c r="Q51" s="392"/>
      <c r="S51" s="3503"/>
      <c r="T51" s="3504"/>
      <c r="Y51" s="2290" t="s">
        <v>6367</v>
      </c>
      <c r="Z51" s="2245">
        <v>51</v>
      </c>
      <c r="AZ51" s="2212" t="s">
        <v>6368</v>
      </c>
    </row>
    <row r="52" spans="1:52" s="291" customFormat="1" ht="15" customHeight="1">
      <c r="A52" s="315"/>
      <c r="B52" s="3540" t="s">
        <v>747</v>
      </c>
      <c r="C52" s="3541"/>
      <c r="D52" s="3582"/>
      <c r="E52" s="3542" t="s">
        <v>7008</v>
      </c>
      <c r="F52" s="3543"/>
      <c r="G52" s="3543"/>
      <c r="H52" s="3544"/>
      <c r="I52" s="3574">
        <v>4635550</v>
      </c>
      <c r="J52" s="3574"/>
      <c r="L52" s="3585">
        <f>'Part III-A-Uses of Funds'!$J$191*10*'Part III-A-Uses of Funds'!$Q$182</f>
        <v>4565000</v>
      </c>
      <c r="M52" s="3585"/>
      <c r="N52" s="3586">
        <f>I52-L52</f>
        <v>70550</v>
      </c>
      <c r="O52" s="3586"/>
      <c r="P52" s="425">
        <f>I52/I61</f>
        <v>0.25058472291347833</v>
      </c>
      <c r="Q52" s="392"/>
      <c r="S52" s="3503"/>
      <c r="T52" s="3504"/>
      <c r="Y52" s="2290" t="s">
        <v>6368</v>
      </c>
      <c r="Z52" s="2246">
        <v>52</v>
      </c>
      <c r="AZ52" s="2212" t="s">
        <v>6369</v>
      </c>
    </row>
    <row r="53" spans="1:52" s="291" customFormat="1" ht="15" customHeight="1">
      <c r="A53" s="315"/>
      <c r="B53" s="3540" t="s">
        <v>1332</v>
      </c>
      <c r="C53" s="3541"/>
      <c r="D53" s="3582"/>
      <c r="E53" s="3542"/>
      <c r="F53" s="3543"/>
      <c r="G53" s="3543"/>
      <c r="H53" s="3544"/>
      <c r="I53" s="3574"/>
      <c r="J53" s="3574"/>
      <c r="P53" s="426">
        <f>SUM(P51:P52)</f>
        <v>0.62810622645100667</v>
      </c>
      <c r="Q53" s="392"/>
      <c r="S53" s="3505"/>
      <c r="T53" s="3506"/>
      <c r="Y53" s="2290" t="s">
        <v>6369</v>
      </c>
      <c r="Z53" s="2246">
        <v>53</v>
      </c>
      <c r="AZ53" s="2212"/>
    </row>
    <row r="54" spans="1:52" s="291" customFormat="1" ht="15" customHeight="1">
      <c r="A54" s="315"/>
      <c r="B54" s="1040" t="s">
        <v>497</v>
      </c>
      <c r="C54" s="1041"/>
      <c r="D54" s="1045"/>
      <c r="E54" s="3542"/>
      <c r="F54" s="3543"/>
      <c r="G54" s="3543"/>
      <c r="H54" s="3544"/>
      <c r="I54" s="3574"/>
      <c r="J54" s="3574"/>
      <c r="K54" s="315"/>
      <c r="Q54" s="392"/>
      <c r="S54" s="3503"/>
      <c r="T54" s="3504"/>
      <c r="Y54" s="2290"/>
      <c r="Z54" s="2246">
        <v>54</v>
      </c>
      <c r="AZ54" s="2212"/>
    </row>
    <row r="55" spans="1:52" s="291" customFormat="1" ht="15" customHeight="1">
      <c r="A55" s="315"/>
      <c r="B55" s="1040" t="s">
        <v>1732</v>
      </c>
      <c r="C55" s="1041"/>
      <c r="D55" s="1045"/>
      <c r="E55" s="3542"/>
      <c r="F55" s="3543"/>
      <c r="G55" s="3543"/>
      <c r="H55" s="3544"/>
      <c r="I55" s="3574"/>
      <c r="J55" s="3574"/>
      <c r="N55" s="393"/>
      <c r="O55" s="393"/>
      <c r="P55" s="393"/>
      <c r="Q55" s="392"/>
      <c r="S55" s="3503"/>
      <c r="T55" s="3504"/>
      <c r="Y55" s="2290"/>
      <c r="Z55" s="2246">
        <v>55</v>
      </c>
      <c r="AZ55" s="2212"/>
    </row>
    <row r="56" spans="1:52" s="291" customFormat="1" ht="15" customHeight="1">
      <c r="A56" s="315"/>
      <c r="B56" s="1040" t="s">
        <v>1733</v>
      </c>
      <c r="C56" s="1041"/>
      <c r="D56" s="1045"/>
      <c r="E56" s="3542"/>
      <c r="F56" s="3543"/>
      <c r="G56" s="3543"/>
      <c r="H56" s="3544"/>
      <c r="I56" s="3574"/>
      <c r="J56" s="3574"/>
      <c r="M56" s="393"/>
      <c r="N56" s="393"/>
      <c r="O56" s="393"/>
      <c r="P56" s="393"/>
      <c r="Q56" s="392"/>
      <c r="S56" s="3503"/>
      <c r="T56" s="3504"/>
      <c r="Y56" s="2290"/>
      <c r="Z56" s="2246">
        <v>56</v>
      </c>
      <c r="AZ56" s="2212" t="s">
        <v>6370</v>
      </c>
    </row>
    <row r="57" spans="1:52" s="291" customFormat="1" ht="15" customHeight="1">
      <c r="A57" s="315"/>
      <c r="B57" s="1040" t="s">
        <v>690</v>
      </c>
      <c r="C57" s="3561"/>
      <c r="D57" s="3561"/>
      <c r="E57" s="3542" t="s">
        <v>233</v>
      </c>
      <c r="F57" s="3543"/>
      <c r="G57" s="3543"/>
      <c r="H57" s="3544"/>
      <c r="I57" s="3574"/>
      <c r="J57" s="3574"/>
      <c r="M57" s="393"/>
      <c r="N57" s="393"/>
      <c r="O57" s="393"/>
      <c r="P57" s="393"/>
      <c r="Q57" s="392"/>
      <c r="S57" s="3503"/>
      <c r="T57" s="3504"/>
      <c r="Y57" s="2290" t="s">
        <v>6370</v>
      </c>
      <c r="Z57" s="2246">
        <v>57</v>
      </c>
      <c r="AZ57" s="2212" t="s">
        <v>6371</v>
      </c>
    </row>
    <row r="58" spans="1:52" s="291" customFormat="1" ht="15" customHeight="1">
      <c r="A58" s="315"/>
      <c r="B58" s="1040" t="s">
        <v>690</v>
      </c>
      <c r="C58" s="3562"/>
      <c r="D58" s="3562"/>
      <c r="E58" s="3542"/>
      <c r="F58" s="3543"/>
      <c r="G58" s="3543"/>
      <c r="H58" s="3544"/>
      <c r="I58" s="3574"/>
      <c r="J58" s="3574"/>
      <c r="K58" s="315"/>
      <c r="L58" s="394"/>
      <c r="M58" s="393"/>
      <c r="N58" s="393"/>
      <c r="O58" s="393"/>
      <c r="P58" s="393"/>
      <c r="Q58" s="392"/>
      <c r="S58" s="3503"/>
      <c r="T58" s="3504"/>
      <c r="Y58" s="2290" t="s">
        <v>6371</v>
      </c>
      <c r="Z58" s="2246">
        <v>58</v>
      </c>
      <c r="AZ58" s="2212" t="s">
        <v>6372</v>
      </c>
    </row>
    <row r="59" spans="1:52" s="291" customFormat="1" ht="15" customHeight="1">
      <c r="A59" s="315"/>
      <c r="B59" s="1047" t="s">
        <v>690</v>
      </c>
      <c r="C59" s="3563"/>
      <c r="D59" s="3563"/>
      <c r="E59" s="3490"/>
      <c r="F59" s="3491"/>
      <c r="G59" s="3491"/>
      <c r="H59" s="3492"/>
      <c r="I59" s="3614"/>
      <c r="J59" s="3614"/>
      <c r="K59" s="315"/>
      <c r="L59" s="394"/>
      <c r="M59" s="393"/>
      <c r="N59" s="393"/>
      <c r="O59" s="393"/>
      <c r="P59" s="393"/>
      <c r="Q59" s="392"/>
      <c r="S59" s="3503"/>
      <c r="T59" s="3504"/>
      <c r="Y59" s="2290" t="s">
        <v>6372</v>
      </c>
      <c r="Z59" s="2246">
        <v>59</v>
      </c>
      <c r="AZ59" s="2212"/>
    </row>
    <row r="60" spans="1:52" s="291" customFormat="1" ht="14.25" customHeight="1">
      <c r="A60" s="315"/>
      <c r="B60" s="1034" t="s">
        <v>2049</v>
      </c>
      <c r="C60" s="315"/>
      <c r="D60" s="315"/>
      <c r="E60" s="315"/>
      <c r="F60" s="315"/>
      <c r="G60" s="315"/>
      <c r="I60" s="3615">
        <f>SUM(I40:J45)+SUM(I49:J59)</f>
        <v>18498933</v>
      </c>
      <c r="J60" s="3616"/>
      <c r="K60" s="315"/>
      <c r="L60" s="394"/>
      <c r="M60" s="393"/>
      <c r="N60" s="393"/>
      <c r="O60" s="393"/>
      <c r="P60" s="393"/>
      <c r="Q60" s="392"/>
      <c r="S60" s="3503"/>
      <c r="T60" s="3504"/>
      <c r="Y60" s="2290"/>
      <c r="Z60" s="2245">
        <v>60</v>
      </c>
      <c r="AZ60" s="2212"/>
    </row>
    <row r="61" spans="1:52" s="291" customFormat="1" ht="14.25" customHeight="1" thickBot="1">
      <c r="A61" s="315"/>
      <c r="B61" s="1034" t="s">
        <v>2050</v>
      </c>
      <c r="C61" s="315"/>
      <c r="D61" s="315"/>
      <c r="E61" s="315"/>
      <c r="F61" s="315"/>
      <c r="G61" s="315"/>
      <c r="I61" s="3617">
        <f>'Part III-A-Uses of Funds'!$G$146</f>
        <v>18498933</v>
      </c>
      <c r="J61" s="3618"/>
      <c r="K61" s="315"/>
      <c r="L61" s="394"/>
      <c r="M61" s="393"/>
      <c r="N61" s="393"/>
      <c r="O61" s="393"/>
      <c r="P61" s="393"/>
      <c r="Q61" s="392"/>
      <c r="S61" s="3503"/>
      <c r="T61" s="3504"/>
      <c r="Y61" s="2290"/>
      <c r="Z61" s="2246">
        <v>61</v>
      </c>
      <c r="AZ61" s="2212"/>
    </row>
    <row r="62" spans="1:52" s="291" customFormat="1" ht="14.25" customHeight="1" thickBot="1">
      <c r="A62" s="315"/>
      <c r="B62" s="320" t="s">
        <v>1429</v>
      </c>
      <c r="C62" s="315"/>
      <c r="D62" s="315"/>
      <c r="E62" s="315"/>
      <c r="F62" s="315"/>
      <c r="G62" s="315"/>
      <c r="I62" s="3619">
        <f>I60-I61</f>
        <v>0</v>
      </c>
      <c r="J62" s="3620"/>
      <c r="K62" s="315"/>
      <c r="L62" s="394"/>
      <c r="M62" s="393"/>
      <c r="N62" s="393"/>
      <c r="O62" s="393"/>
      <c r="P62" s="393"/>
      <c r="Q62" s="392"/>
      <c r="S62" s="3505"/>
      <c r="T62" s="3506"/>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9" t="s">
        <v>7011</v>
      </c>
      <c r="B66" s="3609"/>
      <c r="C66" s="3609"/>
      <c r="D66" s="3609"/>
      <c r="E66" s="3609"/>
      <c r="F66" s="3609"/>
      <c r="G66" s="3609"/>
      <c r="H66" s="3609"/>
      <c r="I66" s="3609"/>
      <c r="J66" s="3609"/>
      <c r="K66" s="3609"/>
      <c r="L66" s="3609"/>
      <c r="M66" s="3608"/>
      <c r="N66" s="3608"/>
      <c r="O66" s="3608"/>
      <c r="P66" s="3608"/>
      <c r="Q66" s="3608"/>
      <c r="S66" s="3607" t="s">
        <v>2453</v>
      </c>
      <c r="T66" s="3607"/>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9" t="e">
        <f>CONCATENATE("PART III B: USD 538 LOAN","  -  ",#REF!," ",#REF!,", ",#REF!,", ",#REF!," County")</f>
        <v>#REF!</v>
      </c>
      <c r="B1" s="3630"/>
      <c r="C1" s="3630"/>
      <c r="D1" s="3630"/>
      <c r="E1" s="3630"/>
      <c r="F1" s="3631"/>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2" t="s">
        <v>210</v>
      </c>
      <c r="B3" s="3622"/>
      <c r="C3" s="3622"/>
      <c r="D3" s="3622"/>
      <c r="E3" s="3622"/>
      <c r="F3" s="3622"/>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3" t="s">
        <v>122</v>
      </c>
      <c r="B14" s="3623"/>
      <c r="C14" s="3623"/>
      <c r="D14" s="3623"/>
      <c r="E14" s="3623"/>
      <c r="F14" s="3623"/>
      <c r="G14" s="207"/>
      <c r="H14" s="207"/>
    </row>
    <row r="15" spans="1:17" ht="5.45" customHeight="1">
      <c r="A15" s="28"/>
      <c r="E15" s="218"/>
      <c r="F15" s="207"/>
      <c r="G15" s="207"/>
      <c r="H15" s="207"/>
    </row>
    <row r="16" spans="1:17" ht="13.35" customHeight="1">
      <c r="A16" s="220" t="s">
        <v>2285</v>
      </c>
      <c r="B16" s="221" t="s">
        <v>2282</v>
      </c>
      <c r="C16" s="221" t="s">
        <v>2283</v>
      </c>
      <c r="D16" s="3632" t="s">
        <v>2083</v>
      </c>
      <c r="E16" s="3632"/>
      <c r="F16" s="207"/>
      <c r="G16" s="207"/>
      <c r="H16" s="207"/>
    </row>
    <row r="17" spans="1:8" ht="12.6" customHeight="1">
      <c r="A17" s="81">
        <v>1</v>
      </c>
      <c r="B17" s="196">
        <f>IF(A17&gt;$C$9,0,SUM(C64:C75)*($C$6/$C$7))</f>
        <v>0</v>
      </c>
      <c r="C17" s="219">
        <f>IF(A17&gt;C9,0,(E63+K63)*$C$8)</f>
        <v>0</v>
      </c>
      <c r="D17" s="3627">
        <f t="shared" ref="D17:D56" si="0">IF(A17&gt;$C$9,0,$C$11+C17)</f>
        <v>0</v>
      </c>
      <c r="E17" s="3627"/>
      <c r="F17" s="207"/>
      <c r="G17" s="207"/>
      <c r="H17" s="207"/>
    </row>
    <row r="18" spans="1:8" ht="12.6" customHeight="1">
      <c r="A18" s="81">
        <v>2</v>
      </c>
      <c r="B18" s="196">
        <f>IF(A18&gt;C9,0,SUM(C76:C87)*($C$6/$C$7))</f>
        <v>0</v>
      </c>
      <c r="C18" s="226">
        <f>IF(A18&gt;C9,0,(E75+K75)*$C$8)</f>
        <v>0</v>
      </c>
      <c r="D18" s="3625">
        <f t="shared" si="0"/>
        <v>0</v>
      </c>
      <c r="E18" s="3625"/>
      <c r="F18" s="207"/>
      <c r="G18" s="207"/>
      <c r="H18" s="207"/>
    </row>
    <row r="19" spans="1:8" ht="12.6" customHeight="1">
      <c r="A19" s="81">
        <v>3</v>
      </c>
      <c r="B19" s="196">
        <f>IF(A19&gt;C9,0,SUM(C88:C99)*($C$6/$C$7))</f>
        <v>0</v>
      </c>
      <c r="C19" s="219">
        <f>IF(A19&gt;C9,0,(E87+K87)*$C$8)</f>
        <v>0</v>
      </c>
      <c r="D19" s="3625">
        <f t="shared" si="0"/>
        <v>0</v>
      </c>
      <c r="E19" s="3625"/>
      <c r="F19" s="207"/>
      <c r="G19" s="207"/>
      <c r="H19" s="207"/>
    </row>
    <row r="20" spans="1:8" ht="12.6" customHeight="1">
      <c r="A20" s="81">
        <v>4</v>
      </c>
      <c r="B20" s="196">
        <f>IF(A20&gt;C9,0,SUM(C100:C111)*($C$6/$C$7))</f>
        <v>0</v>
      </c>
      <c r="C20" s="219">
        <f>IF(A20&gt;C9,0,(E99+K99)*$C$8)</f>
        <v>0</v>
      </c>
      <c r="D20" s="3625">
        <f t="shared" si="0"/>
        <v>0</v>
      </c>
      <c r="E20" s="3625"/>
      <c r="F20" s="207"/>
      <c r="G20" s="207"/>
      <c r="H20" s="207"/>
    </row>
    <row r="21" spans="1:8" ht="12.6" customHeight="1">
      <c r="A21" s="81">
        <v>5</v>
      </c>
      <c r="B21" s="196">
        <f>IF(A21&gt;C9,0,SUM(C112:C123)*($C$6/$C$7))</f>
        <v>0</v>
      </c>
      <c r="C21" s="219">
        <f>IF(A21&gt;C9,0,(E111+K111)*$C$8)</f>
        <v>0</v>
      </c>
      <c r="D21" s="3626">
        <f t="shared" si="0"/>
        <v>0</v>
      </c>
      <c r="E21" s="3626"/>
      <c r="F21" s="207"/>
      <c r="G21" s="207"/>
      <c r="H21" s="207"/>
    </row>
    <row r="22" spans="1:8" ht="12.6" customHeight="1">
      <c r="A22" s="197">
        <v>6</v>
      </c>
      <c r="B22" s="198">
        <f>IF(A22&gt;C9,0,SUM(C124:C135)*($C$6/$C$7))</f>
        <v>0</v>
      </c>
      <c r="C22" s="223">
        <f>IF(A22&gt;C9,0,(E123+K123)*$C$8)</f>
        <v>0</v>
      </c>
      <c r="D22" s="3625">
        <f t="shared" si="0"/>
        <v>0</v>
      </c>
      <c r="E22" s="3625"/>
      <c r="F22" s="207"/>
      <c r="G22" s="207"/>
      <c r="H22" s="207"/>
    </row>
    <row r="23" spans="1:8" ht="12.6" customHeight="1">
      <c r="A23" s="199">
        <v>7</v>
      </c>
      <c r="B23" s="200">
        <f>IF(A23&gt;C9,0,SUM(C136:C147)*($C$6/$C$7))</f>
        <v>0</v>
      </c>
      <c r="C23" s="201">
        <f>IF(A23&gt;C9,0,(E135+K135)*$C$8)</f>
        <v>0</v>
      </c>
      <c r="D23" s="3625">
        <f t="shared" si="0"/>
        <v>0</v>
      </c>
      <c r="E23" s="3625"/>
      <c r="F23" s="207"/>
      <c r="G23" s="207"/>
      <c r="H23" s="207"/>
    </row>
    <row r="24" spans="1:8" ht="12.6" customHeight="1">
      <c r="A24" s="199">
        <v>8</v>
      </c>
      <c r="B24" s="200">
        <f>IF(A24&gt;C9,0,SUM(C148:C159)*($C$6/$C$7))</f>
        <v>0</v>
      </c>
      <c r="C24" s="201">
        <f>IF(A24&gt;C9,0,(E147+K147)*$C$8)</f>
        <v>0</v>
      </c>
      <c r="D24" s="3625">
        <f t="shared" si="0"/>
        <v>0</v>
      </c>
      <c r="E24" s="3625"/>
      <c r="F24" s="207"/>
      <c r="G24" s="207"/>
      <c r="H24" s="207"/>
    </row>
    <row r="25" spans="1:8" ht="12.6" customHeight="1">
      <c r="A25" s="199">
        <v>9</v>
      </c>
      <c r="B25" s="200">
        <f>IF(A25&gt;C9,0,SUM(C160:C171)*($C$6/$C$7))</f>
        <v>0</v>
      </c>
      <c r="C25" s="201">
        <f>IF(A25&gt;C9,0,(E159+K159)*$C$8)</f>
        <v>0</v>
      </c>
      <c r="D25" s="3625">
        <f t="shared" si="0"/>
        <v>0</v>
      </c>
      <c r="E25" s="3625"/>
      <c r="F25" s="207"/>
      <c r="G25" s="207"/>
      <c r="H25" s="207"/>
    </row>
    <row r="26" spans="1:8" ht="12.6" customHeight="1">
      <c r="A26" s="202">
        <v>10</v>
      </c>
      <c r="B26" s="203">
        <f>IF(A26&gt;C9,0,SUM(C172:C183)*($C$6/$C$7))</f>
        <v>0</v>
      </c>
      <c r="C26" s="222">
        <f>IF(A26&gt;C9,0,(E171+K171)*$C$8)</f>
        <v>0</v>
      </c>
      <c r="D26" s="3626">
        <f t="shared" si="0"/>
        <v>0</v>
      </c>
      <c r="E26" s="3626"/>
      <c r="F26" s="207"/>
      <c r="G26" s="207"/>
      <c r="H26" s="207"/>
    </row>
    <row r="27" spans="1:8" ht="12.6" customHeight="1">
      <c r="A27" s="204">
        <v>11</v>
      </c>
      <c r="B27" s="196">
        <f>IF(A27&gt;C9,0,SUM(C184:C195)*($C$6/$C$7))</f>
        <v>0</v>
      </c>
      <c r="C27" s="219">
        <f>IF(A27&gt;C9,0,(E183+K183)*$C$8)</f>
        <v>0</v>
      </c>
      <c r="D27" s="3625">
        <f t="shared" si="0"/>
        <v>0</v>
      </c>
      <c r="E27" s="3625"/>
      <c r="F27" s="207"/>
      <c r="G27" s="207"/>
      <c r="H27" s="207"/>
    </row>
    <row r="28" spans="1:8" ht="12.6" customHeight="1">
      <c r="A28" s="204">
        <v>12</v>
      </c>
      <c r="B28" s="196">
        <f>IF(A28&gt;C9,0,SUM(C196:C207)*($C$6/$C$7))</f>
        <v>0</v>
      </c>
      <c r="C28" s="219">
        <f>IF(A28&gt;C9,0,(E195+K195)*$C$8)</f>
        <v>0</v>
      </c>
      <c r="D28" s="3625">
        <f t="shared" si="0"/>
        <v>0</v>
      </c>
      <c r="E28" s="3625"/>
      <c r="F28" s="207"/>
      <c r="G28" s="207"/>
      <c r="H28" s="207"/>
    </row>
    <row r="29" spans="1:8" ht="12.6" customHeight="1">
      <c r="A29" s="204">
        <v>13</v>
      </c>
      <c r="B29" s="196">
        <f>IF(A29&gt;C9,0,SUM(C208:C219)*($C$6/$C$7))</f>
        <v>0</v>
      </c>
      <c r="C29" s="219">
        <f>IF(A29&gt;C9,0,(E207+K207)*$C$8)</f>
        <v>0</v>
      </c>
      <c r="D29" s="3625">
        <f t="shared" si="0"/>
        <v>0</v>
      </c>
      <c r="E29" s="3625"/>
      <c r="F29" s="207"/>
      <c r="G29" s="207"/>
      <c r="H29" s="207"/>
    </row>
    <row r="30" spans="1:8" ht="12.6" customHeight="1">
      <c r="A30" s="204">
        <v>14</v>
      </c>
      <c r="B30" s="196">
        <f>IF(A30&gt;C9,0,SUM(C220:C231)*($C$6/$C$7))</f>
        <v>0</v>
      </c>
      <c r="C30" s="219">
        <f>IF(A30&gt;C9,0,(E219+K219)*$C$8)</f>
        <v>0</v>
      </c>
      <c r="D30" s="3625">
        <f t="shared" si="0"/>
        <v>0</v>
      </c>
      <c r="E30" s="3625"/>
      <c r="F30" s="207"/>
      <c r="G30" s="207"/>
      <c r="H30" s="207"/>
    </row>
    <row r="31" spans="1:8" ht="12.6" customHeight="1">
      <c r="A31" s="204">
        <v>15</v>
      </c>
      <c r="B31" s="196">
        <f>IF(A31&gt;C9,0,SUM(C232:C243)*($C$6/$C$7))</f>
        <v>0</v>
      </c>
      <c r="C31" s="219">
        <f>IF(A31&gt;C9,0,(E231+K231)*$C$8)</f>
        <v>0</v>
      </c>
      <c r="D31" s="3626">
        <f t="shared" si="0"/>
        <v>0</v>
      </c>
      <c r="E31" s="3626"/>
      <c r="F31" s="207"/>
      <c r="G31" s="207"/>
      <c r="H31" s="207"/>
    </row>
    <row r="32" spans="1:8" ht="12.6" customHeight="1">
      <c r="A32" s="206">
        <v>16</v>
      </c>
      <c r="B32" s="198">
        <f>IF(A32&gt;C9,0,SUM(C244:C255)*($C$6/$C$7))</f>
        <v>0</v>
      </c>
      <c r="C32" s="223">
        <f>IF(A32&gt;C9,0,(E243+K243)*$C$8)</f>
        <v>0</v>
      </c>
      <c r="D32" s="3625">
        <f t="shared" si="0"/>
        <v>0</v>
      </c>
      <c r="E32" s="3625"/>
      <c r="F32" s="207"/>
      <c r="G32" s="207"/>
      <c r="H32" s="207"/>
    </row>
    <row r="33" spans="1:8" ht="12.6" customHeight="1">
      <c r="A33" s="199">
        <v>17</v>
      </c>
      <c r="B33" s="200">
        <f>IF(A33&gt;C9,0,SUM(C256:C267)*($C$6/$C$7))</f>
        <v>0</v>
      </c>
      <c r="C33" s="201">
        <f>IF(A33&gt;C9,0,(E255+K255)*$C$8)</f>
        <v>0</v>
      </c>
      <c r="D33" s="3625">
        <f t="shared" si="0"/>
        <v>0</v>
      </c>
      <c r="E33" s="3625"/>
      <c r="F33" s="207"/>
      <c r="G33" s="207"/>
      <c r="H33" s="207"/>
    </row>
    <row r="34" spans="1:8" ht="12.6" customHeight="1">
      <c r="A34" s="199">
        <v>18</v>
      </c>
      <c r="B34" s="200">
        <f>IF(A34&gt;C9,0,SUM(C268:C279)*($C$6/$C$7))</f>
        <v>0</v>
      </c>
      <c r="C34" s="201">
        <f>IF(A34&gt;C9,0,(E267+K267)*$C$8)</f>
        <v>0</v>
      </c>
      <c r="D34" s="3625">
        <f t="shared" si="0"/>
        <v>0</v>
      </c>
      <c r="E34" s="3625"/>
      <c r="F34" s="207"/>
      <c r="G34" s="207"/>
      <c r="H34" s="207"/>
    </row>
    <row r="35" spans="1:8" ht="12.6" customHeight="1">
      <c r="A35" s="199">
        <v>19</v>
      </c>
      <c r="B35" s="200">
        <f>IF(A35&gt;C9,0,SUM(C280:C291)*($C$6/$C$7))</f>
        <v>0</v>
      </c>
      <c r="C35" s="201">
        <f>IF(A35&gt;C9,0,(E279+K279)*$C$8)</f>
        <v>0</v>
      </c>
      <c r="D35" s="3625">
        <f t="shared" si="0"/>
        <v>0</v>
      </c>
      <c r="E35" s="3625"/>
      <c r="F35" s="207"/>
      <c r="G35" s="207"/>
      <c r="H35" s="207"/>
    </row>
    <row r="36" spans="1:8" ht="12.6" customHeight="1">
      <c r="A36" s="202">
        <v>20</v>
      </c>
      <c r="B36" s="203">
        <f>IF(A36&gt;C9,0,SUM(C292:C303)*($C$6/$C$7))</f>
        <v>0</v>
      </c>
      <c r="C36" s="222">
        <f>IF(A36&gt;C9,0,(E291+K291)*$C$8)</f>
        <v>0</v>
      </c>
      <c r="D36" s="3626">
        <f t="shared" si="0"/>
        <v>0</v>
      </c>
      <c r="E36" s="3626"/>
      <c r="F36" s="207"/>
      <c r="G36" s="207"/>
      <c r="H36" s="207"/>
    </row>
    <row r="37" spans="1:8" ht="12.6" customHeight="1">
      <c r="A37" s="81">
        <v>21</v>
      </c>
      <c r="B37" s="198">
        <f>IF(A37&gt;C9,0,SUM(C293:C304)*($C$6/$C$7))</f>
        <v>0</v>
      </c>
      <c r="C37" s="223">
        <f>IF(A37&gt;C9,0,(E303+K303)*$C$8)</f>
        <v>0</v>
      </c>
      <c r="D37" s="3628">
        <f t="shared" si="0"/>
        <v>0</v>
      </c>
      <c r="E37" s="3628"/>
      <c r="F37" s="207"/>
      <c r="G37" s="207"/>
      <c r="H37" s="207"/>
    </row>
    <row r="38" spans="1:8" ht="12.6" customHeight="1">
      <c r="A38" s="81">
        <v>22</v>
      </c>
      <c r="B38" s="200">
        <f>IF(A38&gt;C9,0,SUM(C294:C305)*($C$6/$C$7))</f>
        <v>0</v>
      </c>
      <c r="C38" s="201">
        <f>IF(A38&gt;C9,0,(E315+K315)*$C$8)</f>
        <v>0</v>
      </c>
      <c r="D38" s="3625">
        <f t="shared" si="0"/>
        <v>0</v>
      </c>
      <c r="E38" s="3625"/>
      <c r="F38" s="207"/>
      <c r="G38" s="207"/>
      <c r="H38" s="207"/>
    </row>
    <row r="39" spans="1:8" ht="12.6" customHeight="1">
      <c r="A39" s="81">
        <v>23</v>
      </c>
      <c r="B39" s="200">
        <f>IF(A39&gt;C9,0,SUM(C295:C306)*($C$6/$C$7))</f>
        <v>0</v>
      </c>
      <c r="C39" s="201">
        <f>IF(A39&gt;C9,0,(E327+K327)*$C$8)</f>
        <v>0</v>
      </c>
      <c r="D39" s="3625">
        <f t="shared" si="0"/>
        <v>0</v>
      </c>
      <c r="E39" s="3625"/>
      <c r="F39" s="207"/>
      <c r="G39" s="207"/>
      <c r="H39" s="207"/>
    </row>
    <row r="40" spans="1:8" ht="12.6" customHeight="1">
      <c r="A40" s="81">
        <v>24</v>
      </c>
      <c r="B40" s="200">
        <f>IF(A40&gt;C9,0,SUM(C296:C307)*($C$6/$C$7))</f>
        <v>0</v>
      </c>
      <c r="C40" s="201">
        <f>IF(A40&gt;C9,0,(E339+K339)*$C$8)</f>
        <v>0</v>
      </c>
      <c r="D40" s="3625">
        <f t="shared" si="0"/>
        <v>0</v>
      </c>
      <c r="E40" s="3625"/>
      <c r="F40" s="207"/>
      <c r="G40" s="207"/>
      <c r="H40" s="207"/>
    </row>
    <row r="41" spans="1:8" ht="12.6" customHeight="1">
      <c r="A41" s="81">
        <v>25</v>
      </c>
      <c r="B41" s="203">
        <f>IF(A41&gt;C9,0,SUM(C297:C308)*($C$6/$C$7))</f>
        <v>0</v>
      </c>
      <c r="C41" s="222">
        <f>IF(A41&gt;C9,0,(E351+K351)*$C$8)</f>
        <v>0</v>
      </c>
      <c r="D41" s="3626">
        <f t="shared" si="0"/>
        <v>0</v>
      </c>
      <c r="E41" s="3626"/>
      <c r="F41" s="207"/>
      <c r="G41" s="207"/>
      <c r="H41" s="207"/>
    </row>
    <row r="42" spans="1:8" ht="12.6" customHeight="1">
      <c r="A42" s="197">
        <v>26</v>
      </c>
      <c r="B42" s="198">
        <f>IF(A42&gt;C9,0,SUM(C298:C309)*($C$6/$C$7))</f>
        <v>0</v>
      </c>
      <c r="C42" s="223">
        <f>IF(A42&gt;C9,0,(E363+K363)*$C$8)</f>
        <v>0</v>
      </c>
      <c r="D42" s="3628">
        <f t="shared" si="0"/>
        <v>0</v>
      </c>
      <c r="E42" s="3628"/>
      <c r="F42" s="207"/>
      <c r="G42" s="207"/>
      <c r="H42" s="207"/>
    </row>
    <row r="43" spans="1:8" ht="12.6" customHeight="1">
      <c r="A43" s="199">
        <v>27</v>
      </c>
      <c r="B43" s="200">
        <f>IF(A43&gt;C9,0,SUM(C299:C310)*($C$6/$C$7))</f>
        <v>0</v>
      </c>
      <c r="C43" s="201">
        <f>IF(A43&gt;C9,0,(E375+K375)*$C$8)</f>
        <v>0</v>
      </c>
      <c r="D43" s="3625">
        <f t="shared" si="0"/>
        <v>0</v>
      </c>
      <c r="E43" s="3625"/>
      <c r="F43" s="207"/>
      <c r="G43" s="207"/>
      <c r="H43" s="207"/>
    </row>
    <row r="44" spans="1:8" ht="12.6" customHeight="1">
      <c r="A44" s="199">
        <v>28</v>
      </c>
      <c r="B44" s="200">
        <f>IF(A44&gt;C9,0,SUM(C300:C311)*($C$6/$C$7))</f>
        <v>0</v>
      </c>
      <c r="C44" s="201">
        <f>IF(A44&gt;C9,0,(E387+K387)*$C$8)</f>
        <v>0</v>
      </c>
      <c r="D44" s="3625">
        <f t="shared" si="0"/>
        <v>0</v>
      </c>
      <c r="E44" s="3625"/>
      <c r="F44" s="207"/>
      <c r="G44" s="207"/>
      <c r="H44" s="207"/>
    </row>
    <row r="45" spans="1:8" ht="12.6" customHeight="1">
      <c r="A45" s="199">
        <v>29</v>
      </c>
      <c r="B45" s="200">
        <f>IF(A45&gt;C9,0,SUM(C301:C312)*($C$6/$C$7))</f>
        <v>0</v>
      </c>
      <c r="C45" s="201">
        <f>IF(A45&gt;C9,0,(E411+K411)*$C$8)</f>
        <v>0</v>
      </c>
      <c r="D45" s="3625">
        <f t="shared" si="0"/>
        <v>0</v>
      </c>
      <c r="E45" s="3625"/>
      <c r="F45" s="207"/>
      <c r="G45" s="207"/>
      <c r="H45" s="207"/>
    </row>
    <row r="46" spans="1:8" ht="12.6" customHeight="1">
      <c r="A46" s="202">
        <v>30</v>
      </c>
      <c r="B46" s="203">
        <f>IF(A46&gt;C9,0,SUM(C302:C313)*($C$6/$C$7))</f>
        <v>0</v>
      </c>
      <c r="C46" s="222">
        <f>IF(A46&gt;C9,0,(E423+K423)*$C$8)</f>
        <v>0</v>
      </c>
      <c r="D46" s="3626">
        <f t="shared" si="0"/>
        <v>0</v>
      </c>
      <c r="E46" s="3626"/>
      <c r="F46" s="207"/>
      <c r="G46" s="207"/>
      <c r="H46" s="207"/>
    </row>
    <row r="47" spans="1:8" ht="12.6" customHeight="1">
      <c r="A47" s="206">
        <v>31</v>
      </c>
      <c r="B47" s="198">
        <f>IF(A47&gt;C9,0,SUM(C303:C314)*($C$6/$C$7))</f>
        <v>0</v>
      </c>
      <c r="C47" s="223">
        <f>IF(A47&gt;C9,0,(E435+K435)*$C$8)</f>
        <v>0</v>
      </c>
      <c r="D47" s="3628">
        <f t="shared" si="0"/>
        <v>0</v>
      </c>
      <c r="E47" s="3628"/>
      <c r="F47" s="207"/>
      <c r="G47" s="207"/>
      <c r="H47" s="207"/>
    </row>
    <row r="48" spans="1:8" ht="12.6" customHeight="1">
      <c r="A48" s="199">
        <v>32</v>
      </c>
      <c r="B48" s="200">
        <f>IF(A48&gt;C9,0,SUM(C304:C315)*($C$6/$C$7))</f>
        <v>0</v>
      </c>
      <c r="C48" s="201">
        <f>IF(A48&gt;C9,0,(E447+K447)*$C$8)</f>
        <v>0</v>
      </c>
      <c r="D48" s="3625">
        <f t="shared" si="0"/>
        <v>0</v>
      </c>
      <c r="E48" s="3625"/>
      <c r="F48" s="207"/>
      <c r="G48" s="207"/>
      <c r="H48" s="207"/>
    </row>
    <row r="49" spans="1:12" ht="12.6" customHeight="1">
      <c r="A49" s="199">
        <v>33</v>
      </c>
      <c r="B49" s="200">
        <f>IF(A49&gt;C9,0,SUM(C305:C316)*($C$6/$C$7))</f>
        <v>0</v>
      </c>
      <c r="C49" s="201">
        <f>IF(A49&gt;C9,0,(E459+K459)*$C$8)</f>
        <v>0</v>
      </c>
      <c r="D49" s="3625">
        <f t="shared" si="0"/>
        <v>0</v>
      </c>
      <c r="E49" s="3625"/>
      <c r="F49" s="207"/>
      <c r="G49" s="207"/>
      <c r="H49" s="207"/>
    </row>
    <row r="50" spans="1:12" ht="12.6" customHeight="1">
      <c r="A50" s="199">
        <v>34</v>
      </c>
      <c r="B50" s="200">
        <f>IF(A50&gt;C9,0,SUM(C306:C317)*($C$6/$C$7))</f>
        <v>0</v>
      </c>
      <c r="C50" s="201">
        <f>IF(A50&gt;C9,0,(E471+K471)*$C$8)</f>
        <v>0</v>
      </c>
      <c r="D50" s="3625">
        <f t="shared" si="0"/>
        <v>0</v>
      </c>
      <c r="E50" s="3625"/>
      <c r="F50" s="207"/>
      <c r="G50" s="207"/>
      <c r="H50" s="207"/>
    </row>
    <row r="51" spans="1:12" ht="12.6" customHeight="1">
      <c r="A51" s="202">
        <v>35</v>
      </c>
      <c r="B51" s="203">
        <f>IF(A51&gt;C9,0,SUM(C307:C318)*($C$6/$C$7))</f>
        <v>0</v>
      </c>
      <c r="C51" s="222">
        <f>IF(A51&gt;C9,0,(E483+K483)*$C$8)</f>
        <v>0</v>
      </c>
      <c r="D51" s="3626">
        <f t="shared" si="0"/>
        <v>0</v>
      </c>
      <c r="E51" s="3626"/>
      <c r="F51" s="207"/>
      <c r="G51" s="207"/>
      <c r="H51" s="207"/>
    </row>
    <row r="52" spans="1:12" ht="12.6" customHeight="1">
      <c r="A52" s="206">
        <v>36</v>
      </c>
      <c r="B52" s="198">
        <f>IF(A52&gt;C9,0,SUM(C308:C319)*($C$6/$C$7))</f>
        <v>0</v>
      </c>
      <c r="C52" s="223">
        <f>IF(A52&gt;C9,0,(E495+K495)*$C$8)</f>
        <v>0</v>
      </c>
      <c r="D52" s="3628">
        <f t="shared" si="0"/>
        <v>0</v>
      </c>
      <c r="E52" s="3628"/>
      <c r="F52" s="207"/>
      <c r="G52" s="207"/>
      <c r="H52" s="207"/>
    </row>
    <row r="53" spans="1:12" ht="12.6" customHeight="1">
      <c r="A53" s="199">
        <v>37</v>
      </c>
      <c r="B53" s="200">
        <f>IF(A53&gt;C9,0,SUM(C309:C320)*($C$6/$C$7))</f>
        <v>0</v>
      </c>
      <c r="C53" s="201">
        <f>IF(A53&gt;C9,0,(E507+K507)*$C$8)</f>
        <v>0</v>
      </c>
      <c r="D53" s="3625">
        <f t="shared" si="0"/>
        <v>0</v>
      </c>
      <c r="E53" s="3625"/>
      <c r="F53" s="207"/>
      <c r="G53" s="207"/>
      <c r="H53" s="207"/>
    </row>
    <row r="54" spans="1:12" ht="12.6" customHeight="1">
      <c r="A54" s="199">
        <v>38</v>
      </c>
      <c r="B54" s="200">
        <f>IF(A54&gt;C9,0,SUM(C310:C321)*($C$6/$C$7))</f>
        <v>0</v>
      </c>
      <c r="C54" s="201">
        <f>IF(A54&gt;C9,0,(E519+K519)*$C$8)</f>
        <v>0</v>
      </c>
      <c r="D54" s="3625">
        <f t="shared" si="0"/>
        <v>0</v>
      </c>
      <c r="E54" s="3625"/>
      <c r="F54" s="207"/>
      <c r="G54" s="207"/>
      <c r="H54" s="207"/>
    </row>
    <row r="55" spans="1:12" ht="12.6" customHeight="1">
      <c r="A55" s="199">
        <v>39</v>
      </c>
      <c r="B55" s="200">
        <f>IF(A55&gt;C9,0,SUM(C311:C322)*($C$6/$C$7))</f>
        <v>0</v>
      </c>
      <c r="C55" s="201">
        <f>IF(A55&gt;C9,0,(E531+K531)*$C$8)</f>
        <v>0</v>
      </c>
      <c r="D55" s="3625">
        <f t="shared" si="0"/>
        <v>0</v>
      </c>
      <c r="E55" s="3625"/>
      <c r="F55" s="207"/>
      <c r="G55" s="207"/>
      <c r="H55" s="207"/>
    </row>
    <row r="56" spans="1:12" ht="12.6" customHeight="1">
      <c r="A56" s="202">
        <v>40</v>
      </c>
      <c r="B56" s="203">
        <f>IF(A56&gt;C9,0,SUM(C312:C323)*($C$6/$C$7))</f>
        <v>0</v>
      </c>
      <c r="C56" s="222">
        <f>IF(A56&gt;C9,0,(E543+K543)*$C$8)</f>
        <v>0</v>
      </c>
      <c r="D56" s="3626">
        <f t="shared" si="0"/>
        <v>0</v>
      </c>
      <c r="E56" s="3626"/>
      <c r="F56" s="207"/>
      <c r="G56" s="207"/>
      <c r="H56" s="207"/>
    </row>
    <row r="57" spans="1:12" ht="3" customHeight="1">
      <c r="A57" s="207"/>
      <c r="B57" s="207"/>
      <c r="C57" s="207"/>
      <c r="D57" s="207"/>
      <c r="E57" s="207"/>
      <c r="F57" s="207"/>
      <c r="G57" s="207"/>
      <c r="H57" s="207"/>
    </row>
    <row r="58" spans="1:12" ht="13.35" customHeight="1">
      <c r="A58" s="3624" t="e">
        <f>CONCATENATE(#REF!," ",#REF!,", ",#REF!,", ",#REF!," County")</f>
        <v>#REF!</v>
      </c>
      <c r="B58" s="3624"/>
      <c r="C58" s="3624"/>
      <c r="D58" s="3624"/>
      <c r="E58" s="3624"/>
      <c r="F58" s="3624"/>
      <c r="G58" s="3624" t="e">
        <f>CONCATENATE(#REF!," ",#REF!,", ",#REF!,", ",#REF!," County")</f>
        <v>#REF!</v>
      </c>
      <c r="H58" s="3624"/>
      <c r="I58" s="3624"/>
      <c r="J58" s="3624"/>
      <c r="K58" s="3624"/>
      <c r="L58" s="3624"/>
    </row>
    <row r="59" spans="1:12" ht="15">
      <c r="A59" s="3621" t="s">
        <v>2276</v>
      </c>
      <c r="B59" s="3621"/>
      <c r="C59" s="3621"/>
      <c r="D59" s="3621"/>
      <c r="E59" s="3621"/>
      <c r="F59" s="3621"/>
      <c r="G59" s="3621" t="s">
        <v>2276</v>
      </c>
      <c r="H59" s="3621"/>
      <c r="I59" s="3621"/>
      <c r="J59" s="3621"/>
      <c r="K59" s="3621"/>
      <c r="L59" s="3621"/>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9" t="e">
        <f>CONCATENATE("PART III C  - HUD INSURED LOAN","  -  ",#REF!," ",#REF!,", ",#REF!,", ",#REF!," County")</f>
        <v>#REF!</v>
      </c>
      <c r="B1" s="3630"/>
      <c r="C1" s="3630"/>
      <c r="D1" s="3630"/>
      <c r="E1" s="3630"/>
      <c r="F1" s="3631"/>
      <c r="G1" s="174"/>
      <c r="H1" s="174"/>
      <c r="I1" s="174"/>
      <c r="J1" s="174"/>
      <c r="K1" s="174"/>
      <c r="L1" s="174"/>
      <c r="M1" s="174"/>
      <c r="N1" s="174"/>
      <c r="O1" s="174"/>
      <c r="P1" s="174"/>
      <c r="Q1" s="174"/>
    </row>
    <row r="2" spans="1:17">
      <c r="A2" s="13"/>
      <c r="B2" s="195"/>
      <c r="C2" s="195"/>
      <c r="D2" s="195"/>
    </row>
    <row r="3" spans="1:17" ht="15.6" customHeight="1">
      <c r="A3" s="3622" t="s">
        <v>210</v>
      </c>
      <c r="B3" s="3622"/>
      <c r="C3" s="3622"/>
      <c r="D3" s="3622"/>
      <c r="E3" s="3622"/>
      <c r="F3" s="3622"/>
      <c r="G3" s="244"/>
      <c r="H3" s="244"/>
    </row>
    <row r="4" spans="1:17">
      <c r="A4" s="13"/>
      <c r="B4" s="195"/>
      <c r="C4" s="195"/>
      <c r="D4" s="195"/>
    </row>
    <row r="5" spans="1:17" ht="13.35" customHeight="1">
      <c r="A5" s="27" t="s">
        <v>2084</v>
      </c>
      <c r="D5" s="238"/>
      <c r="E5" s="3633" t="s">
        <v>896</v>
      </c>
      <c r="F5" s="3634"/>
      <c r="G5" s="161"/>
    </row>
    <row r="6" spans="1:17">
      <c r="E6" s="3634"/>
      <c r="F6" s="3634"/>
      <c r="G6" s="161"/>
    </row>
    <row r="7" spans="1:17">
      <c r="A7" s="27" t="s">
        <v>2268</v>
      </c>
      <c r="C7" s="27" t="s">
        <v>2269</v>
      </c>
      <c r="D7" s="239"/>
      <c r="E7" s="3634"/>
      <c r="F7" s="3634"/>
      <c r="G7" s="161"/>
    </row>
    <row r="8" spans="1:17">
      <c r="C8" s="27" t="s">
        <v>2270</v>
      </c>
      <c r="D8" s="239"/>
      <c r="E8" s="3634"/>
      <c r="F8" s="3634"/>
      <c r="G8" s="161"/>
    </row>
    <row r="9" spans="1:17">
      <c r="C9" s="27" t="s">
        <v>2271</v>
      </c>
      <c r="D9" s="239"/>
      <c r="E9" s="3634"/>
      <c r="F9" s="3634"/>
      <c r="G9" s="161"/>
    </row>
    <row r="10" spans="1:17">
      <c r="C10" s="27" t="s">
        <v>2284</v>
      </c>
      <c r="D10" s="245">
        <f>D7+D8+D9</f>
        <v>0</v>
      </c>
      <c r="E10" s="3634"/>
      <c r="F10" s="3634"/>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3" t="s">
        <v>1597</v>
      </c>
      <c r="B24" s="3623"/>
      <c r="C24" s="3623"/>
      <c r="D24" s="3623"/>
      <c r="E24" s="3623"/>
      <c r="F24" s="3623"/>
      <c r="J24" s="248"/>
    </row>
    <row r="25" spans="1:10">
      <c r="C25" s="205"/>
      <c r="J25" s="248"/>
    </row>
    <row r="26" spans="1:10">
      <c r="A26" s="105"/>
      <c r="B26" s="81"/>
      <c r="C26" s="3635" t="s">
        <v>2083</v>
      </c>
      <c r="D26" s="243"/>
      <c r="E26" s="81"/>
      <c r="F26" s="3635" t="s">
        <v>2083</v>
      </c>
      <c r="J26" s="248"/>
    </row>
    <row r="27" spans="1:10">
      <c r="A27" s="249" t="s">
        <v>2285</v>
      </c>
      <c r="B27" s="71" t="s">
        <v>963</v>
      </c>
      <c r="C27" s="3636"/>
      <c r="D27" s="250" t="s">
        <v>2285</v>
      </c>
      <c r="E27" s="71" t="s">
        <v>963</v>
      </c>
      <c r="F27" s="3636"/>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4" t="e">
        <f>CONCATENATE(#REF!," ",#REF!,", ",#REF!,", ",#REF!," County")</f>
        <v>#REF!</v>
      </c>
      <c r="B50" s="3624"/>
      <c r="C50" s="3624"/>
      <c r="D50" s="3624"/>
      <c r="E50" s="3624"/>
      <c r="F50" s="3624"/>
      <c r="G50" s="228"/>
      <c r="H50" s="228"/>
    </row>
    <row r="51" spans="1:10" ht="15">
      <c r="A51" s="3621" t="s">
        <v>2276</v>
      </c>
      <c r="B51" s="3621"/>
      <c r="C51" s="3621"/>
      <c r="D51" s="3621"/>
      <c r="E51" s="3621"/>
      <c r="F51" s="3621"/>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6" zoomScale="130" zoomScaleNormal="13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681" t="str">
        <f>CONCATENATE("PART THREE (A):  USES OF FUNDS","  -  ",'Part I-Project Identification'!$O$7," ",'Part I-Project Identification'!$F$29,", ",'Part I-Project Identification'!F30,", ",'Part I-Project Identification'!J30," County")</f>
        <v>PART THREE (A):  USES OF FUNDS  -  2022-0 Gibson Park , College Park, Fulton County</v>
      </c>
      <c r="B2" s="3682"/>
      <c r="C2" s="3682"/>
      <c r="D2" s="3682"/>
      <c r="E2" s="3682"/>
      <c r="F2" s="3682"/>
      <c r="G2" s="3682"/>
      <c r="H2" s="3682"/>
      <c r="I2" s="3682"/>
      <c r="J2" s="3682"/>
      <c r="K2" s="3682"/>
      <c r="L2" s="3682"/>
      <c r="M2" s="3682"/>
      <c r="N2" s="3682"/>
      <c r="O2" s="3682"/>
      <c r="P2" s="3682"/>
      <c r="Q2" s="3682"/>
      <c r="R2" s="3682"/>
      <c r="S2" s="3682"/>
      <c r="T2" s="3682"/>
      <c r="W2" s="3683" t="str">
        <f>A2</f>
        <v>PART THREE (A):  USES OF FUNDS  -  2022-0 Gibson Park , College Park, Fulton County</v>
      </c>
      <c r="X2" s="3683"/>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7" t="str">
        <f>'Part I-Project Identification'!$A$6</f>
        <v>May 12 2022 Core Application</v>
      </c>
      <c r="E6" s="3777"/>
      <c r="F6" s="3777"/>
      <c r="G6" s="3777"/>
      <c r="H6" s="3777"/>
      <c r="I6" s="496"/>
      <c r="J6" s="3666" t="s">
        <v>259</v>
      </c>
      <c r="K6" s="3667"/>
      <c r="L6" s="370"/>
      <c r="M6" s="3672" t="s">
        <v>460</v>
      </c>
      <c r="N6" s="3673"/>
      <c r="P6" s="3666" t="s">
        <v>260</v>
      </c>
      <c r="Q6" s="3667"/>
      <c r="S6" s="3666" t="s">
        <v>261</v>
      </c>
      <c r="T6" s="3667"/>
      <c r="V6" s="450" t="str">
        <f>B6</f>
        <v>DEVELOPMENT BUDGET</v>
      </c>
      <c r="AZ6" s="2661"/>
      <c r="BA6" s="2246">
        <v>6</v>
      </c>
    </row>
    <row r="7" spans="1:53" s="315" customFormat="1" ht="19.5" customHeight="1" thickBot="1">
      <c r="D7" s="1553"/>
      <c r="E7" s="1553"/>
      <c r="F7" s="1553"/>
      <c r="G7" s="3652" t="s">
        <v>95</v>
      </c>
      <c r="H7" s="3653"/>
      <c r="J7" s="3668"/>
      <c r="K7" s="3669"/>
      <c r="L7" s="370"/>
      <c r="M7" s="3674"/>
      <c r="N7" s="3675"/>
      <c r="P7" s="3668"/>
      <c r="Q7" s="3669"/>
      <c r="S7" s="3668"/>
      <c r="T7" s="3669"/>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4">
        <v>15000</v>
      </c>
      <c r="H9" s="3535"/>
      <c r="J9" s="3534">
        <v>15000</v>
      </c>
      <c r="K9" s="3535"/>
      <c r="L9" s="1050"/>
      <c r="M9" s="3534"/>
      <c r="N9" s="3535"/>
      <c r="P9" s="3534"/>
      <c r="Q9" s="3535"/>
      <c r="S9" s="3534"/>
      <c r="T9" s="3535"/>
      <c r="V9" s="1082"/>
      <c r="W9" s="3650"/>
      <c r="X9" s="3651"/>
      <c r="AZ9" s="2661"/>
      <c r="BA9" s="2246">
        <v>9</v>
      </c>
    </row>
    <row r="10" spans="1:53" s="315" customFormat="1" ht="11.25" customHeight="1">
      <c r="B10" s="315" t="s">
        <v>431</v>
      </c>
      <c r="G10" s="3545">
        <v>7500</v>
      </c>
      <c r="H10" s="3546"/>
      <c r="J10" s="3545">
        <v>7500</v>
      </c>
      <c r="K10" s="3546"/>
      <c r="L10" s="1050"/>
      <c r="M10" s="3545"/>
      <c r="N10" s="3546"/>
      <c r="P10" s="3545"/>
      <c r="Q10" s="3546"/>
      <c r="S10" s="3545"/>
      <c r="T10" s="3546"/>
      <c r="V10" s="1082"/>
      <c r="W10" s="3650"/>
      <c r="X10" s="3651"/>
      <c r="AZ10" s="2661"/>
      <c r="BA10" s="2245">
        <v>10</v>
      </c>
    </row>
    <row r="11" spans="1:53" s="315" customFormat="1" ht="11.25" customHeight="1">
      <c r="B11" s="315" t="s">
        <v>458</v>
      </c>
      <c r="G11" s="3545">
        <v>30000</v>
      </c>
      <c r="H11" s="3546"/>
      <c r="J11" s="3545">
        <v>30000</v>
      </c>
      <c r="K11" s="3546"/>
      <c r="L11" s="1050"/>
      <c r="M11" s="3545"/>
      <c r="N11" s="3546"/>
      <c r="P11" s="3545"/>
      <c r="Q11" s="3546"/>
      <c r="S11" s="3545"/>
      <c r="T11" s="3546"/>
      <c r="V11" s="1082"/>
      <c r="W11" s="3650"/>
      <c r="X11" s="3651"/>
      <c r="AZ11" s="2661"/>
      <c r="BA11" s="2246">
        <v>11</v>
      </c>
    </row>
    <row r="12" spans="1:53" s="315" customFormat="1" ht="11.25" customHeight="1">
      <c r="B12" s="315" t="s">
        <v>459</v>
      </c>
      <c r="G12" s="3545">
        <v>5000</v>
      </c>
      <c r="H12" s="3546"/>
      <c r="J12" s="3545">
        <v>5000</v>
      </c>
      <c r="K12" s="3546"/>
      <c r="L12" s="1050"/>
      <c r="M12" s="3545"/>
      <c r="N12" s="3546"/>
      <c r="P12" s="3545"/>
      <c r="Q12" s="3546"/>
      <c r="S12" s="3545"/>
      <c r="T12" s="3546"/>
      <c r="V12" s="1082"/>
      <c r="W12" s="3650"/>
      <c r="X12" s="3651"/>
      <c r="AZ12" s="2661"/>
      <c r="BA12" s="2246">
        <v>12</v>
      </c>
    </row>
    <row r="13" spans="1:53" s="315" customFormat="1" ht="11.25" customHeight="1">
      <c r="B13" s="315" t="s">
        <v>2302</v>
      </c>
      <c r="G13" s="3545">
        <v>20000</v>
      </c>
      <c r="H13" s="3546"/>
      <c r="J13" s="3545">
        <v>20000</v>
      </c>
      <c r="K13" s="3546"/>
      <c r="L13" s="1050"/>
      <c r="M13" s="3545"/>
      <c r="N13" s="3546"/>
      <c r="P13" s="3545"/>
      <c r="Q13" s="3546"/>
      <c r="S13" s="3545"/>
      <c r="T13" s="3546"/>
      <c r="V13" s="1082"/>
      <c r="W13" s="3650"/>
      <c r="X13" s="3651"/>
      <c r="AZ13" s="2661"/>
      <c r="BA13" s="2246">
        <v>13</v>
      </c>
    </row>
    <row r="14" spans="1:53" s="315" customFormat="1" ht="11.25" customHeight="1">
      <c r="B14" s="315" t="s">
        <v>183</v>
      </c>
      <c r="G14" s="3545">
        <v>18000</v>
      </c>
      <c r="H14" s="3546"/>
      <c r="J14" s="3545">
        <v>18000</v>
      </c>
      <c r="K14" s="3546"/>
      <c r="L14" s="1050"/>
      <c r="M14" s="3545"/>
      <c r="N14" s="3546"/>
      <c r="P14" s="3545"/>
      <c r="Q14" s="3546"/>
      <c r="S14" s="3545"/>
      <c r="T14" s="3546"/>
      <c r="V14" s="1082"/>
      <c r="W14" s="3650"/>
      <c r="X14" s="3651"/>
      <c r="AZ14" s="2661"/>
      <c r="BA14" s="2246">
        <v>14</v>
      </c>
    </row>
    <row r="15" spans="1:53" s="315" customFormat="1" ht="11.25" customHeight="1">
      <c r="A15" s="396" t="str">
        <f>IF(AND(G15&gt;0,OR(C15="",C15="&lt;Enter detailed description here; use Comments section if needed&gt;")),"X","")</f>
        <v/>
      </c>
      <c r="B15" s="185" t="s">
        <v>6279</v>
      </c>
      <c r="C15" s="3686" t="s">
        <v>7022</v>
      </c>
      <c r="D15" s="3686"/>
      <c r="E15" s="3686"/>
      <c r="F15" s="3687"/>
      <c r="G15" s="3545">
        <v>5500</v>
      </c>
      <c r="H15" s="3546"/>
      <c r="J15" s="3545">
        <v>5500</v>
      </c>
      <c r="K15" s="3546"/>
      <c r="L15" s="1050"/>
      <c r="M15" s="3545"/>
      <c r="N15" s="3546"/>
      <c r="P15" s="3545"/>
      <c r="Q15" s="3546"/>
      <c r="S15" s="3545"/>
      <c r="T15" s="3546"/>
      <c r="U15" s="395" t="str">
        <f>IF(AND(G15&gt;0,OR(C15="",C15="&lt;Enter detailed description here; use Comments section if needed&gt;")),"NO DESCRIPTION PROVIDED - please enter detailed description in Other box at left; use Comments section below if needed.","")</f>
        <v/>
      </c>
      <c r="V15" s="1083"/>
      <c r="W15" s="3650"/>
      <c r="X15" s="3651"/>
      <c r="AZ15" s="2661" t="s">
        <v>6373</v>
      </c>
      <c r="BA15" s="2246">
        <v>15</v>
      </c>
    </row>
    <row r="16" spans="1:53" s="315" customFormat="1" ht="11.25" customHeight="1">
      <c r="A16" s="396" t="str">
        <f>IF(AND(G16&gt;0,OR(C16="",C16="&lt;Enter detailed description here; use Comments section if needed&gt;")),"X","")</f>
        <v/>
      </c>
      <c r="B16" s="185" t="s">
        <v>6280</v>
      </c>
      <c r="C16" s="3686" t="s">
        <v>7023</v>
      </c>
      <c r="D16" s="3686"/>
      <c r="E16" s="3686"/>
      <c r="F16" s="3687"/>
      <c r="G16" s="3545">
        <v>15600</v>
      </c>
      <c r="H16" s="3546"/>
      <c r="J16" s="3545">
        <v>15600</v>
      </c>
      <c r="K16" s="3546"/>
      <c r="L16" s="1050"/>
      <c r="M16" s="3545"/>
      <c r="N16" s="3546"/>
      <c r="P16" s="3545"/>
      <c r="Q16" s="3546"/>
      <c r="S16" s="3545"/>
      <c r="T16" s="3546"/>
      <c r="U16" s="395" t="str">
        <f>IF(AND(G16&gt;0,OR(C16="",C16="&lt;Enter detailed description here; use Comments section if needed&gt;")),"NO DESCRIPTION PROVIDED - please enter detailed description in Other box at left; use Comments section below if needed.","")</f>
        <v/>
      </c>
      <c r="V16" s="1083"/>
      <c r="W16" s="3650"/>
      <c r="X16" s="3651"/>
      <c r="AZ16" s="2661" t="s">
        <v>6374</v>
      </c>
      <c r="BA16" s="2246">
        <v>16</v>
      </c>
    </row>
    <row r="17" spans="1:53" s="315" customFormat="1" ht="11.25" customHeight="1" thickBot="1">
      <c r="A17" s="396" t="str">
        <f>IF(AND(G17&gt;0,OR(C17="",C17="&lt;Enter detailed description here; use Comments section if needed&gt;")),"X","")</f>
        <v/>
      </c>
      <c r="B17" s="185" t="s">
        <v>6281</v>
      </c>
      <c r="C17" s="3686" t="s">
        <v>6728</v>
      </c>
      <c r="D17" s="3686"/>
      <c r="E17" s="3686"/>
      <c r="F17" s="3687"/>
      <c r="G17" s="3648"/>
      <c r="H17" s="3649"/>
      <c r="J17" s="3648"/>
      <c r="K17" s="3649"/>
      <c r="L17" s="1050"/>
      <c r="M17" s="3648"/>
      <c r="N17" s="3649"/>
      <c r="P17" s="3648"/>
      <c r="Q17" s="3649"/>
      <c r="S17" s="3648"/>
      <c r="T17" s="3649"/>
      <c r="U17" s="395" t="str">
        <f>IF(AND(G17&gt;0,OR(C17="",C17="&lt;Enter detailed description here; use Comments section if needed&gt;")),"NO DESCRIPTION PROVIDED - please enter detailed description in Other box at left; use Comments section below if needed.","")</f>
        <v/>
      </c>
      <c r="V17" s="1083"/>
      <c r="W17" s="3657"/>
      <c r="X17" s="3658"/>
      <c r="AZ17" s="2661" t="s">
        <v>6375</v>
      </c>
      <c r="BA17" s="2246">
        <v>17</v>
      </c>
    </row>
    <row r="18" spans="1:53" s="315" customFormat="1" ht="12.6" customHeight="1" thickTop="1">
      <c r="F18" s="371" t="s">
        <v>184</v>
      </c>
      <c r="G18" s="3646">
        <f>SUM(G9:G17)</f>
        <v>116600</v>
      </c>
      <c r="H18" s="3647"/>
      <c r="J18" s="3646">
        <f>SUM(J9:J17)</f>
        <v>116600</v>
      </c>
      <c r="K18" s="3647"/>
      <c r="L18" s="1050"/>
      <c r="M18" s="3646">
        <f>SUM(M9:M17)</f>
        <v>0</v>
      </c>
      <c r="N18" s="3647"/>
      <c r="P18" s="3646">
        <f>SUM(P9:P17)</f>
        <v>0</v>
      </c>
      <c r="Q18" s="3647"/>
      <c r="S18" s="3646">
        <f>SUM(S9:S17)</f>
        <v>0</v>
      </c>
      <c r="T18" s="3647"/>
      <c r="V18" s="1084">
        <f>SUM(V9:V17)</f>
        <v>0</v>
      </c>
      <c r="W18" s="3659"/>
      <c r="X18" s="3660"/>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322580.6451612903</v>
      </c>
      <c r="G20" s="3534">
        <v>2200000</v>
      </c>
      <c r="H20" s="3535"/>
      <c r="J20" s="373"/>
      <c r="K20" s="370"/>
      <c r="L20" s="373"/>
      <c r="M20" s="373"/>
      <c r="N20" s="370"/>
      <c r="P20" s="373"/>
      <c r="Q20" s="370"/>
      <c r="S20" s="3534">
        <v>2200000</v>
      </c>
      <c r="T20" s="3535"/>
      <c r="V20" s="1082"/>
      <c r="W20" s="3650"/>
      <c r="X20" s="3651"/>
      <c r="AZ20" s="2661"/>
      <c r="BA20" s="2246">
        <v>20</v>
      </c>
    </row>
    <row r="21" spans="1:53" s="315" customFormat="1" ht="11.25" customHeight="1">
      <c r="B21" s="315" t="s">
        <v>1055</v>
      </c>
      <c r="G21" s="3545"/>
      <c r="H21" s="3546"/>
      <c r="J21" s="373"/>
      <c r="K21" s="370"/>
      <c r="L21" s="373"/>
      <c r="M21" s="373"/>
      <c r="N21" s="370"/>
      <c r="P21" s="373"/>
      <c r="Q21" s="370"/>
      <c r="S21" s="3545"/>
      <c r="T21" s="3546"/>
      <c r="V21" s="1082"/>
      <c r="W21" s="3650"/>
      <c r="X21" s="3651"/>
      <c r="AZ21" s="2661"/>
      <c r="BA21" s="2246">
        <v>21</v>
      </c>
    </row>
    <row r="22" spans="1:53" s="315" customFormat="1" ht="11.25" customHeight="1">
      <c r="B22" s="315" t="s">
        <v>432</v>
      </c>
      <c r="G22" s="3545"/>
      <c r="H22" s="3546"/>
      <c r="J22" s="373"/>
      <c r="K22" s="370"/>
      <c r="L22" s="373"/>
      <c r="M22" s="3534"/>
      <c r="N22" s="3535"/>
      <c r="P22" s="373"/>
      <c r="Q22" s="370"/>
      <c r="S22" s="3545"/>
      <c r="T22" s="3546"/>
      <c r="V22" s="1082"/>
      <c r="W22" s="3650"/>
      <c r="X22" s="3651"/>
      <c r="AZ22" s="2661"/>
      <c r="BA22" s="2246">
        <v>22</v>
      </c>
    </row>
    <row r="23" spans="1:53" s="315" customFormat="1" ht="11.25" customHeight="1" thickBot="1">
      <c r="B23" s="315" t="s">
        <v>405</v>
      </c>
      <c r="G23" s="3648"/>
      <c r="H23" s="3649"/>
      <c r="J23" s="373"/>
      <c r="K23" s="370"/>
      <c r="L23" s="373"/>
      <c r="M23" s="3648"/>
      <c r="N23" s="3649"/>
      <c r="P23" s="373"/>
      <c r="Q23" s="370"/>
      <c r="S23" s="3648"/>
      <c r="T23" s="3649"/>
      <c r="V23" s="1082"/>
      <c r="W23" s="3657"/>
      <c r="X23" s="3658"/>
      <c r="AZ23" s="2661"/>
      <c r="BA23" s="2246">
        <v>23</v>
      </c>
    </row>
    <row r="24" spans="1:53" s="315" customFormat="1" ht="12.6" customHeight="1" thickTop="1">
      <c r="F24" s="371" t="s">
        <v>184</v>
      </c>
      <c r="G24" s="3646">
        <f>SUM(G20:G23)</f>
        <v>2200000</v>
      </c>
      <c r="H24" s="3647"/>
      <c r="J24" s="373"/>
      <c r="K24" s="370"/>
      <c r="L24" s="373"/>
      <c r="M24" s="3646">
        <f>SUM(M22:M23)</f>
        <v>0</v>
      </c>
      <c r="N24" s="3647"/>
      <c r="P24" s="373"/>
      <c r="Q24" s="370"/>
      <c r="S24" s="3646">
        <f>SUM(S20:S23)</f>
        <v>2200000</v>
      </c>
      <c r="T24" s="3647"/>
      <c r="V24" s="1084">
        <f>SUM(V20:V23)</f>
        <v>0</v>
      </c>
      <c r="W24" s="3659"/>
      <c r="X24" s="3660"/>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190615.83577712608</v>
      </c>
      <c r="G26" s="3534">
        <v>1300000</v>
      </c>
      <c r="H26" s="3535"/>
      <c r="J26" s="3534">
        <v>1300000</v>
      </c>
      <c r="K26" s="3535"/>
      <c r="L26" s="1050"/>
      <c r="M26" s="3688"/>
      <c r="N26" s="3689"/>
      <c r="P26" s="3688"/>
      <c r="Q26" s="3689"/>
      <c r="S26" s="3534"/>
      <c r="T26" s="3535"/>
      <c r="V26" s="1082"/>
      <c r="W26" s="3650"/>
      <c r="X26" s="3651"/>
      <c r="AZ26" s="2661"/>
      <c r="BA26" s="2245">
        <v>26</v>
      </c>
    </row>
    <row r="27" spans="1:53" s="315" customFormat="1" ht="11.25" customHeight="1" thickBot="1">
      <c r="B27" s="315" t="s">
        <v>1058</v>
      </c>
      <c r="G27" s="3648"/>
      <c r="H27" s="3649"/>
      <c r="J27" s="3648"/>
      <c r="K27" s="3649"/>
      <c r="L27" s="374"/>
      <c r="M27" s="3690"/>
      <c r="N27" s="3690"/>
      <c r="P27" s="3690"/>
      <c r="Q27" s="3690"/>
      <c r="S27" s="3648"/>
      <c r="T27" s="3649"/>
      <c r="V27" s="1082"/>
      <c r="W27" s="3657"/>
      <c r="X27" s="3658"/>
      <c r="AZ27" s="2661"/>
      <c r="BA27" s="2246">
        <v>27</v>
      </c>
    </row>
    <row r="28" spans="1:53" s="315" customFormat="1" ht="12.6" customHeight="1" thickTop="1">
      <c r="F28" s="371" t="s">
        <v>184</v>
      </c>
      <c r="G28" s="3646">
        <f>SUM(G26:G27)</f>
        <v>1300000</v>
      </c>
      <c r="H28" s="3647"/>
      <c r="J28" s="3646">
        <f>SUM(J26:J27)</f>
        <v>1300000</v>
      </c>
      <c r="K28" s="3647"/>
      <c r="L28" s="373"/>
      <c r="M28" s="3646">
        <f>M26</f>
        <v>0</v>
      </c>
      <c r="N28" s="3647"/>
      <c r="P28" s="3646">
        <f>P26</f>
        <v>0</v>
      </c>
      <c r="Q28" s="3647"/>
      <c r="S28" s="3646">
        <f>SUM(S26:S27)</f>
        <v>0</v>
      </c>
      <c r="T28" s="3647"/>
      <c r="V28" s="1084">
        <f>SUM(V26:V27)</f>
        <v>0</v>
      </c>
      <c r="W28" s="3659"/>
      <c r="X28" s="3660"/>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4">
        <v>8189475</v>
      </c>
      <c r="H30" s="3535"/>
      <c r="J30" s="3534">
        <v>8189475</v>
      </c>
      <c r="K30" s="3535"/>
      <c r="L30" s="1050"/>
      <c r="M30" s="3534"/>
      <c r="N30" s="3535"/>
      <c r="P30" s="3534"/>
      <c r="Q30" s="3535"/>
      <c r="S30" s="3534"/>
      <c r="T30" s="3535"/>
      <c r="V30" s="1082"/>
      <c r="W30" s="3650"/>
      <c r="X30" s="3651"/>
      <c r="AZ30" s="2661"/>
      <c r="BA30" s="2246">
        <v>30</v>
      </c>
    </row>
    <row r="31" spans="1:53" s="315" customFormat="1" ht="11.25" customHeight="1">
      <c r="B31" s="315" t="s">
        <v>1061</v>
      </c>
      <c r="G31" s="3545"/>
      <c r="H31" s="3546"/>
      <c r="J31" s="3545"/>
      <c r="K31" s="3546"/>
      <c r="L31" s="1050"/>
      <c r="M31" s="3545"/>
      <c r="N31" s="3546"/>
      <c r="P31" s="3545"/>
      <c r="Q31" s="3546"/>
      <c r="S31" s="3545"/>
      <c r="T31" s="3546"/>
      <c r="V31" s="1082"/>
      <c r="W31" s="3650"/>
      <c r="X31" s="3651"/>
      <c r="AZ31" s="2661"/>
      <c r="BA31" s="2246">
        <v>31</v>
      </c>
    </row>
    <row r="32" spans="1:53" s="315" customFormat="1" ht="11.25" customHeight="1">
      <c r="B32" s="315" t="s">
        <v>6093</v>
      </c>
      <c r="G32" s="3545">
        <v>300000</v>
      </c>
      <c r="H32" s="3546"/>
      <c r="J32" s="3545">
        <v>300000</v>
      </c>
      <c r="K32" s="3546"/>
      <c r="L32" s="1050"/>
      <c r="M32" s="3545"/>
      <c r="N32" s="3546"/>
      <c r="P32" s="3545"/>
      <c r="Q32" s="3546"/>
      <c r="S32" s="3545"/>
      <c r="T32" s="3546"/>
      <c r="V32" s="1082"/>
      <c r="W32" s="3650"/>
      <c r="X32" s="3651"/>
      <c r="AZ32" s="2661"/>
      <c r="BA32" s="2246">
        <v>32</v>
      </c>
    </row>
    <row r="33" spans="1:53" s="315" customFormat="1" ht="11.25" customHeight="1">
      <c r="B33" s="315" t="s">
        <v>6091</v>
      </c>
      <c r="G33" s="3545"/>
      <c r="H33" s="3546"/>
      <c r="J33" s="3545"/>
      <c r="K33" s="3546"/>
      <c r="L33" s="1927"/>
      <c r="M33" s="3545"/>
      <c r="N33" s="3546"/>
      <c r="P33" s="3545"/>
      <c r="Q33" s="3546"/>
      <c r="S33" s="3545"/>
      <c r="T33" s="3546"/>
      <c r="V33" s="1082"/>
      <c r="W33" s="3650"/>
      <c r="X33" s="3651"/>
      <c r="AZ33" s="2661"/>
      <c r="BA33" s="2246">
        <v>33</v>
      </c>
    </row>
    <row r="34" spans="1:53" ht="11.25" customHeight="1">
      <c r="B34" s="315" t="s">
        <v>2496</v>
      </c>
      <c r="G34" s="3545"/>
      <c r="H34" s="3546"/>
      <c r="I34" s="315"/>
      <c r="J34" s="3545"/>
      <c r="K34" s="3546"/>
      <c r="L34" s="1927"/>
      <c r="M34" s="3545"/>
      <c r="N34" s="3546"/>
      <c r="O34" s="315"/>
      <c r="P34" s="3545"/>
      <c r="Q34" s="3546"/>
      <c r="R34" s="315"/>
      <c r="S34" s="3545"/>
      <c r="T34" s="3546"/>
      <c r="V34" s="1082"/>
      <c r="W34" s="3657"/>
      <c r="X34" s="3658"/>
      <c r="BA34" s="2246">
        <v>34</v>
      </c>
    </row>
    <row r="35" spans="1:53" ht="11.25" customHeight="1" thickBot="1">
      <c r="B35" s="315" t="s">
        <v>6092</v>
      </c>
      <c r="G35" s="3691"/>
      <c r="H35" s="3692"/>
      <c r="I35" s="315"/>
      <c r="J35" s="3691"/>
      <c r="K35" s="3692"/>
      <c r="L35" s="1050"/>
      <c r="M35" s="3691"/>
      <c r="N35" s="3692"/>
      <c r="O35" s="315"/>
      <c r="P35" s="3691"/>
      <c r="Q35" s="3692"/>
      <c r="R35" s="315"/>
      <c r="S35" s="3691"/>
      <c r="T35" s="3692"/>
      <c r="V35" s="1082"/>
      <c r="W35" s="3657"/>
      <c r="X35" s="3658"/>
      <c r="BA35" s="2245">
        <v>35</v>
      </c>
    </row>
    <row r="36" spans="1:53" s="315" customFormat="1" ht="12.6" customHeight="1" thickTop="1">
      <c r="C36" s="3694"/>
      <c r="D36" s="3694"/>
      <c r="E36" s="1051"/>
      <c r="F36" s="371" t="s">
        <v>184</v>
      </c>
      <c r="G36" s="3646">
        <f>SUM(G30:G35)</f>
        <v>8489475</v>
      </c>
      <c r="H36" s="3647"/>
      <c r="J36" s="3646">
        <f>SUM(J30:J35)</f>
        <v>8489475</v>
      </c>
      <c r="K36" s="3647"/>
      <c r="L36" s="1050"/>
      <c r="M36" s="3646">
        <f>SUM(M30:M35)</f>
        <v>0</v>
      </c>
      <c r="N36" s="3647"/>
      <c r="P36" s="3646">
        <f>SUM(P30:P35)</f>
        <v>0</v>
      </c>
      <c r="Q36" s="3647"/>
      <c r="S36" s="3646">
        <f>SUM(S30:S35)</f>
        <v>0</v>
      </c>
      <c r="T36" s="3647"/>
      <c r="V36" s="1084">
        <f>SUM(V30:V35)</f>
        <v>0</v>
      </c>
      <c r="W36" s="3659"/>
      <c r="X36" s="3660"/>
      <c r="AZ36" s="2661" t="s">
        <v>6379</v>
      </c>
      <c r="BA36" s="2246">
        <v>36</v>
      </c>
    </row>
    <row r="37" spans="1:53" s="315" customFormat="1" ht="12" customHeight="1">
      <c r="B37" s="317" t="s">
        <v>2164</v>
      </c>
      <c r="D37" s="3693" t="s">
        <v>3227</v>
      </c>
      <c r="E37" s="3693"/>
      <c r="F37" s="964">
        <f>SUM(F38:F40)</f>
        <v>0.13999984677421412</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587368</v>
      </c>
      <c r="F38" s="2633">
        <f>IF(($G$28+$G$36)=0,0,G38/($G$28+$G$36))</f>
        <v>5.9999948924738047E-2</v>
      </c>
      <c r="G38" s="3534">
        <v>587368</v>
      </c>
      <c r="H38" s="3535"/>
      <c r="I38" s="332"/>
      <c r="J38" s="3534">
        <v>587368</v>
      </c>
      <c r="K38" s="3535"/>
      <c r="L38" s="1050"/>
      <c r="M38" s="3534"/>
      <c r="N38" s="3535"/>
      <c r="P38" s="3534"/>
      <c r="Q38" s="3535"/>
      <c r="S38" s="3534"/>
      <c r="T38" s="3535"/>
      <c r="V38" s="1082"/>
      <c r="W38" s="3650"/>
      <c r="X38" s="3651"/>
      <c r="AZ38" s="2661"/>
      <c r="BA38" s="2245">
        <v>38</v>
      </c>
    </row>
    <row r="39" spans="1:53" s="315" customFormat="1" ht="11.25" customHeight="1">
      <c r="B39" s="315" t="s">
        <v>2476</v>
      </c>
      <c r="D39" s="2634">
        <f>'DCA Underwriting Assumptions'!$R$39</f>
        <v>0.02</v>
      </c>
      <c r="E39" s="2632">
        <f>ROUNDDOWN(D39*(G28+G36),0)</f>
        <v>195789</v>
      </c>
      <c r="F39" s="2633">
        <f>IF(($G$28+$G$36)=0,0,G39/($G$28+$G$36))</f>
        <v>1.9999948924738047E-2</v>
      </c>
      <c r="G39" s="3545">
        <v>195789</v>
      </c>
      <c r="H39" s="3546"/>
      <c r="I39" s="332"/>
      <c r="J39" s="3545">
        <v>195789</v>
      </c>
      <c r="K39" s="3546"/>
      <c r="L39" s="1050"/>
      <c r="M39" s="3545"/>
      <c r="N39" s="3546"/>
      <c r="P39" s="3545"/>
      <c r="Q39" s="3546"/>
      <c r="S39" s="3545"/>
      <c r="T39" s="3546"/>
      <c r="V39" s="1082"/>
      <c r="W39" s="3650"/>
      <c r="X39" s="3651"/>
      <c r="AZ39" s="2661"/>
      <c r="BA39" s="2246">
        <v>39</v>
      </c>
    </row>
    <row r="40" spans="1:53" s="315" customFormat="1" ht="11.25" customHeight="1" thickBot="1">
      <c r="B40" s="315" t="s">
        <v>2477</v>
      </c>
      <c r="D40" s="2635">
        <f>'DCA Underwriting Assumptions'!$R$40</f>
        <v>0.06</v>
      </c>
      <c r="E40" s="2636">
        <f>ROUNDDOWN(D40*(G28+G36),0)</f>
        <v>587368</v>
      </c>
      <c r="F40" s="2637">
        <f>IF(($G$28+$G$36)=0,0,G40/($G$28+$G$36))</f>
        <v>5.9999948924738047E-2</v>
      </c>
      <c r="G40" s="3648">
        <v>587368</v>
      </c>
      <c r="H40" s="3649"/>
      <c r="I40" s="332"/>
      <c r="J40" s="3648">
        <v>587368</v>
      </c>
      <c r="K40" s="3649"/>
      <c r="L40" s="1050"/>
      <c r="M40" s="3648"/>
      <c r="N40" s="3649"/>
      <c r="P40" s="3648"/>
      <c r="Q40" s="3649"/>
      <c r="S40" s="3648"/>
      <c r="T40" s="3649"/>
      <c r="V40" s="1082"/>
      <c r="W40" s="3657"/>
      <c r="X40" s="3658"/>
      <c r="AZ40" s="2661"/>
      <c r="BA40" s="2246">
        <v>40</v>
      </c>
    </row>
    <row r="41" spans="1:53" s="315" customFormat="1" ht="12.6" customHeight="1" thickTop="1">
      <c r="B41" s="185" t="s">
        <v>3228</v>
      </c>
      <c r="D41" s="965">
        <f>SUM(D38:D40)</f>
        <v>0.14000000000000001</v>
      </c>
      <c r="E41" s="966">
        <f>SUM(E38:E40)</f>
        <v>1370525</v>
      </c>
      <c r="F41" s="2630" t="s">
        <v>184</v>
      </c>
      <c r="G41" s="3646">
        <f>SUM(G38:G40)</f>
        <v>1370525</v>
      </c>
      <c r="H41" s="3647"/>
      <c r="J41" s="3646">
        <f>SUM(J38:J40)</f>
        <v>1370525</v>
      </c>
      <c r="K41" s="3647"/>
      <c r="L41" s="373"/>
      <c r="M41" s="3646">
        <f>SUM(M38:M40)</f>
        <v>0</v>
      </c>
      <c r="N41" s="3647"/>
      <c r="P41" s="3646">
        <f>SUM(P38:P40)</f>
        <v>0</v>
      </c>
      <c r="Q41" s="3647"/>
      <c r="S41" s="3646">
        <f>SUM(S38:S40)</f>
        <v>0</v>
      </c>
      <c r="T41" s="3647"/>
      <c r="V41" s="1084">
        <f>SUM(V38:V40)</f>
        <v>0</v>
      </c>
      <c r="W41" s="3659"/>
      <c r="X41" s="3660"/>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6496</v>
      </c>
      <c r="D43" s="2252"/>
      <c r="E43" s="2170"/>
      <c r="F43" s="2170"/>
      <c r="G43" s="3713">
        <f>G28+G36+G41</f>
        <v>11160000</v>
      </c>
      <c r="H43" s="3714"/>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686" t="s">
        <v>6728</v>
      </c>
      <c r="D46" s="3711"/>
      <c r="E46" s="3711"/>
      <c r="F46" s="3712"/>
      <c r="G46" s="3697"/>
      <c r="H46" s="3698"/>
      <c r="I46" s="315"/>
      <c r="J46" s="3697"/>
      <c r="K46" s="3698"/>
      <c r="L46" s="1050"/>
      <c r="M46" s="3697"/>
      <c r="N46" s="3698"/>
      <c r="O46" s="315"/>
      <c r="P46" s="3697"/>
      <c r="Q46" s="3698"/>
      <c r="R46" s="315"/>
      <c r="S46" s="3697"/>
      <c r="T46" s="3698"/>
      <c r="V46" s="1082"/>
      <c r="W46" s="3699"/>
      <c r="X46" s="3700"/>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1"/>
      <c r="X47" s="3702"/>
      <c r="AZ47" s="2661" t="s">
        <v>6382</v>
      </c>
      <c r="BA47" s="2245">
        <v>47</v>
      </c>
    </row>
    <row r="48" spans="1:53" s="315" customFormat="1" ht="12.6" customHeight="1">
      <c r="B48" s="2201" t="s">
        <v>2481</v>
      </c>
      <c r="C48" s="2202"/>
      <c r="E48" s="3705" t="s">
        <v>2480</v>
      </c>
      <c r="F48" s="2203">
        <f>C49/'Part V-Revenues &amp; Expenses'!$P$65</f>
        <v>155000</v>
      </c>
      <c r="G48" s="2204" t="s">
        <v>2494</v>
      </c>
      <c r="H48" s="2205"/>
      <c r="I48" s="2205"/>
      <c r="J48" s="3707">
        <f>C49/'Part V-Revenues &amp; Expenses'!$P$67</f>
        <v>155000</v>
      </c>
      <c r="K48" s="3707"/>
      <c r="L48" s="2205"/>
      <c r="M48" s="3708" t="s">
        <v>6482</v>
      </c>
      <c r="N48" s="3708"/>
      <c r="O48" s="2205"/>
      <c r="P48" s="3707">
        <f>C49/'Part V-Revenues &amp; Expenses'!$K$175</f>
        <v>137.60789149198521</v>
      </c>
      <c r="Q48" s="3707"/>
      <c r="R48" s="2205"/>
      <c r="S48" s="3709" t="s">
        <v>6484</v>
      </c>
      <c r="T48" s="3710"/>
      <c r="V48" s="1085"/>
      <c r="W48" s="3701"/>
      <c r="X48" s="3702"/>
      <c r="AZ48" s="2661"/>
      <c r="BA48" s="2246">
        <v>48</v>
      </c>
    </row>
    <row r="49" spans="1:53" s="315" customFormat="1" ht="12.6" customHeight="1">
      <c r="B49" s="2254" t="s">
        <v>6495</v>
      </c>
      <c r="C49" s="2253">
        <f>G28+G36+G41+G46</f>
        <v>11160000</v>
      </c>
      <c r="E49" s="3706"/>
      <c r="F49" s="2206">
        <f>C49/'Part V-Revenues &amp; Expenses'!$P$166</f>
        <v>141.98473282442748</v>
      </c>
      <c r="G49" s="2207" t="s">
        <v>2495</v>
      </c>
      <c r="H49" s="2208"/>
      <c r="I49" s="2208"/>
      <c r="J49" s="3695">
        <f>C49/'Part V-Revenues &amp; Expenses'!$P$168</f>
        <v>141.98473282442748</v>
      </c>
      <c r="K49" s="3695"/>
      <c r="L49" s="2208"/>
      <c r="M49" s="3696" t="s">
        <v>6483</v>
      </c>
      <c r="N49" s="3696"/>
      <c r="O49" s="2208"/>
      <c r="P49" s="2208"/>
      <c r="Q49" s="2208"/>
      <c r="R49" s="2208"/>
      <c r="S49" s="2208"/>
      <c r="T49" s="2209"/>
      <c r="V49" s="1085"/>
      <c r="W49" s="3703"/>
      <c r="X49" s="3704"/>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6" t="s">
        <v>259</v>
      </c>
      <c r="K51" s="3667"/>
      <c r="L51" s="370"/>
      <c r="M51" s="3672" t="s">
        <v>460</v>
      </c>
      <c r="N51" s="3673"/>
      <c r="P51" s="3666" t="s">
        <v>260</v>
      </c>
      <c r="Q51" s="3667"/>
      <c r="S51" s="3666" t="s">
        <v>261</v>
      </c>
      <c r="T51" s="3667"/>
      <c r="V51" s="1085"/>
      <c r="W51" s="450" t="str">
        <f>B51</f>
        <v>DEVELOPMENT BUDGET (cont'd)</v>
      </c>
      <c r="AZ51" s="2661"/>
      <c r="BA51" s="2246">
        <v>58</v>
      </c>
    </row>
    <row r="52" spans="1:53" s="315" customFormat="1" ht="18.75" customHeight="1" thickBot="1">
      <c r="G52" s="3652" t="s">
        <v>95</v>
      </c>
      <c r="H52" s="3653"/>
      <c r="J52" s="3668"/>
      <c r="K52" s="3669"/>
      <c r="L52" s="370"/>
      <c r="M52" s="3674"/>
      <c r="N52" s="3675"/>
      <c r="P52" s="3668"/>
      <c r="Q52" s="3669"/>
      <c r="S52" s="3668"/>
      <c r="T52" s="3669"/>
      <c r="V52" s="1085"/>
      <c r="W52" s="3773" t="s">
        <v>2449</v>
      </c>
      <c r="X52" s="3773"/>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558000</v>
      </c>
      <c r="F55" s="2310">
        <f>G55/C49</f>
        <v>0.05</v>
      </c>
      <c r="G55" s="3697">
        <v>558000</v>
      </c>
      <c r="H55" s="3698"/>
      <c r="I55" s="315"/>
      <c r="J55" s="3697">
        <v>558000</v>
      </c>
      <c r="K55" s="3698"/>
      <c r="L55" s="1050"/>
      <c r="M55" s="3697"/>
      <c r="N55" s="3698"/>
      <c r="O55" s="315"/>
      <c r="P55" s="3697"/>
      <c r="Q55" s="3698"/>
      <c r="R55" s="315"/>
      <c r="S55" s="3697"/>
      <c r="T55" s="3698"/>
      <c r="V55" s="1082"/>
      <c r="W55" s="3650"/>
      <c r="X55" s="3651"/>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9"/>
      <c r="X56" s="3700"/>
      <c r="AZ56" s="2661"/>
      <c r="BA56" s="2246">
        <v>53</v>
      </c>
    </row>
    <row r="57" spans="1:53" s="315" customFormat="1" ht="12.6" customHeight="1">
      <c r="B57" s="2210" t="s">
        <v>6305</v>
      </c>
      <c r="C57" s="2202"/>
      <c r="E57" s="3790" t="s">
        <v>6306</v>
      </c>
      <c r="F57" s="2203">
        <f>B58/'Part V-Revenues &amp; Expenses'!$P$65</f>
        <v>162750</v>
      </c>
      <c r="G57" s="2204" t="s">
        <v>2494</v>
      </c>
      <c r="H57" s="2205"/>
      <c r="I57" s="2205"/>
      <c r="J57" s="3707">
        <f>B58/'Part V-Revenues &amp; Expenses'!$P$67</f>
        <v>162750</v>
      </c>
      <c r="K57" s="3707"/>
      <c r="L57" s="2205"/>
      <c r="M57" s="3708" t="s">
        <v>6482</v>
      </c>
      <c r="N57" s="3708"/>
      <c r="O57" s="2205"/>
      <c r="P57" s="3707">
        <f>B58/'Part V-Revenues &amp; Expenses'!$K$175</f>
        <v>144.48828606658446</v>
      </c>
      <c r="Q57" s="3707"/>
      <c r="R57" s="2205"/>
      <c r="S57" s="3709" t="s">
        <v>6484</v>
      </c>
      <c r="T57" s="3710"/>
      <c r="V57" s="1085"/>
      <c r="W57" s="3701"/>
      <c r="X57" s="3702"/>
      <c r="AZ57" s="2661"/>
      <c r="BA57" s="2246">
        <v>54</v>
      </c>
    </row>
    <row r="58" spans="1:53" s="315" customFormat="1" ht="12.6" customHeight="1">
      <c r="B58" s="3788">
        <f>C49+G55</f>
        <v>11718000</v>
      </c>
      <c r="C58" s="3789"/>
      <c r="E58" s="3791"/>
      <c r="F58" s="2206">
        <f>B58/'Part V-Revenues &amp; Expenses'!$P$166</f>
        <v>149.08396946564886</v>
      </c>
      <c r="G58" s="2207" t="s">
        <v>2495</v>
      </c>
      <c r="H58" s="2208"/>
      <c r="I58" s="2208"/>
      <c r="J58" s="3695">
        <f>B58/'Part V-Revenues &amp; Expenses'!$P$168</f>
        <v>149.08396946564886</v>
      </c>
      <c r="K58" s="3695"/>
      <c r="L58" s="2208"/>
      <c r="M58" s="3696" t="s">
        <v>6483</v>
      </c>
      <c r="N58" s="3696"/>
      <c r="O58" s="2208"/>
      <c r="P58" s="2208"/>
      <c r="Q58" s="2208"/>
      <c r="R58" s="2208"/>
      <c r="S58" s="2208"/>
      <c r="T58" s="2209"/>
      <c r="V58" s="1085"/>
      <c r="W58" s="3701"/>
      <c r="X58" s="3702"/>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3"/>
      <c r="X59" s="3704"/>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4">
        <v>60226</v>
      </c>
      <c r="H61" s="3535"/>
      <c r="J61" s="3534">
        <v>60226</v>
      </c>
      <c r="K61" s="3535"/>
      <c r="L61" s="1050"/>
      <c r="M61" s="3534"/>
      <c r="N61" s="3535"/>
      <c r="P61" s="3534"/>
      <c r="Q61" s="3535"/>
      <c r="S61" s="3534"/>
      <c r="T61" s="3535"/>
      <c r="V61" s="1086"/>
      <c r="W61" s="3650"/>
      <c r="X61" s="3651"/>
      <c r="AZ61" s="2661"/>
      <c r="BA61" s="2246">
        <v>61</v>
      </c>
    </row>
    <row r="62" spans="1:53" s="315" customFormat="1" ht="12" customHeight="1">
      <c r="B62" s="315" t="s">
        <v>3230</v>
      </c>
      <c r="G62" s="3545">
        <v>583352</v>
      </c>
      <c r="H62" s="3546"/>
      <c r="J62" s="3545">
        <v>400352</v>
      </c>
      <c r="K62" s="3546"/>
      <c r="L62" s="1050"/>
      <c r="M62" s="3545"/>
      <c r="N62" s="3546"/>
      <c r="P62" s="3545"/>
      <c r="Q62" s="3546"/>
      <c r="S62" s="3545">
        <v>183000</v>
      </c>
      <c r="T62" s="3546"/>
      <c r="V62" s="1086"/>
      <c r="W62" s="3650"/>
      <c r="X62" s="3651"/>
      <c r="AZ62" s="2661"/>
      <c r="BA62" s="2246">
        <v>62</v>
      </c>
    </row>
    <row r="63" spans="1:53" s="315" customFormat="1" ht="12" customHeight="1">
      <c r="B63" s="315" t="s">
        <v>2167</v>
      </c>
      <c r="G63" s="3545">
        <v>45750</v>
      </c>
      <c r="H63" s="3546"/>
      <c r="J63" s="3545">
        <v>45750</v>
      </c>
      <c r="K63" s="3546"/>
      <c r="L63" s="1050"/>
      <c r="M63" s="3545"/>
      <c r="N63" s="3546"/>
      <c r="P63" s="3545"/>
      <c r="Q63" s="3546"/>
      <c r="S63" s="3545"/>
      <c r="T63" s="3546"/>
      <c r="V63" s="1086"/>
      <c r="W63" s="3650"/>
      <c r="X63" s="3651"/>
      <c r="AZ63" s="2661"/>
      <c r="BA63" s="2245">
        <v>63</v>
      </c>
    </row>
    <row r="64" spans="1:53" s="315" customFormat="1" ht="12" customHeight="1">
      <c r="B64" s="315" t="s">
        <v>2168</v>
      </c>
      <c r="G64" s="3545"/>
      <c r="H64" s="3546"/>
      <c r="J64" s="3545"/>
      <c r="K64" s="3546"/>
      <c r="L64" s="1050"/>
      <c r="M64" s="3545"/>
      <c r="N64" s="3546"/>
      <c r="P64" s="3545"/>
      <c r="Q64" s="3546"/>
      <c r="S64" s="3545"/>
      <c r="T64" s="3546"/>
      <c r="V64" s="1086"/>
      <c r="W64" s="3650"/>
      <c r="X64" s="3651"/>
      <c r="AZ64" s="2661"/>
      <c r="BA64" s="2246">
        <v>64</v>
      </c>
    </row>
    <row r="65" spans="1:53" s="315" customFormat="1" ht="12" customHeight="1">
      <c r="B65" s="315" t="s">
        <v>2169</v>
      </c>
      <c r="G65" s="3545">
        <v>75000</v>
      </c>
      <c r="H65" s="3546"/>
      <c r="J65" s="3545">
        <v>75000</v>
      </c>
      <c r="K65" s="3546"/>
      <c r="L65" s="1050"/>
      <c r="M65" s="3545"/>
      <c r="N65" s="3546"/>
      <c r="P65" s="3545"/>
      <c r="Q65" s="3546"/>
      <c r="S65" s="3545"/>
      <c r="T65" s="3546"/>
      <c r="V65" s="1086"/>
      <c r="W65" s="3650"/>
      <c r="X65" s="3651"/>
      <c r="AZ65" s="2661" t="s">
        <v>6383</v>
      </c>
      <c r="BA65" s="2246">
        <v>65</v>
      </c>
    </row>
    <row r="66" spans="1:53" s="315" customFormat="1" ht="12" customHeight="1">
      <c r="B66" s="315" t="s">
        <v>2451</v>
      </c>
      <c r="G66" s="3545">
        <v>37500</v>
      </c>
      <c r="H66" s="3546"/>
      <c r="J66" s="3545">
        <v>37500</v>
      </c>
      <c r="K66" s="3546"/>
      <c r="L66" s="1050"/>
      <c r="M66" s="3545"/>
      <c r="N66" s="3546"/>
      <c r="P66" s="3545"/>
      <c r="Q66" s="3546"/>
      <c r="S66" s="3545"/>
      <c r="T66" s="3546"/>
      <c r="V66" s="1086"/>
      <c r="W66" s="3650"/>
      <c r="X66" s="3651"/>
      <c r="AZ66" s="2661" t="s">
        <v>6384</v>
      </c>
      <c r="BA66" s="2246">
        <v>66</v>
      </c>
    </row>
    <row r="67" spans="1:53" s="315" customFormat="1" ht="12" customHeight="1">
      <c r="B67" s="315" t="s">
        <v>676</v>
      </c>
      <c r="G67" s="3545">
        <v>2000</v>
      </c>
      <c r="H67" s="3546"/>
      <c r="J67" s="3545">
        <v>2000</v>
      </c>
      <c r="K67" s="3546"/>
      <c r="L67" s="1050"/>
      <c r="M67" s="3545"/>
      <c r="N67" s="3546"/>
      <c r="P67" s="3545"/>
      <c r="Q67" s="3546"/>
      <c r="S67" s="3545"/>
      <c r="T67" s="3546"/>
      <c r="V67" s="1086"/>
      <c r="W67" s="3650"/>
      <c r="X67" s="3651"/>
      <c r="AZ67" s="2661" t="s">
        <v>6385</v>
      </c>
      <c r="BA67" s="2246">
        <v>67</v>
      </c>
    </row>
    <row r="68" spans="1:53" s="315" customFormat="1" ht="12" customHeight="1">
      <c r="B68" s="315" t="s">
        <v>2170</v>
      </c>
      <c r="G68" s="3545">
        <v>60000</v>
      </c>
      <c r="H68" s="3546"/>
      <c r="J68" s="3545">
        <v>60000</v>
      </c>
      <c r="K68" s="3546"/>
      <c r="L68" s="1050"/>
      <c r="M68" s="3545"/>
      <c r="N68" s="3546"/>
      <c r="P68" s="3545"/>
      <c r="Q68" s="3546"/>
      <c r="S68" s="3545"/>
      <c r="T68" s="3546"/>
      <c r="V68" s="1086"/>
      <c r="W68" s="3650"/>
      <c r="X68" s="3651"/>
      <c r="AZ68" s="2661"/>
      <c r="BA68" s="2246">
        <v>68</v>
      </c>
    </row>
    <row r="69" spans="1:53" s="315" customFormat="1" ht="12" customHeight="1">
      <c r="B69" s="315" t="s">
        <v>1201</v>
      </c>
      <c r="G69" s="3545">
        <v>40000</v>
      </c>
      <c r="H69" s="3546"/>
      <c r="J69" s="3545">
        <v>40000</v>
      </c>
      <c r="K69" s="3546"/>
      <c r="L69" s="1050"/>
      <c r="M69" s="3545"/>
      <c r="N69" s="3546"/>
      <c r="P69" s="3545"/>
      <c r="Q69" s="3546"/>
      <c r="S69" s="3545"/>
      <c r="T69" s="3546"/>
      <c r="V69" s="1086"/>
      <c r="W69" s="3650"/>
      <c r="X69" s="3651"/>
      <c r="AZ69" s="2661"/>
      <c r="BA69" s="2246">
        <v>69</v>
      </c>
    </row>
    <row r="70" spans="1:53" s="315" customFormat="1" ht="12" customHeight="1">
      <c r="B70" s="377" t="s">
        <v>1086</v>
      </c>
      <c r="D70" s="375"/>
      <c r="E70" s="375"/>
      <c r="F70" s="376"/>
      <c r="G70" s="3545"/>
      <c r="H70" s="3546"/>
      <c r="I70" s="332"/>
      <c r="J70" s="3545"/>
      <c r="K70" s="3546"/>
      <c r="L70" s="1050"/>
      <c r="M70" s="3545"/>
      <c r="N70" s="3546"/>
      <c r="P70" s="3545"/>
      <c r="Q70" s="3546"/>
      <c r="S70" s="3545"/>
      <c r="T70" s="3546"/>
      <c r="V70" s="1086"/>
      <c r="W70" s="3650"/>
      <c r="X70" s="3651"/>
      <c r="AZ70" s="2661"/>
      <c r="BA70" s="2246">
        <v>70</v>
      </c>
    </row>
    <row r="71" spans="1:53" s="315" customFormat="1" ht="12" customHeight="1">
      <c r="A71" s="396" t="str">
        <f>IF(AND(G71&gt;0,OR(C71="",C71="&lt;Enter detailed description here; use Comments section if needed&gt;")),"X","")</f>
        <v/>
      </c>
      <c r="B71" s="185" t="s">
        <v>6284</v>
      </c>
      <c r="C71" s="3717" t="s">
        <v>6728</v>
      </c>
      <c r="D71" s="3717"/>
      <c r="E71" s="3717"/>
      <c r="F71" s="3718"/>
      <c r="G71" s="3545"/>
      <c r="H71" s="3546"/>
      <c r="J71" s="3545"/>
      <c r="K71" s="3546"/>
      <c r="L71" s="1050"/>
      <c r="M71" s="3545"/>
      <c r="N71" s="3546"/>
      <c r="P71" s="3545"/>
      <c r="Q71" s="3546"/>
      <c r="S71" s="3545"/>
      <c r="T71" s="3546"/>
      <c r="U71" s="395" t="str">
        <f>IF(AND(G71&gt;0,OR(C71="",C71="&lt;Enter detailed description here; use Comments section if needed&gt;")),"NO DESCRIPTION PROVIDED - please enter detailed description in Other box at left; use Comments section below if needed.","")</f>
        <v/>
      </c>
      <c r="V71" s="1086"/>
      <c r="W71" s="3650"/>
      <c r="X71" s="3651"/>
      <c r="AZ71" s="2661"/>
      <c r="BA71" s="2246">
        <v>71</v>
      </c>
    </row>
    <row r="72" spans="1:53" s="315" customFormat="1" ht="12" customHeight="1" thickBot="1">
      <c r="A72" s="396" t="str">
        <f>IF(AND(G72&gt;0,OR(C72="",C72="&lt;Enter detailed description here; use Comments section if needed&gt;")),"X","")</f>
        <v/>
      </c>
      <c r="B72" s="185" t="s">
        <v>6285</v>
      </c>
      <c r="C72" s="3715" t="s">
        <v>6728</v>
      </c>
      <c r="D72" s="3715"/>
      <c r="E72" s="3715"/>
      <c r="F72" s="3716"/>
      <c r="G72" s="3493"/>
      <c r="H72" s="3494"/>
      <c r="J72" s="3493"/>
      <c r="K72" s="3494"/>
      <c r="L72" s="1050"/>
      <c r="M72" s="3493"/>
      <c r="N72" s="3494"/>
      <c r="P72" s="3493"/>
      <c r="Q72" s="3494"/>
      <c r="S72" s="3493"/>
      <c r="T72" s="3494"/>
      <c r="U72" s="395" t="str">
        <f>IF(AND(G72&gt;0,OR(C72="",C72="&lt;Enter detailed description here; use Comments section if needed&gt;")),"NO DESCRIPTION PROVIDED - please enter detailed description in Other box at left; use Comments section below if needed.","")</f>
        <v/>
      </c>
      <c r="V72" s="1086"/>
      <c r="W72" s="3657"/>
      <c r="X72" s="3658"/>
      <c r="AZ72" s="2661"/>
      <c r="BA72" s="2245">
        <v>72</v>
      </c>
    </row>
    <row r="73" spans="1:53" s="315" customFormat="1" ht="18.600000000000001" customHeight="1" thickTop="1">
      <c r="F73" s="371" t="s">
        <v>184</v>
      </c>
      <c r="G73" s="3646">
        <f>SUM(G61:G72)</f>
        <v>903828</v>
      </c>
      <c r="H73" s="3647"/>
      <c r="J73" s="3646">
        <f>SUM(J61:J72)</f>
        <v>720828</v>
      </c>
      <c r="K73" s="3647"/>
      <c r="L73" s="373"/>
      <c r="M73" s="3646">
        <f>SUM(M61:M72)</f>
        <v>0</v>
      </c>
      <c r="N73" s="3647"/>
      <c r="P73" s="3646">
        <f>SUM(P61:P72)</f>
        <v>0</v>
      </c>
      <c r="Q73" s="3647"/>
      <c r="S73" s="3646">
        <f>SUM(S61:S72)</f>
        <v>183000</v>
      </c>
      <c r="T73" s="3647"/>
      <c r="V73" s="1087">
        <f>SUM(V61:V72)</f>
        <v>0</v>
      </c>
      <c r="W73" s="3659"/>
      <c r="X73" s="3660"/>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4">
        <v>207360</v>
      </c>
      <c r="H75" s="3535"/>
      <c r="J75" s="3534">
        <v>207360</v>
      </c>
      <c r="K75" s="3535"/>
      <c r="L75" s="1050"/>
      <c r="M75" s="3534"/>
      <c r="N75" s="3535"/>
      <c r="P75" s="3534"/>
      <c r="Q75" s="3535"/>
      <c r="S75" s="3534"/>
      <c r="T75" s="3535"/>
      <c r="V75" s="1082"/>
      <c r="W75" s="3650"/>
      <c r="X75" s="3651"/>
      <c r="AZ75" s="2661"/>
      <c r="BA75" s="2245">
        <v>75</v>
      </c>
    </row>
    <row r="76" spans="1:53" s="315" customFormat="1" ht="12" customHeight="1">
      <c r="B76" s="315" t="s">
        <v>451</v>
      </c>
      <c r="G76" s="3545">
        <v>51840</v>
      </c>
      <c r="H76" s="3546"/>
      <c r="J76" s="3545">
        <v>51840</v>
      </c>
      <c r="K76" s="3546"/>
      <c r="L76" s="1050"/>
      <c r="M76" s="3545"/>
      <c r="N76" s="3546"/>
      <c r="P76" s="3545"/>
      <c r="Q76" s="3546"/>
      <c r="S76" s="3545"/>
      <c r="T76" s="3546"/>
      <c r="V76" s="1082"/>
      <c r="W76" s="3650"/>
      <c r="X76" s="3651"/>
      <c r="AZ76" s="2661"/>
      <c r="BA76" s="2246">
        <v>76</v>
      </c>
    </row>
    <row r="77" spans="1:53" s="315" customFormat="1" ht="12" customHeight="1">
      <c r="B77" s="315" t="s">
        <v>1062</v>
      </c>
      <c r="D77" s="328"/>
      <c r="E77" s="1075"/>
      <c r="F77" s="1076"/>
      <c r="G77" s="3545">
        <v>50000</v>
      </c>
      <c r="H77" s="3546"/>
      <c r="J77" s="3545">
        <v>50000</v>
      </c>
      <c r="K77" s="3546"/>
      <c r="L77" s="1050"/>
      <c r="M77" s="3545"/>
      <c r="N77" s="3546"/>
      <c r="P77" s="3545"/>
      <c r="Q77" s="3546"/>
      <c r="S77" s="3545"/>
      <c r="T77" s="3546"/>
      <c r="V77" s="1082"/>
      <c r="W77" s="3650"/>
      <c r="X77" s="3651"/>
      <c r="AZ77" s="2661"/>
      <c r="BA77" s="2246">
        <v>77</v>
      </c>
    </row>
    <row r="78" spans="1:53" s="315" customFormat="1" ht="12" customHeight="1">
      <c r="B78" s="315" t="s">
        <v>1063</v>
      </c>
      <c r="G78" s="3545">
        <v>20000</v>
      </c>
      <c r="H78" s="3546"/>
      <c r="J78" s="3545">
        <v>20000</v>
      </c>
      <c r="K78" s="3546"/>
      <c r="L78" s="1050"/>
      <c r="M78" s="3545"/>
      <c r="N78" s="3546"/>
      <c r="P78" s="3545"/>
      <c r="Q78" s="3546"/>
      <c r="S78" s="3545"/>
      <c r="T78" s="3546"/>
      <c r="V78" s="1082"/>
      <c r="W78" s="3650"/>
      <c r="X78" s="3651"/>
      <c r="AZ78" s="2661"/>
      <c r="BA78" s="2246">
        <v>78</v>
      </c>
    </row>
    <row r="79" spans="1:53" s="315" customFormat="1" ht="12" customHeight="1">
      <c r="B79" s="315" t="s">
        <v>1064</v>
      </c>
      <c r="G79" s="3545">
        <v>18000</v>
      </c>
      <c r="H79" s="3546"/>
      <c r="J79" s="3545">
        <v>18000</v>
      </c>
      <c r="K79" s="3546"/>
      <c r="L79" s="1050"/>
      <c r="M79" s="3545"/>
      <c r="N79" s="3546"/>
      <c r="P79" s="3545"/>
      <c r="Q79" s="3546"/>
      <c r="S79" s="3545"/>
      <c r="T79" s="3546"/>
      <c r="V79" s="1082"/>
      <c r="W79" s="3650"/>
      <c r="X79" s="3651"/>
      <c r="AZ79" s="2661" t="s">
        <v>6386</v>
      </c>
      <c r="BA79" s="2246">
        <v>79</v>
      </c>
    </row>
    <row r="80" spans="1:53" s="315" customFormat="1" ht="12" customHeight="1">
      <c r="B80" s="315" t="s">
        <v>1065</v>
      </c>
      <c r="G80" s="3545">
        <v>20000</v>
      </c>
      <c r="H80" s="3546"/>
      <c r="J80" s="3545">
        <v>20000</v>
      </c>
      <c r="K80" s="3546"/>
      <c r="L80" s="1050"/>
      <c r="M80" s="3545"/>
      <c r="N80" s="3546"/>
      <c r="P80" s="3545"/>
      <c r="Q80" s="3546"/>
      <c r="S80" s="3545"/>
      <c r="T80" s="3546"/>
      <c r="V80" s="1082"/>
      <c r="W80" s="3650"/>
      <c r="X80" s="3651"/>
      <c r="AZ80" s="2661" t="s">
        <v>6387</v>
      </c>
      <c r="BA80" s="2246">
        <v>80</v>
      </c>
    </row>
    <row r="81" spans="1:53" s="315" customFormat="1" ht="12" customHeight="1">
      <c r="B81" s="315" t="s">
        <v>452</v>
      </c>
      <c r="G81" s="3545">
        <v>45000</v>
      </c>
      <c r="H81" s="3546"/>
      <c r="J81" s="3545">
        <v>45000</v>
      </c>
      <c r="K81" s="3546"/>
      <c r="L81" s="1050"/>
      <c r="M81" s="3545"/>
      <c r="N81" s="3546"/>
      <c r="P81" s="3545"/>
      <c r="Q81" s="3546"/>
      <c r="S81" s="3545"/>
      <c r="T81" s="3546"/>
      <c r="V81" s="1082"/>
      <c r="W81" s="3650"/>
      <c r="X81" s="3651"/>
      <c r="AZ81" s="2660"/>
      <c r="BA81" s="2246">
        <v>81</v>
      </c>
    </row>
    <row r="82" spans="1:53" s="315" customFormat="1" ht="12" customHeight="1">
      <c r="B82" s="315" t="s">
        <v>453</v>
      </c>
      <c r="G82" s="3545">
        <v>120000</v>
      </c>
      <c r="H82" s="3546"/>
      <c r="J82" s="3545">
        <v>120000</v>
      </c>
      <c r="K82" s="3546"/>
      <c r="L82" s="1050"/>
      <c r="M82" s="3545"/>
      <c r="N82" s="3546"/>
      <c r="P82" s="3545"/>
      <c r="Q82" s="3546"/>
      <c r="S82" s="3545"/>
      <c r="T82" s="3546"/>
      <c r="V82" s="1082"/>
      <c r="W82" s="3650"/>
      <c r="X82" s="3651"/>
      <c r="AZ82" s="2661"/>
      <c r="BA82" s="2246">
        <v>82</v>
      </c>
    </row>
    <row r="83" spans="1:53" s="315" customFormat="1" ht="12" customHeight="1">
      <c r="B83" s="315" t="s">
        <v>1900</v>
      </c>
      <c r="G83" s="3545">
        <v>25000</v>
      </c>
      <c r="H83" s="3546"/>
      <c r="J83" s="3545">
        <v>25000</v>
      </c>
      <c r="K83" s="3546"/>
      <c r="L83" s="1050"/>
      <c r="M83" s="3545"/>
      <c r="N83" s="3546"/>
      <c r="P83" s="3545"/>
      <c r="Q83" s="3546"/>
      <c r="S83" s="3545"/>
      <c r="T83" s="3546"/>
      <c r="V83" s="1082"/>
      <c r="W83" s="3650"/>
      <c r="X83" s="3651"/>
      <c r="AZ83" s="2661"/>
      <c r="BA83" s="2246">
        <v>83</v>
      </c>
    </row>
    <row r="84" spans="1:53" s="315" customFormat="1" ht="12" customHeight="1">
      <c r="B84" s="315" t="s">
        <v>1202</v>
      </c>
      <c r="G84" s="3545">
        <v>18000</v>
      </c>
      <c r="H84" s="3546"/>
      <c r="J84" s="3545">
        <v>18000</v>
      </c>
      <c r="K84" s="3546"/>
      <c r="L84" s="1050"/>
      <c r="M84" s="3545"/>
      <c r="N84" s="3546"/>
      <c r="P84" s="3545"/>
      <c r="Q84" s="3546"/>
      <c r="S84" s="3545"/>
      <c r="T84" s="3546"/>
      <c r="V84" s="1082"/>
      <c r="W84" s="3650"/>
      <c r="X84" s="3651"/>
      <c r="AZ84" s="2661"/>
      <c r="BA84" s="2245">
        <v>84</v>
      </c>
    </row>
    <row r="85" spans="1:53" s="315" customFormat="1" ht="12" customHeight="1" thickBot="1">
      <c r="A85" s="396" t="str">
        <f>IF(AND(G85&gt;0,OR(C85="",C85="&lt;Enter detailed description here; use Comments section if needed&gt;")),"X","")</f>
        <v/>
      </c>
      <c r="B85" s="185" t="s">
        <v>6286</v>
      </c>
      <c r="C85" s="3686" t="s">
        <v>7018</v>
      </c>
      <c r="D85" s="3686"/>
      <c r="E85" s="3686"/>
      <c r="F85" s="3687"/>
      <c r="G85" s="3493">
        <v>15000</v>
      </c>
      <c r="H85" s="3494"/>
      <c r="J85" s="3493">
        <v>15000</v>
      </c>
      <c r="K85" s="3494"/>
      <c r="L85" s="1050"/>
      <c r="M85" s="3493"/>
      <c r="N85" s="3494"/>
      <c r="P85" s="3493"/>
      <c r="Q85" s="3494"/>
      <c r="S85" s="3493"/>
      <c r="T85" s="3494"/>
      <c r="U85" s="395" t="str">
        <f>IF(AND(G85&gt;0,OR(C85="",C85="&lt;Enter detailed description here; use Comments section if needed&gt;")),"NO DESCRIPTION PROVIDED - please enter detailed description in Other box at left; use Comments section below if needed.","")</f>
        <v/>
      </c>
      <c r="V85" s="1082"/>
      <c r="W85" s="3657"/>
      <c r="X85" s="3658"/>
      <c r="AZ85" s="2661"/>
      <c r="BA85" s="2246">
        <v>85</v>
      </c>
    </row>
    <row r="86" spans="1:53" s="315" customFormat="1" ht="12" customHeight="1" thickTop="1">
      <c r="F86" s="371" t="s">
        <v>184</v>
      </c>
      <c r="G86" s="3646">
        <f>SUM(G75:G85)</f>
        <v>590200</v>
      </c>
      <c r="H86" s="3647"/>
      <c r="J86" s="3646">
        <f>SUM(J75:J85)</f>
        <v>590200</v>
      </c>
      <c r="K86" s="3647"/>
      <c r="L86" s="373"/>
      <c r="M86" s="3646">
        <f>SUM(M75:M85)</f>
        <v>0</v>
      </c>
      <c r="N86" s="3647"/>
      <c r="P86" s="3646">
        <f>SUM(P75:P85)</f>
        <v>0</v>
      </c>
      <c r="Q86" s="3647"/>
      <c r="S86" s="3646">
        <f>SUM(S75:S85)</f>
        <v>0</v>
      </c>
      <c r="T86" s="3647"/>
      <c r="V86" s="1084">
        <f>SUM(V75:V85)</f>
        <v>0</v>
      </c>
      <c r="W86" s="3659"/>
      <c r="X86" s="3660"/>
      <c r="AZ86" s="2661" t="s">
        <v>6388</v>
      </c>
      <c r="BA86" s="2246">
        <v>86</v>
      </c>
    </row>
    <row r="87" spans="1:53" ht="12" customHeight="1">
      <c r="A87" s="315"/>
      <c r="B87" s="317" t="s">
        <v>1194</v>
      </c>
      <c r="C87" s="315"/>
      <c r="D87" s="884" t="s">
        <v>3231</v>
      </c>
      <c r="E87" s="968">
        <f>G92/'Part V-Revenues &amp; Expenses'!$P$67</f>
        <v>4405.9722222222226</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4">
        <v>58971</v>
      </c>
      <c r="H88" s="3535"/>
      <c r="J88" s="3534">
        <v>58971</v>
      </c>
      <c r="K88" s="3535"/>
      <c r="L88" s="1050"/>
      <c r="M88" s="3534"/>
      <c r="N88" s="3535"/>
      <c r="P88" s="3534"/>
      <c r="Q88" s="3535"/>
      <c r="S88" s="3534"/>
      <c r="T88" s="3535"/>
      <c r="V88" s="1082"/>
      <c r="W88" s="3650"/>
      <c r="X88" s="3651"/>
      <c r="AZ88" s="2661"/>
      <c r="BA88" s="2246">
        <v>88</v>
      </c>
    </row>
    <row r="89" spans="1:53" s="315" customFormat="1" ht="12" customHeight="1">
      <c r="B89" s="315" t="s">
        <v>1196</v>
      </c>
      <c r="G89" s="3545">
        <v>20481</v>
      </c>
      <c r="H89" s="3546"/>
      <c r="J89" s="3545">
        <v>20481</v>
      </c>
      <c r="K89" s="3546"/>
      <c r="L89" s="1050"/>
      <c r="M89" s="3545"/>
      <c r="N89" s="3546"/>
      <c r="P89" s="3545"/>
      <c r="Q89" s="3546"/>
      <c r="S89" s="3545"/>
      <c r="T89" s="3546"/>
      <c r="V89" s="1082"/>
      <c r="W89" s="3650"/>
      <c r="X89" s="3651"/>
      <c r="AZ89" s="2661"/>
      <c r="BA89" s="2246">
        <v>89</v>
      </c>
    </row>
    <row r="90" spans="1:53" s="315" customFormat="1" ht="12" customHeight="1">
      <c r="B90" s="315" t="s">
        <v>1197</v>
      </c>
      <c r="D90" s="379" t="s">
        <v>1325</v>
      </c>
      <c r="E90" s="1099" t="s">
        <v>2654</v>
      </c>
      <c r="G90" s="3545">
        <v>107550</v>
      </c>
      <c r="H90" s="3546"/>
      <c r="I90" s="332"/>
      <c r="J90" s="3545">
        <v>107558</v>
      </c>
      <c r="K90" s="3546"/>
      <c r="L90" s="1050"/>
      <c r="M90" s="3545"/>
      <c r="N90" s="3546"/>
      <c r="P90" s="3545"/>
      <c r="Q90" s="3546"/>
      <c r="S90" s="3545"/>
      <c r="T90" s="3546"/>
      <c r="V90" s="1082"/>
      <c r="W90" s="3650"/>
      <c r="X90" s="3651"/>
      <c r="AZ90" s="2661"/>
      <c r="BA90" s="2246">
        <v>90</v>
      </c>
    </row>
    <row r="91" spans="1:53" s="315" customFormat="1" ht="12" customHeight="1" thickBot="1">
      <c r="B91" s="315" t="s">
        <v>1198</v>
      </c>
      <c r="D91" s="379" t="s">
        <v>1325</v>
      </c>
      <c r="E91" s="1100" t="s">
        <v>2654</v>
      </c>
      <c r="G91" s="3493">
        <v>130228</v>
      </c>
      <c r="H91" s="3494"/>
      <c r="I91" s="332"/>
      <c r="J91" s="3493">
        <v>130228</v>
      </c>
      <c r="K91" s="3494"/>
      <c r="L91" s="1050"/>
      <c r="M91" s="3493"/>
      <c r="N91" s="3494"/>
      <c r="P91" s="3493"/>
      <c r="Q91" s="3494"/>
      <c r="S91" s="3493"/>
      <c r="T91" s="3494"/>
      <c r="V91" s="1082"/>
      <c r="W91" s="3657"/>
      <c r="X91" s="3658"/>
      <c r="AZ91" s="2661"/>
      <c r="BA91" s="2246">
        <v>91</v>
      </c>
    </row>
    <row r="92" spans="1:53" s="315" customFormat="1" ht="12" customHeight="1" thickTop="1">
      <c r="F92" s="371" t="s">
        <v>184</v>
      </c>
      <c r="G92" s="3646">
        <f>SUM(G88:G91)</f>
        <v>317230</v>
      </c>
      <c r="H92" s="3647"/>
      <c r="J92" s="3646">
        <f>SUM(J88:J91)</f>
        <v>317238</v>
      </c>
      <c r="K92" s="3647"/>
      <c r="L92" s="373"/>
      <c r="M92" s="3646">
        <f>SUM(M88:M91)</f>
        <v>0</v>
      </c>
      <c r="N92" s="3647"/>
      <c r="P92" s="3646">
        <f>SUM(P88:P91)</f>
        <v>0</v>
      </c>
      <c r="Q92" s="3647"/>
      <c r="S92" s="3646">
        <f>SUM(S88:S91)</f>
        <v>0</v>
      </c>
      <c r="T92" s="3647"/>
      <c r="V92" s="1084">
        <f>SUM(V88:V91)</f>
        <v>0</v>
      </c>
      <c r="W92" s="3659"/>
      <c r="X92" s="3660"/>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6" t="s">
        <v>259</v>
      </c>
      <c r="K94" s="3667"/>
      <c r="L94" s="370"/>
      <c r="M94" s="3672" t="s">
        <v>460</v>
      </c>
      <c r="N94" s="3673"/>
      <c r="P94" s="3666" t="s">
        <v>260</v>
      </c>
      <c r="Q94" s="3667"/>
      <c r="S94" s="3666" t="s">
        <v>261</v>
      </c>
      <c r="T94" s="3667"/>
      <c r="V94" s="450" t="str">
        <f>B94</f>
        <v>DEVELOPMENT BUDGET  (cont'd)</v>
      </c>
      <c r="AZ94" s="2661"/>
      <c r="BA94" s="2246">
        <v>94</v>
      </c>
    </row>
    <row r="95" spans="1:53" s="315" customFormat="1" ht="18" customHeight="1" thickBot="1">
      <c r="G95" s="3652" t="s">
        <v>95</v>
      </c>
      <c r="H95" s="3653"/>
      <c r="J95" s="3668"/>
      <c r="K95" s="3669"/>
      <c r="L95" s="370"/>
      <c r="M95" s="3674"/>
      <c r="N95" s="3675"/>
      <c r="P95" s="3668"/>
      <c r="Q95" s="3669"/>
      <c r="S95" s="3668"/>
      <c r="T95" s="3669"/>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34">
        <v>61000</v>
      </c>
      <c r="H97" s="3535"/>
      <c r="J97" s="3719"/>
      <c r="K97" s="3719"/>
      <c r="L97" s="1050"/>
      <c r="M97" s="3719"/>
      <c r="N97" s="3719"/>
      <c r="P97" s="3719"/>
      <c r="Q97" s="3719"/>
      <c r="S97" s="3534">
        <v>61000</v>
      </c>
      <c r="T97" s="3535"/>
      <c r="V97" s="1082"/>
      <c r="W97" s="3650"/>
      <c r="X97" s="3651"/>
      <c r="AZ97" s="2661" t="s">
        <v>6390</v>
      </c>
      <c r="BA97" s="2246">
        <v>97</v>
      </c>
    </row>
    <row r="98" spans="1:53" s="315" customFormat="1" ht="12" customHeight="1">
      <c r="B98" s="315" t="s">
        <v>1200</v>
      </c>
      <c r="G98" s="3545">
        <v>65000</v>
      </c>
      <c r="H98" s="3546"/>
      <c r="J98" s="3719"/>
      <c r="K98" s="3719"/>
      <c r="L98" s="1050"/>
      <c r="M98" s="3719"/>
      <c r="N98" s="3719"/>
      <c r="P98" s="3719"/>
      <c r="Q98" s="3719"/>
      <c r="S98" s="3545">
        <v>65000</v>
      </c>
      <c r="T98" s="3546"/>
      <c r="V98" s="1082"/>
      <c r="W98" s="3650"/>
      <c r="X98" s="3651"/>
      <c r="AZ98" s="2661"/>
      <c r="BA98" s="2246">
        <v>98</v>
      </c>
    </row>
    <row r="99" spans="1:53" s="315" customFormat="1" ht="12" customHeight="1">
      <c r="B99" s="315" t="s">
        <v>1201</v>
      </c>
      <c r="G99" s="3545">
        <v>45000</v>
      </c>
      <c r="H99" s="3546"/>
      <c r="J99" s="3719"/>
      <c r="K99" s="3719"/>
      <c r="L99" s="1050"/>
      <c r="M99" s="3719"/>
      <c r="N99" s="3719"/>
      <c r="P99" s="3719"/>
      <c r="Q99" s="3719"/>
      <c r="S99" s="3545">
        <v>45000</v>
      </c>
      <c r="T99" s="3546"/>
      <c r="V99" s="1082"/>
      <c r="W99" s="3650"/>
      <c r="X99" s="3651"/>
      <c r="AZ99" s="2661"/>
      <c r="BA99" s="2246">
        <v>99</v>
      </c>
    </row>
    <row r="100" spans="1:53" s="315" customFormat="1" ht="12" customHeight="1">
      <c r="B100" s="315" t="s">
        <v>1203</v>
      </c>
      <c r="G100" s="3545"/>
      <c r="H100" s="3546"/>
      <c r="J100" s="3719"/>
      <c r="K100" s="3719"/>
      <c r="L100" s="1050"/>
      <c r="M100" s="3719"/>
      <c r="N100" s="3719"/>
      <c r="P100" s="3719"/>
      <c r="Q100" s="3719"/>
      <c r="S100" s="3545"/>
      <c r="T100" s="3546"/>
      <c r="V100" s="1082"/>
      <c r="W100" s="3650"/>
      <c r="X100" s="3651"/>
      <c r="AZ100" s="2661"/>
      <c r="BA100" s="2245">
        <v>100</v>
      </c>
    </row>
    <row r="101" spans="1:53" s="315" customFormat="1" ht="12" customHeight="1">
      <c r="B101" s="315" t="s">
        <v>2122</v>
      </c>
      <c r="G101" s="3545"/>
      <c r="H101" s="3546"/>
      <c r="J101" s="3719"/>
      <c r="K101" s="3719"/>
      <c r="L101" s="1050"/>
      <c r="M101" s="3719"/>
      <c r="N101" s="3719"/>
      <c r="P101" s="3719"/>
      <c r="Q101" s="3719"/>
      <c r="S101" s="3545"/>
      <c r="T101" s="3546"/>
      <c r="V101" s="1082"/>
      <c r="W101" s="3650"/>
      <c r="X101" s="3651"/>
      <c r="AZ101" s="2661"/>
      <c r="BA101" s="2246">
        <v>101</v>
      </c>
    </row>
    <row r="102" spans="1:53" s="315" customFormat="1" ht="12" customHeight="1" thickBot="1">
      <c r="A102" s="396" t="str">
        <f>IF(AND(G102&gt;0,OR(C102="",C102="&lt;Enter detailed description here; use Comments section if needed&gt;")),"X","")</f>
        <v/>
      </c>
      <c r="B102" s="185" t="s">
        <v>6287</v>
      </c>
      <c r="C102" s="3686" t="s">
        <v>7017</v>
      </c>
      <c r="D102" s="3686"/>
      <c r="E102" s="3686"/>
      <c r="F102" s="3687"/>
      <c r="G102" s="3493">
        <v>25000</v>
      </c>
      <c r="H102" s="3494"/>
      <c r="J102" s="3719"/>
      <c r="K102" s="3719"/>
      <c r="L102" s="1050"/>
      <c r="M102" s="3719"/>
      <c r="N102" s="3719"/>
      <c r="P102" s="3719"/>
      <c r="Q102" s="3719"/>
      <c r="S102" s="3493">
        <v>25000</v>
      </c>
      <c r="T102" s="3494"/>
      <c r="U102" s="395" t="str">
        <f>IF(AND(G102&gt;0,OR(C102="",C102="&lt;Enter detailed description here; use Comments section if needed&gt;")),"NO DESCRIPTION PROVIDED - please enter detailed description in Other box at left; use Comments section below if needed.","")</f>
        <v/>
      </c>
      <c r="V102" s="1082"/>
      <c r="W102" s="3657"/>
      <c r="X102" s="3658"/>
      <c r="AZ102" s="2661"/>
      <c r="BA102" s="2246">
        <v>102</v>
      </c>
    </row>
    <row r="103" spans="1:53" s="315" customFormat="1" ht="12" customHeight="1" thickTop="1">
      <c r="F103" s="371" t="s">
        <v>184</v>
      </c>
      <c r="G103" s="3646">
        <f>SUM(G97:G102)</f>
        <v>196000</v>
      </c>
      <c r="H103" s="3647"/>
      <c r="J103" s="3719"/>
      <c r="K103" s="3719"/>
      <c r="L103" s="373"/>
      <c r="M103" s="3719"/>
      <c r="N103" s="3719"/>
      <c r="P103" s="3719"/>
      <c r="Q103" s="3719"/>
      <c r="S103" s="3646">
        <f>SUM(S97:S102)</f>
        <v>196000</v>
      </c>
      <c r="T103" s="3647"/>
      <c r="V103" s="1084">
        <f>SUM(V97:V102)</f>
        <v>0</v>
      </c>
      <c r="W103" s="3659"/>
      <c r="X103" s="3660"/>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4">
        <v>1000</v>
      </c>
      <c r="H105" s="3535"/>
      <c r="J105" s="373"/>
      <c r="K105" s="373"/>
      <c r="L105" s="1050"/>
      <c r="M105" s="373"/>
      <c r="N105" s="373"/>
      <c r="P105" s="373"/>
      <c r="Q105" s="373"/>
      <c r="S105" s="3534">
        <v>1000</v>
      </c>
      <c r="T105" s="3535"/>
      <c r="V105" s="1082"/>
      <c r="W105" s="3650"/>
      <c r="X105" s="3651"/>
      <c r="Y105" s="3637" t="s">
        <v>6712</v>
      </c>
      <c r="AA105" s="414" t="s">
        <v>6655</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5">
        <v>6500</v>
      </c>
      <c r="H106" s="3546"/>
      <c r="J106" s="373"/>
      <c r="K106" s="373"/>
      <c r="L106" s="380"/>
      <c r="M106" s="373"/>
      <c r="N106" s="373"/>
      <c r="P106" s="373"/>
      <c r="Q106" s="373"/>
      <c r="S106" s="3545">
        <v>6500</v>
      </c>
      <c r="T106" s="3546"/>
      <c r="V106" s="1082"/>
      <c r="W106" s="3650"/>
      <c r="X106" s="3651"/>
      <c r="Y106" s="3637"/>
      <c r="AA106" s="2606" t="s">
        <v>3154</v>
      </c>
      <c r="AB106" s="2606"/>
      <c r="AC106" s="2606"/>
      <c r="AD106" s="2607">
        <f>'Part V-Revenues &amp; Expenses'!$P$67</f>
        <v>72</v>
      </c>
      <c r="AZ106" s="2661" t="s">
        <v>6391</v>
      </c>
      <c r="BA106" s="2246">
        <v>106</v>
      </c>
    </row>
    <row r="107" spans="1:53" s="315" customFormat="1" ht="12.6" customHeight="1">
      <c r="B107" s="315" t="s">
        <v>3321</v>
      </c>
      <c r="G107" s="3545"/>
      <c r="H107" s="3546"/>
      <c r="J107" s="373"/>
      <c r="K107" s="373"/>
      <c r="L107" s="380"/>
      <c r="M107" s="373"/>
      <c r="N107" s="373"/>
      <c r="O107" s="1041"/>
      <c r="P107" s="373"/>
      <c r="Q107" s="373"/>
      <c r="S107" s="3545"/>
      <c r="T107" s="3546"/>
      <c r="V107" s="1082"/>
      <c r="W107" s="3650"/>
      <c r="X107" s="3651"/>
      <c r="Y107" s="3637"/>
      <c r="Z107" s="2603"/>
      <c r="AA107" s="2608" t="s">
        <v>6717</v>
      </c>
      <c r="AB107" s="185"/>
      <c r="AC107" s="185"/>
      <c r="AD107" s="185"/>
      <c r="AF107" s="2613" t="s">
        <v>6718</v>
      </c>
      <c r="AZ107" s="2661" t="s">
        <v>6392</v>
      </c>
      <c r="BA107" s="2246">
        <v>107</v>
      </c>
    </row>
    <row r="108" spans="1:53" s="315" customFormat="1" ht="12.6" customHeight="1">
      <c r="B108" s="315" t="s">
        <v>486</v>
      </c>
      <c r="E108" s="3720">
        <f>ROUNDUP('DCA Underwriting Assumptions'!$Q$53*J191,0)</f>
        <v>66400</v>
      </c>
      <c r="F108" s="3721"/>
      <c r="G108" s="3545">
        <v>66400</v>
      </c>
      <c r="H108" s="3546"/>
      <c r="J108" s="969" t="str">
        <f>IF(E108&gt;G108,"WARNING!  LIHTC Allocation Fee proposed is below minimum required.","")</f>
        <v/>
      </c>
      <c r="K108" s="373"/>
      <c r="L108" s="1050"/>
      <c r="M108" s="373"/>
      <c r="N108" s="373"/>
      <c r="O108" s="1041"/>
      <c r="P108" s="373"/>
      <c r="Q108" s="373"/>
      <c r="S108" s="3545">
        <v>66400</v>
      </c>
      <c r="T108" s="3546"/>
      <c r="V108" s="1082"/>
      <c r="W108" s="3650"/>
      <c r="X108" s="3651"/>
      <c r="Y108" s="3637"/>
      <c r="Z108" s="2603"/>
      <c r="AA108" s="185" t="s">
        <v>6713</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20">
        <f>AF111+AF115</f>
        <v>57600</v>
      </c>
      <c r="F109" s="3721"/>
      <c r="G109" s="3545">
        <v>57600</v>
      </c>
      <c r="H109" s="3546"/>
      <c r="I109" s="3654" t="str">
        <f>IF(E109&gt;G109,"WARNING!  LIHTC Compliance Fee proposed is below minimum required.","")</f>
        <v/>
      </c>
      <c r="J109" s="3655"/>
      <c r="K109" s="3655"/>
      <c r="L109" s="3655"/>
      <c r="M109" s="3655"/>
      <c r="N109" s="3655"/>
      <c r="O109" s="3655"/>
      <c r="P109" s="3655"/>
      <c r="Q109" s="3655"/>
      <c r="R109" s="3656"/>
      <c r="S109" s="3545">
        <v>57600</v>
      </c>
      <c r="T109" s="3546"/>
      <c r="V109" s="1082"/>
      <c r="W109" s="3650"/>
      <c r="X109" s="3651"/>
      <c r="Y109" s="3637"/>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5"/>
      <c r="H110" s="3546"/>
      <c r="I110" s="3654"/>
      <c r="J110" s="3655"/>
      <c r="K110" s="3655"/>
      <c r="L110" s="3655"/>
      <c r="M110" s="3655"/>
      <c r="N110" s="3655"/>
      <c r="O110" s="3655"/>
      <c r="P110" s="3655"/>
      <c r="Q110" s="3655"/>
      <c r="R110" s="3656"/>
      <c r="S110" s="3545"/>
      <c r="T110" s="3546"/>
      <c r="V110" s="1082"/>
      <c r="W110" s="3650"/>
      <c r="X110" s="3651"/>
      <c r="Y110" s="3637"/>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5">
        <v>3000</v>
      </c>
      <c r="H111" s="3546"/>
      <c r="J111" s="181"/>
      <c r="K111" s="181"/>
      <c r="L111" s="181"/>
      <c r="M111" s="181"/>
      <c r="N111" s="181"/>
      <c r="O111" s="181"/>
      <c r="P111" s="181"/>
      <c r="Q111" s="181"/>
      <c r="S111" s="3545">
        <v>3000</v>
      </c>
      <c r="T111" s="3546"/>
      <c r="V111" s="1082"/>
      <c r="W111" s="3650"/>
      <c r="X111" s="3651"/>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17" t="s">
        <v>6728</v>
      </c>
      <c r="D112" s="3717"/>
      <c r="E112" s="3717"/>
      <c r="F112" s="3718"/>
      <c r="G112" s="3545"/>
      <c r="H112" s="3546"/>
      <c r="J112" s="181"/>
      <c r="K112" s="181"/>
      <c r="L112" s="181"/>
      <c r="M112" s="181"/>
      <c r="N112" s="181"/>
      <c r="O112" s="181"/>
      <c r="P112" s="181"/>
      <c r="Q112" s="181"/>
      <c r="S112" s="3545"/>
      <c r="T112" s="3546"/>
      <c r="U112" s="395" t="str">
        <f>IF(AND(G112&gt;0,OR(C112="",C112="&lt;Enter detailed description here; use Comments section if needed&gt;")),"NO DESCRIPTION PROVIDED - please enter detailed description in Other box at left; use Comments section below if needed.","")</f>
        <v/>
      </c>
      <c r="V112" s="1082"/>
      <c r="W112" s="3650"/>
      <c r="X112" s="3651"/>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15" t="s">
        <v>6728</v>
      </c>
      <c r="D113" s="3715"/>
      <c r="E113" s="3715"/>
      <c r="F113" s="3716"/>
      <c r="G113" s="3493"/>
      <c r="H113" s="3494"/>
      <c r="J113" s="181"/>
      <c r="K113" s="181"/>
      <c r="L113" s="181"/>
      <c r="M113" s="181"/>
      <c r="N113" s="181"/>
      <c r="O113" s="181"/>
      <c r="P113" s="181"/>
      <c r="Q113" s="181"/>
      <c r="S113" s="3493"/>
      <c r="T113" s="3494"/>
      <c r="U113" s="395" t="str">
        <f>IF(AND(G113&gt;0,OR(C113="",C113="&lt;Enter detailed description here; use Comments section if needed&gt;")),"NO DESCRIPTION PROVIDED - please enter detailed description in Other box at left; use Comments section below if needed.","")</f>
        <v/>
      </c>
      <c r="V113" s="1082"/>
      <c r="W113" s="3657"/>
      <c r="X113" s="3658"/>
      <c r="AA113" s="509" t="s">
        <v>36</v>
      </c>
      <c r="AB113" s="185"/>
      <c r="AC113" s="2311"/>
      <c r="AD113" s="2609">
        <f>'Part V-Revenues &amp; Expenses'!$P$127</f>
        <v>72</v>
      </c>
      <c r="AF113" s="2611">
        <f>IF($AD$105="Income Averaging",AD113*'DCA Underwriting Assumptions'!$Q$58,AD113*'DCA Underwriting Assumptions'!$Q$57)</f>
        <v>57600</v>
      </c>
      <c r="AZ113" s="2661" t="s">
        <v>6394</v>
      </c>
      <c r="BA113" s="2246">
        <v>113</v>
      </c>
    </row>
    <row r="114" spans="1:53" s="315" customFormat="1" ht="12.6" customHeight="1" thickTop="1">
      <c r="F114" s="371" t="s">
        <v>184</v>
      </c>
      <c r="G114" s="3646">
        <f>SUM(G105:G113)</f>
        <v>134500</v>
      </c>
      <c r="H114" s="3647"/>
      <c r="J114" s="373"/>
      <c r="K114" s="373"/>
      <c r="L114" s="1050"/>
      <c r="M114" s="373"/>
      <c r="N114" s="373"/>
      <c r="P114" s="373"/>
      <c r="Q114" s="373"/>
      <c r="S114" s="3646">
        <f>SUM(S105:S113)</f>
        <v>134500</v>
      </c>
      <c r="T114" s="3647"/>
      <c r="V114" s="1084">
        <f>SUM(V105:V113)</f>
        <v>0</v>
      </c>
      <c r="W114" s="3774"/>
      <c r="X114" s="3775"/>
      <c r="AA114" s="509" t="s">
        <v>6488</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72</v>
      </c>
      <c r="AF115" s="2612">
        <f>SUM(AF113:AF114)</f>
        <v>57600</v>
      </c>
      <c r="AZ115" s="2646"/>
      <c r="BA115" s="2246">
        <v>115</v>
      </c>
    </row>
    <row r="116" spans="1:53" s="315" customFormat="1" ht="12.6" customHeight="1">
      <c r="B116" s="315" t="s">
        <v>267</v>
      </c>
      <c r="G116" s="3534">
        <v>1000</v>
      </c>
      <c r="H116" s="3535"/>
      <c r="J116" s="3719"/>
      <c r="K116" s="3719"/>
      <c r="L116" s="1050"/>
      <c r="M116" s="3719"/>
      <c r="N116" s="3719"/>
      <c r="O116" s="1041"/>
      <c r="P116" s="3719"/>
      <c r="Q116" s="3719"/>
      <c r="S116" s="3534">
        <v>1000</v>
      </c>
      <c r="T116" s="3535"/>
      <c r="V116" s="1082"/>
      <c r="W116" s="3650"/>
      <c r="X116" s="3651"/>
      <c r="AZ116" s="2646"/>
      <c r="BA116" s="2246">
        <v>116</v>
      </c>
    </row>
    <row r="117" spans="1:53" s="315" customFormat="1" ht="12.6" customHeight="1">
      <c r="B117" s="315" t="s">
        <v>268</v>
      </c>
      <c r="G117" s="3545">
        <v>3000</v>
      </c>
      <c r="H117" s="3546"/>
      <c r="J117" s="3719"/>
      <c r="K117" s="3719"/>
      <c r="L117" s="1050"/>
      <c r="M117" s="3719"/>
      <c r="N117" s="3719"/>
      <c r="O117" s="1041"/>
      <c r="P117" s="3719"/>
      <c r="Q117" s="3719"/>
      <c r="S117" s="3545">
        <v>3000</v>
      </c>
      <c r="T117" s="3546"/>
      <c r="V117" s="1082"/>
      <c r="W117" s="3650"/>
      <c r="X117" s="3651"/>
      <c r="AZ117" s="2646"/>
      <c r="BA117" s="2246">
        <v>117</v>
      </c>
    </row>
    <row r="118" spans="1:53" s="315" customFormat="1" ht="12.6" customHeight="1">
      <c r="B118" s="315" t="s">
        <v>2201</v>
      </c>
      <c r="G118" s="3545"/>
      <c r="H118" s="3546"/>
      <c r="J118" s="3719"/>
      <c r="K118" s="3719"/>
      <c r="L118" s="1050"/>
      <c r="M118" s="3719"/>
      <c r="N118" s="3719"/>
      <c r="O118" s="1041"/>
      <c r="P118" s="3719"/>
      <c r="Q118" s="3719"/>
      <c r="S118" s="3545"/>
      <c r="T118" s="3546"/>
      <c r="V118" s="1082"/>
      <c r="W118" s="3650"/>
      <c r="X118" s="3651"/>
      <c r="AZ118" s="2646"/>
      <c r="BA118" s="2246">
        <v>118</v>
      </c>
    </row>
    <row r="119" spans="1:53" s="315" customFormat="1" ht="12.6" customHeight="1" thickBot="1">
      <c r="A119" s="396" t="str">
        <f>IF(AND(G119&gt;0,OR(C119="",C119="&lt;Enter detailed description here; use Comments section if needed&gt;")),"X","")</f>
        <v/>
      </c>
      <c r="B119" s="185" t="s">
        <v>6283</v>
      </c>
      <c r="C119" s="3686" t="s">
        <v>6728</v>
      </c>
      <c r="D119" s="3686"/>
      <c r="E119" s="3686"/>
      <c r="F119" s="3687"/>
      <c r="G119" s="3493"/>
      <c r="H119" s="3494"/>
      <c r="J119" s="3719"/>
      <c r="K119" s="3719"/>
      <c r="L119" s="1050"/>
      <c r="M119" s="3719"/>
      <c r="N119" s="3719"/>
      <c r="O119" s="1041"/>
      <c r="P119" s="3719"/>
      <c r="Q119" s="3719"/>
      <c r="S119" s="3493"/>
      <c r="T119" s="3494"/>
      <c r="U119" s="395" t="str">
        <f>IF(AND(G119&gt;0,OR(C119="",C119="&lt;Enter detailed description here; use Comments section if needed&gt;")),"NO DESCRIPTION PROVIDED - please enter detailed description in Other box at left; use Comments section below if needed.","")</f>
        <v/>
      </c>
      <c r="V119" s="1082"/>
      <c r="W119" s="3657"/>
      <c r="X119" s="3658"/>
      <c r="AZ119" s="2646"/>
      <c r="BA119" s="2246">
        <v>119</v>
      </c>
    </row>
    <row r="120" spans="1:53" s="315" customFormat="1" ht="12.6" customHeight="1" thickTop="1">
      <c r="F120" s="371" t="s">
        <v>184</v>
      </c>
      <c r="G120" s="3646">
        <f>SUM(G116:G119)</f>
        <v>4000</v>
      </c>
      <c r="H120" s="3647"/>
      <c r="J120" s="3719"/>
      <c r="K120" s="3719"/>
      <c r="L120" s="1050"/>
      <c r="M120" s="3719"/>
      <c r="N120" s="3719"/>
      <c r="O120" s="1041"/>
      <c r="P120" s="3719"/>
      <c r="Q120" s="3719"/>
      <c r="S120" s="3646">
        <f>SUM(S116:S119)</f>
        <v>4000</v>
      </c>
      <c r="T120" s="3647"/>
      <c r="V120" s="1084">
        <f>SUM(V116:V119)</f>
        <v>0</v>
      </c>
      <c r="W120" s="3659"/>
      <c r="X120" s="3660"/>
      <c r="AC120" s="3670" t="s">
        <v>3927</v>
      </c>
      <c r="AD120" s="3670" t="s">
        <v>3928</v>
      </c>
      <c r="AE120" s="3684" t="s">
        <v>3931</v>
      </c>
      <c r="AF120" s="3676" t="s">
        <v>3929</v>
      </c>
      <c r="AG120" s="3806" t="s">
        <v>3920</v>
      </c>
      <c r="AH120" s="3797" t="s">
        <v>6749</v>
      </c>
      <c r="AI120" s="3797"/>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1"/>
      <c r="AD121" s="3671"/>
      <c r="AE121" s="3685"/>
      <c r="AF121" s="3677"/>
      <c r="AG121" s="3806"/>
      <c r="AH121" s="3797"/>
      <c r="AI121" s="3797"/>
      <c r="AK121" s="1641"/>
      <c r="AZ121" s="2646" t="s">
        <v>6396</v>
      </c>
      <c r="BA121" s="2245">
        <v>121</v>
      </c>
    </row>
    <row r="122" spans="1:53" s="315" customFormat="1" ht="12.6" customHeight="1">
      <c r="B122" s="315" t="s">
        <v>1724</v>
      </c>
      <c r="F122" s="422">
        <f>IF($G$127=0,0,G122/$G$127)</f>
        <v>0.25</v>
      </c>
      <c r="G122" s="3722">
        <v>462000</v>
      </c>
      <c r="H122" s="3722"/>
      <c r="J122" s="3723">
        <v>462000</v>
      </c>
      <c r="K122" s="3724"/>
      <c r="L122" s="372"/>
      <c r="M122" s="3723"/>
      <c r="N122" s="3724"/>
      <c r="P122" s="3723"/>
      <c r="Q122" s="3724"/>
      <c r="S122" s="3723"/>
      <c r="T122" s="3724"/>
      <c r="V122" s="1082"/>
      <c r="W122" s="3650"/>
      <c r="X122" s="3651"/>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8">
        <f>SUM(AE122:AE124)</f>
        <v>1848000</v>
      </c>
      <c r="AG122" s="3807">
        <f>'DCA Underwriting Assumptions'!$Q$72</f>
        <v>2000000</v>
      </c>
      <c r="AH122" s="3798">
        <f>MIN(AF122,AG122)</f>
        <v>1848000</v>
      </c>
      <c r="AI122" s="3799"/>
      <c r="AZ122" s="2646"/>
      <c r="BA122" s="2246">
        <v>122</v>
      </c>
    </row>
    <row r="123" spans="1:53" s="315" customFormat="1" ht="12.6" customHeight="1">
      <c r="B123" s="315" t="s">
        <v>3414</v>
      </c>
      <c r="F123" s="1216">
        <v>462000</v>
      </c>
      <c r="G123" s="2594" t="s">
        <v>6729</v>
      </c>
      <c r="V123" s="1082"/>
      <c r="W123" s="3650"/>
      <c r="X123" s="3651"/>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9"/>
      <c r="AG123" s="3808"/>
      <c r="AH123" s="3800"/>
      <c r="AI123" s="3801"/>
      <c r="AZ123" s="2646"/>
      <c r="BA123" s="2246">
        <v>123</v>
      </c>
    </row>
    <row r="124" spans="1:53" s="315" customFormat="1" ht="12.6" customHeight="1">
      <c r="B124" s="315" t="s">
        <v>1725</v>
      </c>
      <c r="F124" s="422">
        <f>IF($G$127=0,0,G124/$G$127)</f>
        <v>0</v>
      </c>
      <c r="G124" s="3534"/>
      <c r="H124" s="3535"/>
      <c r="J124" s="3534"/>
      <c r="K124" s="3535"/>
      <c r="L124" s="1050"/>
      <c r="M124" s="3534"/>
      <c r="N124" s="3535"/>
      <c r="P124" s="3534"/>
      <c r="Q124" s="3535"/>
      <c r="S124" s="3534"/>
      <c r="T124" s="3535"/>
      <c r="V124" s="1082"/>
      <c r="W124" s="3650"/>
      <c r="X124" s="3651"/>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33000</v>
      </c>
      <c r="AF124" s="3680"/>
      <c r="AG124" s="3809"/>
      <c r="AH124" s="3802"/>
      <c r="AI124" s="3803"/>
      <c r="AZ124" s="2646"/>
      <c r="BA124" s="2246">
        <v>124</v>
      </c>
    </row>
    <row r="125" spans="1:53" s="315" customFormat="1" ht="12.6" customHeight="1">
      <c r="B125" s="315" t="s">
        <v>3166</v>
      </c>
      <c r="F125" s="422">
        <f>IF($G$127=0,0,G125/$G$127)</f>
        <v>0</v>
      </c>
      <c r="G125" s="3545"/>
      <c r="H125" s="3546"/>
      <c r="J125" s="3545"/>
      <c r="K125" s="3546"/>
      <c r="L125" s="1050"/>
      <c r="M125" s="3545"/>
      <c r="N125" s="3546"/>
      <c r="P125" s="3545"/>
      <c r="Q125" s="3546"/>
      <c r="S125" s="3545"/>
      <c r="T125" s="3546"/>
      <c r="V125" s="1082"/>
      <c r="W125" s="3650"/>
      <c r="X125" s="3651"/>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8">
        <f>SUM(AE125:AE127)</f>
        <v>1848000</v>
      </c>
      <c r="AG125" s="3678">
        <f>'DCA Underwriting Assumptions'!$Q$73</f>
        <v>3500000</v>
      </c>
      <c r="AH125" s="3798">
        <f>MIN(AF125,AG125)</f>
        <v>1848000</v>
      </c>
      <c r="AI125" s="3799"/>
      <c r="AZ125" s="2646"/>
      <c r="BA125" s="2246">
        <v>125</v>
      </c>
    </row>
    <row r="126" spans="1:53" s="315" customFormat="1" ht="12.6" customHeight="1" thickBot="1">
      <c r="B126" s="315" t="s">
        <v>1717</v>
      </c>
      <c r="F126" s="422">
        <f>IF($G$127=0,0,G126/$G$127)</f>
        <v>0.75</v>
      </c>
      <c r="G126" s="3493">
        <v>1386000</v>
      </c>
      <c r="H126" s="3494"/>
      <c r="J126" s="3493">
        <v>1386000</v>
      </c>
      <c r="K126" s="3494"/>
      <c r="L126" s="1050"/>
      <c r="M126" s="3493"/>
      <c r="N126" s="3494"/>
      <c r="P126" s="3493"/>
      <c r="Q126" s="3494"/>
      <c r="S126" s="3493"/>
      <c r="T126" s="3494"/>
      <c r="V126" s="1082"/>
      <c r="W126" s="3657"/>
      <c r="X126" s="3658"/>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9"/>
      <c r="AG126" s="3679"/>
      <c r="AH126" s="3800"/>
      <c r="AI126" s="3801"/>
      <c r="AZ126" s="2661"/>
      <c r="BA126" s="2246">
        <v>126</v>
      </c>
    </row>
    <row r="127" spans="1:53" s="315" customFormat="1" ht="12.6" customHeight="1" thickTop="1">
      <c r="A127" s="1656" t="str">
        <f>IF(G127&gt;E127,"DF over limit!  Round down/Enter nbr.","")</f>
        <v/>
      </c>
      <c r="B127" s="2638"/>
      <c r="D127" s="628" t="s">
        <v>3926</v>
      </c>
      <c r="E127" s="2639">
        <f>IF(E121="9%",AH122,IF(E121="4%",AH125,"Select App Type!"))</f>
        <v>1848000</v>
      </c>
      <c r="F127" s="371" t="s">
        <v>184</v>
      </c>
      <c r="G127" s="3646">
        <f>SUM(G122:G126)</f>
        <v>1848000</v>
      </c>
      <c r="H127" s="3725"/>
      <c r="J127" s="3646">
        <f>SUM(J122:J126)</f>
        <v>1848000</v>
      </c>
      <c r="K127" s="3725"/>
      <c r="L127" s="1050"/>
      <c r="M127" s="3646">
        <f>SUM(M122:M126)</f>
        <v>0</v>
      </c>
      <c r="N127" s="3725"/>
      <c r="P127" s="3646">
        <f>SUM(P122:P126)</f>
        <v>0</v>
      </c>
      <c r="Q127" s="3725"/>
      <c r="S127" s="3646">
        <f>SUM(S122:S126)</f>
        <v>0</v>
      </c>
      <c r="T127" s="3725"/>
      <c r="V127" s="1084">
        <f>SUM(V122:V126)</f>
        <v>0</v>
      </c>
      <c r="W127" s="3659"/>
      <c r="X127" s="3660"/>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33000</v>
      </c>
      <c r="AF127" s="3680"/>
      <c r="AG127" s="3680"/>
      <c r="AH127" s="3802"/>
      <c r="AI127" s="3803"/>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34">
        <v>15000</v>
      </c>
      <c r="H129" s="3535"/>
      <c r="J129" s="381"/>
      <c r="K129" s="381"/>
      <c r="L129" s="381"/>
      <c r="M129" s="381"/>
      <c r="N129" s="381"/>
      <c r="P129" s="381"/>
      <c r="Q129" s="381"/>
      <c r="S129" s="3534">
        <v>15000</v>
      </c>
      <c r="T129" s="3535"/>
      <c r="V129" s="1082"/>
      <c r="W129" s="3650"/>
      <c r="X129" s="3651"/>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81015</v>
      </c>
      <c r="G130" s="3545">
        <v>81015</v>
      </c>
      <c r="H130" s="3546"/>
      <c r="J130" s="971" t="str">
        <f>IF(E130&gt;G130,"WARNING! Rent-Up Reserves proposed is below minimum - add comment.","")</f>
        <v/>
      </c>
      <c r="K130" s="971"/>
      <c r="L130" s="1050"/>
      <c r="M130" s="951"/>
      <c r="N130" s="951"/>
      <c r="O130" s="1041"/>
      <c r="P130" s="951"/>
      <c r="Q130" s="951"/>
      <c r="R130" s="1041"/>
      <c r="S130" s="3545">
        <v>81015</v>
      </c>
      <c r="T130" s="3546"/>
      <c r="V130" s="1082"/>
      <c r="W130" s="3650"/>
      <c r="X130" s="3651"/>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354551.55164700618</v>
      </c>
      <c r="G131" s="3545">
        <v>354552</v>
      </c>
      <c r="H131" s="3546"/>
      <c r="J131" s="971" t="str">
        <f>IF(E131&gt;G131,"WARNING! ODR proposed is below minimum - add comment.","")</f>
        <v/>
      </c>
      <c r="K131" s="380"/>
      <c r="L131" s="380"/>
      <c r="M131" s="380"/>
      <c r="N131" s="380"/>
      <c r="O131" s="1041"/>
      <c r="P131" s="380"/>
      <c r="Q131" s="380"/>
      <c r="R131" s="1041"/>
      <c r="S131" s="3545">
        <v>354552</v>
      </c>
      <c r="T131" s="3546"/>
      <c r="V131" s="1082"/>
      <c r="W131" s="3650"/>
      <c r="X131" s="3651"/>
      <c r="Y131" s="27"/>
      <c r="Z131" s="1653"/>
      <c r="AB131" s="1632"/>
      <c r="AD131"/>
      <c r="AG131"/>
      <c r="AH131"/>
      <c r="AI131"/>
      <c r="AZ131" s="2661"/>
      <c r="BA131" s="2246">
        <v>131</v>
      </c>
    </row>
    <row r="132" spans="1:53" s="315" customFormat="1" ht="12.6" customHeight="1">
      <c r="B132" s="315" t="s">
        <v>1171</v>
      </c>
      <c r="G132" s="3545"/>
      <c r="H132" s="3546"/>
      <c r="J132" s="381"/>
      <c r="K132" s="381"/>
      <c r="L132" s="381"/>
      <c r="M132" s="381"/>
      <c r="N132" s="381"/>
      <c r="P132" s="381"/>
      <c r="Q132" s="381"/>
      <c r="S132" s="3545"/>
      <c r="T132" s="3546"/>
      <c r="V132" s="1082"/>
      <c r="W132" s="3650"/>
      <c r="X132" s="3651"/>
      <c r="AZ132" s="2661" t="s">
        <v>6399</v>
      </c>
      <c r="BA132" s="2246">
        <v>132</v>
      </c>
    </row>
    <row r="133" spans="1:53" s="315" customFormat="1" ht="12.6" customHeight="1">
      <c r="B133" s="315" t="s">
        <v>1172</v>
      </c>
      <c r="E133" s="840" t="s">
        <v>3140</v>
      </c>
      <c r="F133" s="477">
        <f>IF('Part V-Revenues &amp; Expenses'!$P$67=0,0,G133/'Part V-Revenues &amp; Expenses'!$P$67)</f>
        <v>208.33333333333334</v>
      </c>
      <c r="G133" s="3545">
        <v>15000</v>
      </c>
      <c r="H133" s="3546"/>
      <c r="J133" s="3534">
        <v>15000</v>
      </c>
      <c r="K133" s="3535"/>
      <c r="L133" s="1050"/>
      <c r="M133" s="3534"/>
      <c r="N133" s="3535"/>
      <c r="P133" s="3534"/>
      <c r="Q133" s="3535"/>
      <c r="S133" s="3545"/>
      <c r="T133" s="3546"/>
      <c r="V133" s="1082"/>
      <c r="W133" s="3650"/>
      <c r="X133" s="3651"/>
      <c r="AZ133" s="2661" t="s">
        <v>6400</v>
      </c>
      <c r="BA133" s="2246">
        <v>133</v>
      </c>
    </row>
    <row r="134" spans="1:53" s="315" customFormat="1" ht="12.6" customHeight="1" thickBot="1">
      <c r="A134" s="396" t="str">
        <f>IF(AND(G134&gt;0,OR(C134="",C134="&lt;Enter detailed description here; use Comments section if needed&gt;")),"X","")</f>
        <v/>
      </c>
      <c r="B134" s="185" t="s">
        <v>6283</v>
      </c>
      <c r="C134" s="3686" t="s">
        <v>7019</v>
      </c>
      <c r="D134" s="3686"/>
      <c r="E134" s="3686"/>
      <c r="F134" s="3687"/>
      <c r="G134" s="3493">
        <v>5008</v>
      </c>
      <c r="H134" s="3494"/>
      <c r="J134" s="3648">
        <v>5008</v>
      </c>
      <c r="K134" s="3649"/>
      <c r="L134" s="1050"/>
      <c r="M134" s="3493"/>
      <c r="N134" s="3494"/>
      <c r="P134" s="3493"/>
      <c r="Q134" s="3494"/>
      <c r="S134" s="3493"/>
      <c r="T134" s="3494"/>
      <c r="U134" s="395" t="str">
        <f>IF(AND(G134&gt;0,OR(C134="",C134="&lt;Enter detailed description here; use Comments section if needed&gt;")),"NO DESCRIPTION PROVIDED - please enter detailed description in Other box at left; use Comments section below if needed.","")</f>
        <v/>
      </c>
      <c r="V134" s="1082"/>
      <c r="W134" s="3657"/>
      <c r="X134" s="3658"/>
      <c r="AZ134" s="2661"/>
      <c r="BA134" s="2246">
        <v>134</v>
      </c>
    </row>
    <row r="135" spans="1:53" s="315" customFormat="1" ht="12.6" customHeight="1" thickTop="1">
      <c r="B135" s="382"/>
      <c r="F135" s="371" t="s">
        <v>184</v>
      </c>
      <c r="G135" s="3646">
        <f>SUM(G129:G134)</f>
        <v>470575</v>
      </c>
      <c r="H135" s="3647"/>
      <c r="J135" s="3646">
        <f>SUM(J133:J134)</f>
        <v>20008</v>
      </c>
      <c r="K135" s="3647"/>
      <c r="L135" s="1050"/>
      <c r="M135" s="3646">
        <f>SUM(M133:M134)</f>
        <v>0</v>
      </c>
      <c r="N135" s="3647"/>
      <c r="P135" s="3646">
        <f>SUM(P133:P134)</f>
        <v>0</v>
      </c>
      <c r="Q135" s="3647"/>
      <c r="S135" s="3646">
        <f>SUM(S129:S134)</f>
        <v>450567</v>
      </c>
      <c r="T135" s="3647"/>
      <c r="V135" s="1084">
        <f>SUM(V129:V134)</f>
        <v>0</v>
      </c>
      <c r="W135" s="3659"/>
      <c r="X135" s="3660"/>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6" t="s">
        <v>259</v>
      </c>
      <c r="K139" s="3667"/>
      <c r="L139" s="370"/>
      <c r="M139" s="3672" t="s">
        <v>460</v>
      </c>
      <c r="N139" s="3673"/>
      <c r="P139" s="3666" t="s">
        <v>260</v>
      </c>
      <c r="Q139" s="3667"/>
      <c r="S139" s="3666" t="s">
        <v>261</v>
      </c>
      <c r="T139" s="3667"/>
      <c r="V139" s="450" t="str">
        <f>B139</f>
        <v>DEVELOPMENT BUDGET  (cont'd)</v>
      </c>
      <c r="AZ139" s="2661"/>
      <c r="BA139" s="2246">
        <v>139</v>
      </c>
    </row>
    <row r="140" spans="1:53" s="315" customFormat="1" ht="18" customHeight="1" thickBot="1">
      <c r="G140" s="3652" t="s">
        <v>95</v>
      </c>
      <c r="H140" s="3653"/>
      <c r="J140" s="3668"/>
      <c r="K140" s="3669"/>
      <c r="L140" s="370"/>
      <c r="M140" s="3674"/>
      <c r="N140" s="3675"/>
      <c r="P140" s="3668"/>
      <c r="Q140" s="3669"/>
      <c r="S140" s="3668"/>
      <c r="T140" s="3669"/>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4"/>
      <c r="H142" s="3535"/>
      <c r="J142" s="3534"/>
      <c r="K142" s="3535"/>
      <c r="L142" s="372"/>
      <c r="M142" s="3534"/>
      <c r="N142" s="3535"/>
      <c r="P142" s="3534"/>
      <c r="Q142" s="3535"/>
      <c r="S142" s="3534"/>
      <c r="T142" s="3535"/>
      <c r="V142" s="1082"/>
      <c r="W142" s="3650"/>
      <c r="X142" s="3651"/>
      <c r="AZ142" s="2661"/>
      <c r="BA142" s="2246">
        <v>142</v>
      </c>
    </row>
    <row r="143" spans="1:53" s="315" customFormat="1" ht="12.6" customHeight="1" thickBot="1">
      <c r="A143" s="396" t="str">
        <f>IF(AND(G143&gt;0,OR(C143="",C143="&lt;Enter detailed description here; use Comments section if needed&gt;")),"X","")</f>
        <v/>
      </c>
      <c r="B143" s="185" t="s">
        <v>6283</v>
      </c>
      <c r="C143" s="3686" t="s">
        <v>6728</v>
      </c>
      <c r="D143" s="3686"/>
      <c r="E143" s="3686"/>
      <c r="F143" s="3687"/>
      <c r="G143" s="3493"/>
      <c r="H143" s="3494"/>
      <c r="J143" s="3493"/>
      <c r="K143" s="3494"/>
      <c r="L143" s="1050"/>
      <c r="M143" s="3493"/>
      <c r="N143" s="3494"/>
      <c r="P143" s="3493"/>
      <c r="Q143" s="3494"/>
      <c r="S143" s="3493"/>
      <c r="T143" s="3494"/>
      <c r="U143" s="395" t="str">
        <f>IF(AND(G143&gt;0,OR(C143="",C143="&lt;Enter detailed description here; use Comments section if needed&gt;")),"NO DESCRIPTION PROVIDED - please enter detailed description in Other box at left; use Comments section below if needed.","")</f>
        <v/>
      </c>
      <c r="V143" s="1082"/>
      <c r="W143" s="3657"/>
      <c r="X143" s="3658"/>
      <c r="AZ143" s="2661"/>
      <c r="BA143" s="2246">
        <v>143</v>
      </c>
    </row>
    <row r="144" spans="1:53" s="315" customFormat="1" ht="12.6" customHeight="1" thickTop="1">
      <c r="C144" s="1034"/>
      <c r="F144" s="371" t="s">
        <v>184</v>
      </c>
      <c r="G144" s="3646">
        <f>SUM(G142:G143)</f>
        <v>0</v>
      </c>
      <c r="H144" s="3647"/>
      <c r="J144" s="3646">
        <f>SUM(J142:J143)</f>
        <v>0</v>
      </c>
      <c r="K144" s="3647"/>
      <c r="L144" s="1050"/>
      <c r="M144" s="3646">
        <f>SUM(M142:M143)</f>
        <v>0</v>
      </c>
      <c r="N144" s="3647"/>
      <c r="P144" s="3646">
        <f>SUM(P142:P143)</f>
        <v>0</v>
      </c>
      <c r="Q144" s="3647"/>
      <c r="S144" s="3646">
        <f>SUM(S142:S143)</f>
        <v>0</v>
      </c>
      <c r="T144" s="3647"/>
      <c r="V144" s="1084">
        <f>SUM(V142:V143)</f>
        <v>0</v>
      </c>
      <c r="W144" s="3659"/>
      <c r="X144" s="3660"/>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6497</v>
      </c>
      <c r="E146" s="840"/>
      <c r="F146" s="1657"/>
      <c r="G146" s="3795">
        <f>G18+G24+G28+G36+G41+G46+G55+G73+G86+G92+G103+G114+G120+G127+G135+G144</f>
        <v>18498933</v>
      </c>
      <c r="H146" s="3796"/>
      <c r="J146" s="3795">
        <f>J18+J24+J28+J36+J41+J46+J55+J73+J86+J92+J103+J114+J120+J127+J135+J144</f>
        <v>15330874</v>
      </c>
      <c r="K146" s="3796"/>
      <c r="M146" s="3795">
        <f>M18+M24+M28+M36+M41+M46+M55+M73+M86+M92+M103+M114+M120+M127+M135+M144</f>
        <v>0</v>
      </c>
      <c r="N146" s="3796"/>
      <c r="P146" s="3795">
        <f>P18+P24+P28+P36+P41+P46+P55+P73+P86+P92+P103+P114+P120+P127+P135+P144</f>
        <v>0</v>
      </c>
      <c r="Q146" s="3796"/>
      <c r="S146" s="3795">
        <f>S18+S24+S28+S36+S41+S46+S55+S73+S86+S92+S103+S114+S120+S127+S135+S144</f>
        <v>3168067</v>
      </c>
      <c r="T146" s="3796"/>
      <c r="V146" s="1088">
        <f>V18+V24+V28+V36+V41+V46+V55+V73+V86+V92+V103+V114+V120+V127+V135+V144</f>
        <v>0</v>
      </c>
      <c r="W146" s="3776"/>
      <c r="X146" s="3660"/>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2">
        <f>IF('Part V-Revenues &amp; Expenses'!$P$67=0,0,G146/'Part V-Revenues &amp; Expenses'!$P$67)</f>
        <v>256929.625</v>
      </c>
      <c r="E148" s="3792"/>
      <c r="F148" s="513" t="s">
        <v>2489</v>
      </c>
      <c r="G148" s="3793">
        <f>IF('Part V-Revenues &amp; Expenses'!$K$175=0,0,G146/'Part V-Revenues &amp; Expenses'!$K$175)</f>
        <v>228.10028360049321</v>
      </c>
      <c r="H148" s="379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6" t="s">
        <v>259</v>
      </c>
      <c r="K150" s="3667"/>
      <c r="M150" s="3666" t="s">
        <v>94</v>
      </c>
      <c r="N150" s="3667"/>
      <c r="P150" s="3666" t="s">
        <v>260</v>
      </c>
      <c r="Q150" s="3667"/>
      <c r="V150" s="1085"/>
      <c r="W150" s="450" t="str">
        <f>B150</f>
        <v>TAX CREDIT CALCULATION - BASIS METHOD</v>
      </c>
      <c r="AZ150" s="2661"/>
      <c r="BA150" s="2246">
        <v>150</v>
      </c>
    </row>
    <row r="151" spans="1:53" s="315" customFormat="1" ht="15" customHeight="1" thickBot="1">
      <c r="B151" s="321" t="s">
        <v>1895</v>
      </c>
      <c r="D151" s="1050"/>
      <c r="E151" s="1050"/>
      <c r="I151" s="385"/>
      <c r="J151" s="3668"/>
      <c r="K151" s="3669"/>
      <c r="L151" s="862"/>
      <c r="M151" s="3668"/>
      <c r="N151" s="3669"/>
      <c r="P151" s="3668"/>
      <c r="Q151" s="3669"/>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10"/>
      <c r="K153" s="3811"/>
      <c r="P153" s="3810"/>
      <c r="Q153" s="3811"/>
      <c r="V153" s="1082"/>
      <c r="W153" s="3650"/>
      <c r="X153" s="3651"/>
      <c r="AZ153" s="2661"/>
      <c r="BA153" s="2246">
        <v>153</v>
      </c>
    </row>
    <row r="154" spans="1:53" s="315" customFormat="1" ht="14.1" customHeight="1">
      <c r="B154" s="1041" t="s">
        <v>1999</v>
      </c>
      <c r="D154" s="1041"/>
      <c r="E154" s="1041"/>
      <c r="F154" s="1041"/>
      <c r="G154" s="1041"/>
      <c r="H154" s="1041"/>
      <c r="I154" s="385"/>
      <c r="J154" s="3812"/>
      <c r="K154" s="3813"/>
      <c r="P154" s="3812"/>
      <c r="Q154" s="3813"/>
      <c r="V154" s="1082"/>
      <c r="W154" s="3650"/>
      <c r="X154" s="3651"/>
      <c r="AZ154" s="2661"/>
      <c r="BA154" s="2246">
        <v>154</v>
      </c>
    </row>
    <row r="155" spans="1:53" s="315" customFormat="1" ht="14.1" customHeight="1">
      <c r="B155" s="1041" t="s">
        <v>1727</v>
      </c>
      <c r="D155" s="1041"/>
      <c r="E155" s="1041"/>
      <c r="I155" s="385"/>
      <c r="J155" s="3812"/>
      <c r="K155" s="3813"/>
      <c r="P155" s="3812"/>
      <c r="Q155" s="3813"/>
      <c r="V155" s="1082"/>
      <c r="W155" s="3650"/>
      <c r="X155" s="3651"/>
      <c r="AZ155" s="2661"/>
      <c r="BA155" s="2246">
        <v>155</v>
      </c>
    </row>
    <row r="156" spans="1:53" s="315" customFormat="1" ht="14.1" customHeight="1">
      <c r="B156" s="1041" t="s">
        <v>1728</v>
      </c>
      <c r="D156" s="1041"/>
      <c r="E156" s="1041"/>
      <c r="I156" s="385"/>
      <c r="J156" s="3812"/>
      <c r="K156" s="3813"/>
      <c r="P156" s="3812"/>
      <c r="Q156" s="3813"/>
      <c r="V156" s="1082"/>
      <c r="W156" s="3650"/>
      <c r="X156" s="3651"/>
      <c r="AZ156" s="2661"/>
      <c r="BA156" s="2246">
        <v>156</v>
      </c>
    </row>
    <row r="157" spans="1:53" s="315" customFormat="1" ht="14.1" customHeight="1">
      <c r="B157" s="1041" t="s">
        <v>243</v>
      </c>
      <c r="D157" s="1041"/>
      <c r="E157" s="1041"/>
      <c r="I157" s="385"/>
      <c r="J157" s="3812"/>
      <c r="K157" s="3813"/>
      <c r="P157" s="3812"/>
      <c r="Q157" s="3813"/>
      <c r="V157" s="1082"/>
      <c r="W157" s="3650"/>
      <c r="X157" s="3651"/>
      <c r="AZ157" s="2661"/>
      <c r="BA157" s="2246">
        <v>157</v>
      </c>
    </row>
    <row r="158" spans="1:53" s="315" customFormat="1" ht="14.1" customHeight="1" thickBot="1">
      <c r="B158" s="1041" t="s">
        <v>1497</v>
      </c>
      <c r="C158" s="3804" t="s">
        <v>2225</v>
      </c>
      <c r="D158" s="3804"/>
      <c r="E158" s="3804"/>
      <c r="F158" s="3804"/>
      <c r="G158" s="3804"/>
      <c r="H158" s="3804"/>
      <c r="I158" s="3805"/>
      <c r="J158" s="3726"/>
      <c r="K158" s="3727"/>
      <c r="P158" s="3726"/>
      <c r="Q158" s="3727"/>
      <c r="V158" s="1082"/>
      <c r="W158" s="3657"/>
      <c r="X158" s="3658"/>
      <c r="AZ158" s="2661"/>
      <c r="BA158" s="2246">
        <v>158</v>
      </c>
    </row>
    <row r="159" spans="1:53" s="315" customFormat="1" ht="14.1" customHeight="1" thickBot="1">
      <c r="B159" s="326" t="s">
        <v>1729</v>
      </c>
      <c r="C159" s="329"/>
      <c r="J159" s="3619">
        <f>SUM(J153:K158)</f>
        <v>0</v>
      </c>
      <c r="K159" s="3620"/>
      <c r="P159" s="3619">
        <f>SUM(P153:Q158)</f>
        <v>0</v>
      </c>
      <c r="Q159" s="3620"/>
      <c r="V159" s="1084">
        <f>SUM(V153:V158)</f>
        <v>0</v>
      </c>
      <c r="W159" s="3659"/>
      <c r="X159" s="3660"/>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2">
        <f>J146</f>
        <v>15330874</v>
      </c>
      <c r="K162" s="3643"/>
      <c r="M162" s="3644">
        <f>M146</f>
        <v>0</v>
      </c>
      <c r="N162" s="3645"/>
      <c r="P162" s="3642">
        <f>P146</f>
        <v>0</v>
      </c>
      <c r="Q162" s="3643"/>
      <c r="R162" s="3778" t="s">
        <v>3776</v>
      </c>
      <c r="S162" s="3744"/>
      <c r="T162" s="3744"/>
      <c r="V162" s="1082"/>
      <c r="W162" s="3650"/>
      <c r="X162" s="3651"/>
      <c r="AZ162" s="2661"/>
      <c r="BA162" s="2246">
        <v>162</v>
      </c>
    </row>
    <row r="163" spans="1:53" s="315" customFormat="1" ht="14.1" customHeight="1">
      <c r="B163" s="315" t="s">
        <v>2053</v>
      </c>
      <c r="J163" s="3663">
        <f>J159</f>
        <v>0</v>
      </c>
      <c r="K163" s="3664"/>
      <c r="M163" s="3665"/>
      <c r="N163" s="3665"/>
      <c r="P163" s="3663">
        <f>P159</f>
        <v>0</v>
      </c>
      <c r="Q163" s="3664"/>
      <c r="R163" s="3778"/>
      <c r="S163" s="3744"/>
      <c r="T163" s="3744"/>
      <c r="U163" s="1476"/>
      <c r="V163" s="1082"/>
      <c r="W163" s="3650"/>
      <c r="X163" s="3651"/>
      <c r="AZ163" s="2661"/>
      <c r="BA163" s="2246">
        <v>163</v>
      </c>
    </row>
    <row r="164" spans="1:53" s="315" customFormat="1" ht="14.1" customHeight="1">
      <c r="B164" s="315" t="s">
        <v>2054</v>
      </c>
      <c r="J164" s="3663">
        <f>J162-J163</f>
        <v>15330874</v>
      </c>
      <c r="K164" s="3664"/>
      <c r="M164" s="3661">
        <f>M162</f>
        <v>0</v>
      </c>
      <c r="N164" s="3662"/>
      <c r="P164" s="3663">
        <f>P162-P163</f>
        <v>0</v>
      </c>
      <c r="Q164" s="3664"/>
      <c r="R164" s="3778"/>
      <c r="S164" s="3744"/>
      <c r="T164" s="3744"/>
      <c r="U164" s="1476"/>
      <c r="V164" s="1082"/>
      <c r="W164" s="3650"/>
      <c r="X164" s="3651"/>
      <c r="AZ164" s="2661"/>
      <c r="BA164" s="2246">
        <v>164</v>
      </c>
    </row>
    <row r="165" spans="1:53" s="315" customFormat="1" ht="14.1" customHeight="1">
      <c r="B165" s="315" t="s">
        <v>1391</v>
      </c>
      <c r="G165" s="1036" t="s">
        <v>1594</v>
      </c>
      <c r="H165" s="3728" t="s">
        <v>1647</v>
      </c>
      <c r="I165" s="3729"/>
      <c r="J165" s="3730">
        <v>1</v>
      </c>
      <c r="K165" s="3731"/>
      <c r="M165" s="3732"/>
      <c r="N165" s="3732"/>
      <c r="P165" s="3730"/>
      <c r="Q165" s="3731"/>
      <c r="R165" s="3779" t="s">
        <v>3207</v>
      </c>
      <c r="S165" s="3780"/>
      <c r="T165" s="3781"/>
      <c r="U165" s="1477"/>
      <c r="V165" s="1082"/>
      <c r="W165" s="3650"/>
      <c r="X165" s="3651"/>
      <c r="AZ165" s="2661"/>
      <c r="BA165" s="2246">
        <v>165</v>
      </c>
    </row>
    <row r="166" spans="1:53" s="315" customFormat="1" ht="14.1" customHeight="1">
      <c r="B166" s="315" t="s">
        <v>1904</v>
      </c>
      <c r="J166" s="3663">
        <f>J164*J165</f>
        <v>15330874</v>
      </c>
      <c r="K166" s="3664"/>
      <c r="M166" s="3642">
        <f>+M164</f>
        <v>0</v>
      </c>
      <c r="N166" s="3643"/>
      <c r="P166" s="3663">
        <f>P164*P165</f>
        <v>0</v>
      </c>
      <c r="Q166" s="3664"/>
      <c r="R166" s="3782"/>
      <c r="S166" s="3783"/>
      <c r="T166" s="3784"/>
      <c r="U166" s="1477"/>
      <c r="V166" s="1082"/>
      <c r="W166" s="3650"/>
      <c r="X166" s="3651"/>
      <c r="AZ166" s="2661"/>
      <c r="BA166" s="2246">
        <v>166</v>
      </c>
    </row>
    <row r="167" spans="1:53" s="315" customFormat="1" ht="14.1" customHeight="1">
      <c r="B167" s="315" t="s">
        <v>2340</v>
      </c>
      <c r="J167" s="3733">
        <f>MIN('Part V-Revenues &amp; Expenses'!$P$63/'Part V-Revenues &amp; Expenses'!$P$65,'Part V-Revenues &amp; Expenses'!$P$164/'Part V-Revenues &amp; Expenses'!$P$166)</f>
        <v>0.88888888888888884</v>
      </c>
      <c r="K167" s="3734"/>
      <c r="M167" s="3733">
        <f>MIN('Part V-Revenues &amp; Expenses'!$P$63/'Part V-Revenues &amp; Expenses'!$P$65,'Part V-Revenues &amp; Expenses'!$P$164/'Part V-Revenues &amp; Expenses'!$P$166)</f>
        <v>0.88888888888888884</v>
      </c>
      <c r="N167" s="3734"/>
      <c r="P167" s="3733">
        <f>MIN('Part V-Revenues &amp; Expenses'!$P$63/'Part V-Revenues &amp; Expenses'!$P$65,'Part V-Revenues &amp; Expenses'!$P$164/'Part V-Revenues &amp; Expenses'!$P$166)</f>
        <v>0.88888888888888884</v>
      </c>
      <c r="Q167" s="3734"/>
      <c r="R167" s="3785"/>
      <c r="S167" s="3786"/>
      <c r="T167" s="3787"/>
      <c r="V167" s="1082"/>
      <c r="W167" s="3650"/>
      <c r="X167" s="3651"/>
      <c r="AZ167" s="2661"/>
      <c r="BA167" s="2246">
        <v>167</v>
      </c>
    </row>
    <row r="168" spans="1:53" s="315" customFormat="1" ht="14.1" customHeight="1">
      <c r="B168" s="315" t="s">
        <v>1896</v>
      </c>
      <c r="J168" s="3663">
        <f>J166*J167</f>
        <v>13627443.555555554</v>
      </c>
      <c r="K168" s="3664"/>
      <c r="M168" s="3663">
        <f>M166*M167</f>
        <v>0</v>
      </c>
      <c r="N168" s="3664"/>
      <c r="P168" s="3663">
        <f>P166*P167</f>
        <v>0</v>
      </c>
      <c r="Q168" s="3664"/>
      <c r="V168" s="1082"/>
      <c r="W168" s="3650"/>
      <c r="X168" s="3651"/>
      <c r="AZ168" s="2661"/>
      <c r="BA168" s="2246">
        <v>168</v>
      </c>
    </row>
    <row r="169" spans="1:53" s="315" customFormat="1" ht="14.1" customHeight="1">
      <c r="B169" s="315" t="s">
        <v>1897</v>
      </c>
      <c r="J169" s="3730">
        <v>0.09</v>
      </c>
      <c r="K169" s="3731"/>
      <c r="M169" s="3730"/>
      <c r="N169" s="3731"/>
      <c r="P169" s="3730"/>
      <c r="Q169" s="3731"/>
      <c r="V169" s="1082"/>
      <c r="W169" s="3650"/>
      <c r="X169" s="3651"/>
      <c r="AZ169" s="2661"/>
      <c r="BA169" s="2246">
        <v>169</v>
      </c>
    </row>
    <row r="170" spans="1:53" s="315" customFormat="1" ht="14.1" customHeight="1" thickBot="1">
      <c r="B170" s="315" t="s">
        <v>2341</v>
      </c>
      <c r="J170" s="3735">
        <f>J168*J169</f>
        <v>1226469.92</v>
      </c>
      <c r="K170" s="3736"/>
      <c r="M170" s="3735">
        <f>M168*M169</f>
        <v>0</v>
      </c>
      <c r="N170" s="3736"/>
      <c r="P170" s="3735">
        <f>P168*P169</f>
        <v>0</v>
      </c>
      <c r="Q170" s="3736"/>
      <c r="V170" s="1089"/>
      <c r="W170" s="3657"/>
      <c r="X170" s="3658"/>
      <c r="AZ170" s="2661"/>
      <c r="BA170" s="2246">
        <v>170</v>
      </c>
    </row>
    <row r="171" spans="1:53" s="315" customFormat="1" ht="14.1" customHeight="1" thickBot="1">
      <c r="B171" s="317" t="s">
        <v>1340</v>
      </c>
      <c r="J171" s="3619">
        <f>ROUNDDOWN(J170+M170+P170,0)</f>
        <v>1226469</v>
      </c>
      <c r="K171" s="3737"/>
      <c r="L171" s="3737"/>
      <c r="M171" s="3737"/>
      <c r="N171" s="3737"/>
      <c r="O171" s="3737"/>
      <c r="P171" s="3737"/>
      <c r="Q171" s="3620"/>
      <c r="V171" s="1084"/>
      <c r="W171" s="3774"/>
      <c r="X171" s="3775"/>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8"/>
      <c r="P174" s="3738"/>
      <c r="Q174" s="3738"/>
      <c r="R174" s="3738"/>
      <c r="S174" s="3738"/>
      <c r="T174" s="3738"/>
      <c r="U174" s="3738"/>
      <c r="V174" s="3738"/>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2">
        <f>G146</f>
        <v>18498933</v>
      </c>
      <c r="K176" s="3761"/>
      <c r="L176" s="3643"/>
      <c r="N176" s="3740" t="s">
        <v>6723</v>
      </c>
      <c r="O176" s="3741"/>
      <c r="P176" s="3741"/>
      <c r="Q176" s="3742"/>
      <c r="S176" s="3757" t="s">
        <v>3190</v>
      </c>
      <c r="T176" s="3758"/>
      <c r="V176" s="1082"/>
      <c r="W176" s="3650"/>
      <c r="X176" s="3651"/>
      <c r="AZ176" s="2661"/>
      <c r="BA176" s="2246">
        <v>176</v>
      </c>
    </row>
    <row r="177" spans="1:53" s="315" customFormat="1" ht="14.1" customHeight="1">
      <c r="B177" s="315" t="s">
        <v>252</v>
      </c>
      <c r="J177" s="3663">
        <f>'Part II-Sources of Funds'!$I$60-'Part II-Sources of Funds'!$I$44-'Part II-Sources of Funds'!$I$45-'Part II-Sources of Funds'!$I$51-'Part II-Sources of Funds'!$I$52</f>
        <v>6100000</v>
      </c>
      <c r="K177" s="3762"/>
      <c r="L177" s="3664"/>
      <c r="M177" s="2663"/>
      <c r="N177" s="3743"/>
      <c r="O177" s="3744"/>
      <c r="P177" s="3744"/>
      <c r="Q177" s="3745"/>
      <c r="S177" s="3759"/>
      <c r="T177" s="3760"/>
      <c r="V177" s="1082"/>
      <c r="W177" s="3650"/>
      <c r="X177" s="3651"/>
      <c r="AZ177" s="2661"/>
      <c r="BA177" s="2246">
        <v>177</v>
      </c>
    </row>
    <row r="178" spans="1:53" s="315" customFormat="1" ht="14.1" customHeight="1">
      <c r="B178" s="315" t="s">
        <v>2065</v>
      </c>
      <c r="J178" s="3763">
        <f>+J176-J177</f>
        <v>12398933</v>
      </c>
      <c r="K178" s="3764"/>
      <c r="L178" s="3765"/>
      <c r="M178" s="2663"/>
      <c r="N178" s="3746"/>
      <c r="O178" s="3747"/>
      <c r="P178" s="3747"/>
      <c r="Q178" s="3748"/>
      <c r="S178" s="3759"/>
      <c r="T178" s="3760"/>
      <c r="V178" s="1082"/>
      <c r="W178" s="3650"/>
      <c r="X178" s="3651"/>
      <c r="AZ178" s="2661"/>
      <c r="BA178" s="2246">
        <v>178</v>
      </c>
    </row>
    <row r="179" spans="1:53" s="315" customFormat="1" ht="14.1" customHeight="1" thickBot="1">
      <c r="B179" s="315" t="s">
        <v>1210</v>
      </c>
      <c r="J179" s="3606" t="str">
        <f>"/ 10"</f>
        <v>/ 10</v>
      </c>
      <c r="K179" s="3606"/>
      <c r="L179" s="3606"/>
      <c r="M179" s="1070"/>
      <c r="N179" s="3766">
        <f>'Part II-Sources of Funds'!$I$44</f>
        <v>0</v>
      </c>
      <c r="O179" s="3767"/>
      <c r="P179" s="3767"/>
      <c r="Q179" s="3768"/>
      <c r="S179" s="432" t="s">
        <v>1549</v>
      </c>
      <c r="T179" s="433"/>
      <c r="V179" s="1082"/>
      <c r="W179" s="3650"/>
      <c r="X179" s="3651"/>
      <c r="AZ179" s="2661"/>
      <c r="BA179" s="2246">
        <v>179</v>
      </c>
    </row>
    <row r="180" spans="1:53" s="315" customFormat="1" ht="14.1" customHeight="1">
      <c r="B180" s="315" t="s">
        <v>1211</v>
      </c>
      <c r="J180" s="3661">
        <f>J178/10</f>
        <v>1239893.3</v>
      </c>
      <c r="K180" s="3665"/>
      <c r="L180" s="3662"/>
      <c r="M180" s="2615"/>
      <c r="N180" s="487"/>
      <c r="O180" s="487"/>
      <c r="P180" s="487"/>
      <c r="Q180" s="487"/>
      <c r="R180" s="487"/>
      <c r="V180" s="1082"/>
      <c r="W180" s="3650"/>
      <c r="X180" s="3651"/>
      <c r="AZ180" s="2661"/>
      <c r="BA180" s="2246">
        <v>180</v>
      </c>
    </row>
    <row r="181" spans="1:53" s="315" customFormat="1" ht="14.1" customHeight="1">
      <c r="M181" s="332"/>
      <c r="N181" s="3489" t="s">
        <v>1212</v>
      </c>
      <c r="O181" s="3489"/>
      <c r="Q181" s="3489" t="s">
        <v>1672</v>
      </c>
      <c r="R181" s="3489"/>
      <c r="V181" s="1082"/>
      <c r="W181" s="3650"/>
      <c r="X181" s="3651"/>
      <c r="Z181" s="2401" t="s">
        <v>1647</v>
      </c>
      <c r="AZ181" s="2661"/>
      <c r="BA181" s="2246">
        <v>181</v>
      </c>
    </row>
    <row r="182" spans="1:53" s="315" customFormat="1" ht="14.1" customHeight="1" thickBot="1">
      <c r="B182" s="315" t="s">
        <v>1390</v>
      </c>
      <c r="J182" s="3749">
        <f>N182+Q182</f>
        <v>1.4</v>
      </c>
      <c r="K182" s="3750"/>
      <c r="L182" s="3751"/>
      <c r="M182" s="1036" t="s">
        <v>1213</v>
      </c>
      <c r="N182" s="3752">
        <v>0.85</v>
      </c>
      <c r="O182" s="3753"/>
      <c r="P182" s="1036" t="s">
        <v>570</v>
      </c>
      <c r="Q182" s="3752">
        <v>0.55000000000000004</v>
      </c>
      <c r="R182" s="3753"/>
      <c r="V182" s="1082"/>
      <c r="W182" s="3650"/>
      <c r="X182" s="3651"/>
      <c r="Z182" s="2402">
        <f>'DCA Underwriting Assumptions'!Q113</f>
        <v>1035000</v>
      </c>
      <c r="AZ182" s="2661"/>
      <c r="BA182" s="2246">
        <v>182</v>
      </c>
    </row>
    <row r="183" spans="1:53" s="315" customFormat="1" ht="14.1" customHeight="1" thickBot="1">
      <c r="B183" s="317" t="s">
        <v>1341</v>
      </c>
      <c r="J183" s="3619">
        <f>ROUNDDOWN(IF(J182=0,"",J180/J182),0)</f>
        <v>885638</v>
      </c>
      <c r="K183" s="3737"/>
      <c r="L183" s="3620"/>
      <c r="M183" s="332"/>
      <c r="N183" s="1041"/>
      <c r="O183" s="1041"/>
      <c r="V183" s="1082"/>
      <c r="W183" s="3650"/>
      <c r="X183" s="3651"/>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54">
        <v>830000</v>
      </c>
      <c r="K187" s="3755"/>
      <c r="L187" s="3756"/>
      <c r="Q187" s="2172" t="s">
        <v>6255</v>
      </c>
      <c r="R187" s="185"/>
      <c r="S187" s="3640" t="str">
        <f>'Part VIII Scoring Criteria'!$M$59</f>
        <v>Atlanta Metro</v>
      </c>
      <c r="T187" s="3641"/>
      <c r="U187" s="2111" t="str">
        <f>IF(OR(S187="Atlanta Metro", "Other Metro"), "Metro", IF(S187="Rural","Rural",""))</f>
        <v>Metro</v>
      </c>
      <c r="V187" s="1082"/>
      <c r="W187" s="3650"/>
      <c r="X187" s="3651"/>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4">
        <v>830000</v>
      </c>
      <c r="K189" s="3755"/>
      <c r="L189" s="3756"/>
      <c r="M189" s="3739" t="str">
        <f>IF(J187=0,"",IF(J189&gt;J187,"Request can't exceed Maximum - REVISE (Try Round Down)!",""))</f>
        <v/>
      </c>
      <c r="N189" s="3739"/>
      <c r="O189" s="3739"/>
      <c r="P189" s="3739"/>
      <c r="Q189" s="313" t="s">
        <v>6553</v>
      </c>
      <c r="R189" s="509"/>
      <c r="S189" s="3638" t="str">
        <f>'Part VIII Scoring Criteria'!$M$54</f>
        <v>New Supply</v>
      </c>
      <c r="T189" s="3639"/>
      <c r="V189" s="1082"/>
      <c r="W189" s="3650"/>
      <c r="X189" s="3651"/>
      <c r="AZ189" s="2660"/>
      <c r="BA189" s="2246">
        <v>189</v>
      </c>
    </row>
    <row r="190" spans="1:53" s="315" customFormat="1" ht="3" customHeight="1">
      <c r="J190" s="388"/>
      <c r="K190" s="388"/>
      <c r="L190" s="388"/>
      <c r="M190" s="3739"/>
      <c r="N190" s="3739"/>
      <c r="O190" s="3739"/>
      <c r="P190" s="3739"/>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69">
        <f>IF(J189="",0,+MIN(J187,J189))</f>
        <v>830000</v>
      </c>
      <c r="K191" s="3770"/>
      <c r="L191" s="3771"/>
      <c r="M191" s="3739"/>
      <c r="N191" s="3739"/>
      <c r="O191" s="3739"/>
      <c r="P191" s="3739"/>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50"/>
      <c r="X191" s="3651"/>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360.75" customHeight="1">
      <c r="A195" s="3609" t="s">
        <v>7042</v>
      </c>
      <c r="B195" s="3609"/>
      <c r="C195" s="3609"/>
      <c r="D195" s="3609"/>
      <c r="E195" s="3609"/>
      <c r="F195" s="3609"/>
      <c r="G195" s="3609"/>
      <c r="H195" s="3609"/>
      <c r="I195" s="3609"/>
      <c r="J195" s="3609"/>
      <c r="K195" s="3609"/>
      <c r="L195" s="3609"/>
      <c r="M195" s="3609"/>
      <c r="N195" s="3772"/>
      <c r="O195" s="3772"/>
      <c r="P195" s="3772"/>
      <c r="Q195" s="3772"/>
      <c r="R195" s="3772"/>
      <c r="S195" s="3772"/>
      <c r="T195" s="3772"/>
      <c r="V195" s="954"/>
      <c r="W195" s="3607" t="s">
        <v>2453</v>
      </c>
      <c r="X195" s="3607"/>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150" zoomScaleNormal="150" workbookViewId="0">
      <selection activeCell="H9" sqref="H9:H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4" t="str">
        <f>CONCATENATE("PART THREE (B) -  OTHER COSTS","  -  ",'Part I-Project Identification'!$O$7," - ",'Part I-Project Identification'!$F$29,"  -  ",'Part I-Project Identification'!$F$30,"  -  ",'Part I-Project Identification'!$J$30,",  ","County")</f>
        <v>PART THREE (B) -  OTHER COSTS  -  2022-0 - Gibson Park   -  College Park  -  Fulton,  County</v>
      </c>
      <c r="B1" s="3815"/>
      <c r="C1" s="3815"/>
      <c r="D1" s="3815"/>
      <c r="E1" s="3815"/>
      <c r="F1" s="3815"/>
      <c r="G1" s="3815"/>
      <c r="H1" s="3815"/>
      <c r="I1" s="923"/>
      <c r="J1" s="923"/>
      <c r="K1" s="923"/>
      <c r="L1" s="923"/>
      <c r="M1" s="923"/>
      <c r="N1" s="923"/>
    </row>
    <row r="2" spans="1:14" ht="9" customHeight="1"/>
    <row r="3" spans="1:14" ht="57" customHeight="1">
      <c r="A3" s="3816" t="s">
        <v>3217</v>
      </c>
      <c r="B3" s="3817"/>
      <c r="C3" s="3817"/>
      <c r="D3" s="3817"/>
      <c r="E3" s="3817"/>
      <c r="F3" s="3817"/>
      <c r="G3" s="3817"/>
      <c r="H3" s="3818"/>
    </row>
    <row r="4" spans="1:14" ht="6" customHeight="1"/>
    <row r="5" spans="1:14" ht="38.25" customHeight="1">
      <c r="A5" s="3819" t="s">
        <v>3278</v>
      </c>
      <c r="B5" s="3819"/>
      <c r="C5" s="3819"/>
      <c r="D5" s="3819"/>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0" t="str">
        <f>'Part III-A-Uses of Funds'!$C$15</f>
        <v xml:space="preserve">Front End Cost Review </v>
      </c>
      <c r="B9" s="3821"/>
      <c r="C9" s="3821"/>
      <c r="D9" s="3822"/>
      <c r="F9" s="3826" t="s">
        <v>7012</v>
      </c>
      <c r="G9" s="927"/>
      <c r="H9" s="3826" t="s">
        <v>7013</v>
      </c>
    </row>
    <row r="10" spans="1:14" s="926" customFormat="1" ht="41.25" customHeight="1">
      <c r="A10" s="3823"/>
      <c r="B10" s="3824"/>
      <c r="C10" s="3824"/>
      <c r="D10" s="3825"/>
      <c r="F10" s="3827"/>
      <c r="G10" s="927"/>
      <c r="H10" s="3827"/>
    </row>
    <row r="11" spans="1:14" s="926" customFormat="1" ht="4.5" customHeight="1">
      <c r="F11" s="3827"/>
      <c r="G11" s="927"/>
      <c r="H11" s="3827"/>
    </row>
    <row r="12" spans="1:14" s="926" customFormat="1" ht="15" customHeight="1">
      <c r="A12" s="936" t="s">
        <v>3212</v>
      </c>
      <c r="B12" s="935">
        <f>'Part III-A-Uses of Funds'!$G$15</f>
        <v>5500</v>
      </c>
      <c r="C12" s="936" t="s">
        <v>1666</v>
      </c>
      <c r="D12" s="935">
        <f>'Part III-A-Uses of Funds'!$J$15+'Part III-A-Uses of Funds'!$M$15+'Part III-A-Uses of Funds'!$P$15</f>
        <v>5500</v>
      </c>
      <c r="F12" s="3827"/>
      <c r="G12" s="927"/>
      <c r="H12" s="3827"/>
    </row>
    <row r="13" spans="1:14" s="926" customFormat="1" ht="6" customHeight="1">
      <c r="A13" s="927"/>
      <c r="B13" s="928"/>
      <c r="C13" s="927"/>
      <c r="D13" s="927"/>
      <c r="F13" s="3827"/>
      <c r="G13" s="929"/>
      <c r="H13" s="3827"/>
    </row>
    <row r="14" spans="1:14" s="926" customFormat="1" ht="41.25" customHeight="1">
      <c r="A14" s="3820" t="str">
        <f>'Part III-A-Uses of Funds'!$C$16</f>
        <v>DCA Construction Inspection Fee</v>
      </c>
      <c r="B14" s="3821"/>
      <c r="C14" s="3821"/>
      <c r="D14" s="3822"/>
      <c r="F14" s="3827" t="s">
        <v>7014</v>
      </c>
      <c r="G14" s="927"/>
      <c r="H14" s="3827" t="s">
        <v>7013</v>
      </c>
    </row>
    <row r="15" spans="1:14" s="926" customFormat="1" ht="41.25" customHeight="1">
      <c r="A15" s="3823"/>
      <c r="B15" s="3824"/>
      <c r="C15" s="3824"/>
      <c r="D15" s="3825"/>
      <c r="F15" s="3827"/>
      <c r="G15" s="927"/>
      <c r="H15" s="3827"/>
    </row>
    <row r="16" spans="1:14" s="926" customFormat="1" ht="4.5" customHeight="1">
      <c r="F16" s="3827"/>
      <c r="G16" s="927"/>
      <c r="H16" s="3827"/>
    </row>
    <row r="17" spans="1:8" s="926" customFormat="1" ht="15" customHeight="1">
      <c r="A17" s="936" t="s">
        <v>3212</v>
      </c>
      <c r="B17" s="935">
        <f>'Part III-A-Uses of Funds'!$G$16</f>
        <v>15600</v>
      </c>
      <c r="C17" s="936" t="s">
        <v>1666</v>
      </c>
      <c r="D17" s="935">
        <f>'Part III-A-Uses of Funds'!$J$16+'Part III-A-Uses of Funds'!$M$16+'Part III-A-Uses of Funds'!$P$16</f>
        <v>15600</v>
      </c>
      <c r="F17" s="3827"/>
      <c r="G17" s="927"/>
      <c r="H17" s="3827"/>
    </row>
    <row r="18" spans="1:8" s="926" customFormat="1" ht="6" customHeight="1">
      <c r="A18" s="927"/>
      <c r="B18" s="928"/>
      <c r="C18" s="927"/>
      <c r="D18" s="927"/>
      <c r="F18" s="3827"/>
      <c r="G18" s="929"/>
      <c r="H18" s="3827"/>
    </row>
    <row r="19" spans="1:8" s="926" customFormat="1" ht="41.25" customHeight="1">
      <c r="A19" s="3820" t="str">
        <f>'Part III-A-Uses of Funds'!$C$17</f>
        <v>&lt;&lt; Enter description here; provide detail &amp; justification in tab Part III-b &gt;&gt;</v>
      </c>
      <c r="B19" s="3821"/>
      <c r="C19" s="3821"/>
      <c r="D19" s="3822"/>
      <c r="F19" s="3827"/>
      <c r="G19" s="927"/>
      <c r="H19" s="3827"/>
    </row>
    <row r="20" spans="1:8" s="926" customFormat="1" ht="41.25" customHeight="1">
      <c r="A20" s="3823"/>
      <c r="B20" s="3824"/>
      <c r="C20" s="3824"/>
      <c r="D20" s="3825"/>
      <c r="F20" s="3827"/>
      <c r="G20" s="927"/>
      <c r="H20" s="3827"/>
    </row>
    <row r="21" spans="1:8" s="926" customFormat="1" ht="4.5" customHeight="1">
      <c r="F21" s="3827"/>
      <c r="G21" s="927"/>
      <c r="H21" s="3827"/>
    </row>
    <row r="22" spans="1:8" s="926" customFormat="1" ht="15" customHeight="1">
      <c r="A22" s="936" t="s">
        <v>3212</v>
      </c>
      <c r="B22" s="935">
        <f>'Part III-A-Uses of Funds'!$G$17</f>
        <v>0</v>
      </c>
      <c r="C22" s="936" t="s">
        <v>1666</v>
      </c>
      <c r="D22" s="935">
        <f>'Part III-A-Uses of Funds'!$J$17+'Part III-A-Uses of Funds'!$M$17+'Part III-A-Uses of Funds'!$P$17</f>
        <v>0</v>
      </c>
      <c r="F22" s="3827"/>
      <c r="G22" s="927"/>
      <c r="H22" s="3827"/>
    </row>
    <row r="23" spans="1:8" s="926" customFormat="1" ht="6" customHeight="1">
      <c r="A23" s="927"/>
      <c r="B23" s="928"/>
      <c r="C23" s="927"/>
      <c r="D23" s="927"/>
      <c r="F23" s="3828"/>
      <c r="G23" s="929"/>
      <c r="H23" s="3828"/>
    </row>
    <row r="24" spans="1:8" s="926" customFormat="1">
      <c r="A24" s="937" t="s">
        <v>3211</v>
      </c>
      <c r="B24" s="927"/>
      <c r="C24" s="927"/>
      <c r="D24" s="927"/>
      <c r="E24" s="927"/>
      <c r="F24" s="927"/>
      <c r="G24" s="927"/>
    </row>
    <row r="25" spans="1:8" s="926" customFormat="1" ht="41.25" customHeight="1">
      <c r="A25" s="3820" t="str">
        <f>'Part III-A-Uses of Funds'!$C$46</f>
        <v>&lt;&lt; Enter description here; provide detail &amp; justification in tab Part III-b &gt;&gt;</v>
      </c>
      <c r="B25" s="3821"/>
      <c r="C25" s="3821"/>
      <c r="D25" s="3822"/>
      <c r="E25" s="927"/>
      <c r="F25" s="3829"/>
      <c r="G25" s="927"/>
      <c r="H25" s="3829"/>
    </row>
    <row r="26" spans="1:8" s="926" customFormat="1" ht="41.25" customHeight="1">
      <c r="A26" s="3823"/>
      <c r="B26" s="3824"/>
      <c r="C26" s="3824"/>
      <c r="D26" s="3825"/>
      <c r="E26" s="927"/>
      <c r="F26" s="3830"/>
      <c r="G26" s="927"/>
      <c r="H26" s="3830"/>
    </row>
    <row r="27" spans="1:8" s="926" customFormat="1" ht="4.5" customHeight="1">
      <c r="A27" s="927"/>
      <c r="B27" s="927"/>
      <c r="C27" s="927"/>
      <c r="D27" s="927"/>
      <c r="E27" s="927"/>
      <c r="F27" s="3830"/>
      <c r="G27" s="927"/>
      <c r="H27" s="3830"/>
    </row>
    <row r="28" spans="1:8" s="926" customFormat="1" ht="25.5">
      <c r="A28" s="936" t="s">
        <v>3212</v>
      </c>
      <c r="B28" s="935">
        <f>'Part III-A-Uses of Funds'!$G$46</f>
        <v>0</v>
      </c>
      <c r="C28" s="936" t="s">
        <v>1666</v>
      </c>
      <c r="D28" s="935">
        <f>'Part III-A-Uses of Funds'!$J$46+'Part III-A-Uses of Funds'!$M$46+'Part III-A-Uses of Funds'!$P$46</f>
        <v>0</v>
      </c>
      <c r="E28" s="927"/>
      <c r="F28" s="3830"/>
      <c r="G28" s="927"/>
      <c r="H28" s="3830"/>
    </row>
    <row r="29" spans="1:8" s="926" customFormat="1" ht="6" customHeight="1">
      <c r="A29" s="927"/>
      <c r="B29" s="928"/>
      <c r="C29" s="927"/>
      <c r="D29" s="927"/>
      <c r="E29" s="927"/>
      <c r="F29" s="3831"/>
      <c r="G29" s="929"/>
      <c r="H29" s="3831"/>
    </row>
    <row r="30" spans="1:8" s="926" customFormat="1">
      <c r="A30" s="937" t="s">
        <v>675</v>
      </c>
      <c r="B30" s="927"/>
      <c r="C30" s="927"/>
      <c r="D30" s="927"/>
      <c r="E30" s="927"/>
      <c r="F30" s="927"/>
      <c r="G30" s="927"/>
    </row>
    <row r="31" spans="1:8" s="926" customFormat="1" ht="41.25" customHeight="1">
      <c r="A31" s="3832" t="str">
        <f>'Part III-A-Uses of Funds'!$C$71</f>
        <v>&lt;&lt; Enter description here; provide detail &amp; justification in tab Part III-b &gt;&gt;</v>
      </c>
      <c r="B31" s="3833"/>
      <c r="C31" s="3833"/>
      <c r="D31" s="3834"/>
      <c r="E31" s="927"/>
      <c r="F31" s="3826"/>
      <c r="G31" s="927"/>
      <c r="H31" s="3826"/>
    </row>
    <row r="32" spans="1:8" s="926" customFormat="1" ht="41.25" customHeight="1">
      <c r="A32" s="3823"/>
      <c r="B32" s="3824"/>
      <c r="C32" s="3824"/>
      <c r="D32" s="3825"/>
      <c r="E32" s="927"/>
      <c r="F32" s="3827"/>
      <c r="G32" s="927"/>
      <c r="H32" s="3827"/>
    </row>
    <row r="33" spans="1:8" s="926" customFormat="1" ht="4.5" customHeight="1">
      <c r="A33" s="927"/>
      <c r="B33" s="927"/>
      <c r="C33" s="927"/>
      <c r="D33" s="927"/>
      <c r="E33" s="927"/>
      <c r="F33" s="3827"/>
      <c r="G33" s="927"/>
      <c r="H33" s="3827"/>
    </row>
    <row r="34" spans="1:8" s="926" customFormat="1" ht="14.25" customHeight="1">
      <c r="A34" s="936" t="s">
        <v>3212</v>
      </c>
      <c r="B34" s="935">
        <f>'Part III-A-Uses of Funds'!$G$71</f>
        <v>0</v>
      </c>
      <c r="C34" s="936" t="s">
        <v>1666</v>
      </c>
      <c r="D34" s="935">
        <f>'Part III-A-Uses of Funds'!$J$71+'Part III-A-Uses of Funds'!$M$71+'Part III-A-Uses of Funds'!$P$71</f>
        <v>0</v>
      </c>
      <c r="E34" s="927"/>
      <c r="F34" s="3827"/>
      <c r="G34" s="927"/>
      <c r="H34" s="3827"/>
    </row>
    <row r="35" spans="1:8" s="926" customFormat="1" ht="6" customHeight="1">
      <c r="D35" s="927"/>
      <c r="E35" s="927"/>
      <c r="F35" s="3827"/>
      <c r="G35" s="929"/>
      <c r="H35" s="3827"/>
    </row>
    <row r="36" spans="1:8" s="926" customFormat="1" ht="41.25" customHeight="1">
      <c r="A36" s="3832" t="str">
        <f>'Part III-A-Uses of Funds'!$C$72</f>
        <v>&lt;&lt; Enter description here; provide detail &amp; justification in tab Part III-b &gt;&gt;</v>
      </c>
      <c r="B36" s="3833"/>
      <c r="C36" s="3833"/>
      <c r="D36" s="3834"/>
      <c r="E36" s="927"/>
      <c r="F36" s="3827"/>
      <c r="G36" s="927"/>
      <c r="H36" s="3827"/>
    </row>
    <row r="37" spans="1:8" s="926" customFormat="1" ht="41.25" customHeight="1">
      <c r="A37" s="3823"/>
      <c r="B37" s="3824"/>
      <c r="C37" s="3824"/>
      <c r="D37" s="3825"/>
      <c r="E37" s="927"/>
      <c r="F37" s="3827"/>
      <c r="G37" s="927"/>
      <c r="H37" s="3827"/>
    </row>
    <row r="38" spans="1:8" s="926" customFormat="1" ht="4.5" customHeight="1">
      <c r="A38" s="927"/>
      <c r="B38" s="927"/>
      <c r="C38" s="927"/>
      <c r="D38" s="927"/>
      <c r="E38" s="927"/>
      <c r="F38" s="3827"/>
      <c r="G38" s="927"/>
      <c r="H38" s="3827"/>
    </row>
    <row r="39" spans="1:8" s="926" customFormat="1" ht="14.25" customHeight="1">
      <c r="A39" s="936" t="s">
        <v>3212</v>
      </c>
      <c r="B39" s="935">
        <f>'Part III-A-Uses of Funds'!$G$72</f>
        <v>0</v>
      </c>
      <c r="C39" s="936" t="s">
        <v>1666</v>
      </c>
      <c r="D39" s="935">
        <f>'Part III-A-Uses of Funds'!$J$72+'Part III-A-Uses of Funds'!$M$72+'Part III-A-Uses of Funds'!$P$72</f>
        <v>0</v>
      </c>
      <c r="E39" s="927"/>
      <c r="F39" s="3827"/>
      <c r="G39" s="927"/>
      <c r="H39" s="3827"/>
    </row>
    <row r="40" spans="1:8" s="926" customFormat="1" ht="6" customHeight="1">
      <c r="D40" s="927"/>
      <c r="E40" s="927"/>
      <c r="F40" s="3828"/>
      <c r="G40" s="929"/>
      <c r="H40" s="3828"/>
    </row>
    <row r="41" spans="1:8" s="926" customFormat="1">
      <c r="A41" s="937" t="s">
        <v>449</v>
      </c>
      <c r="B41" s="927"/>
      <c r="C41" s="927"/>
      <c r="D41" s="927"/>
      <c r="E41" s="931"/>
      <c r="F41" s="931"/>
      <c r="G41" s="927"/>
    </row>
    <row r="42" spans="1:8" s="926" customFormat="1" ht="41.25" customHeight="1">
      <c r="A42" s="3832" t="str">
        <f>'Part III-A-Uses of Funds'!$C$85</f>
        <v xml:space="preserve">Landscaping </v>
      </c>
      <c r="B42" s="3833"/>
      <c r="C42" s="3833"/>
      <c r="D42" s="3834"/>
      <c r="F42" s="3829" t="s">
        <v>7020</v>
      </c>
      <c r="G42" s="927"/>
      <c r="H42" s="3829" t="s">
        <v>7021</v>
      </c>
    </row>
    <row r="43" spans="1:8" s="926" customFormat="1" ht="41.25" customHeight="1">
      <c r="A43" s="3823"/>
      <c r="B43" s="3824"/>
      <c r="C43" s="3824"/>
      <c r="D43" s="3825"/>
      <c r="E43" s="927"/>
      <c r="F43" s="3830"/>
      <c r="G43" s="927"/>
      <c r="H43" s="3830"/>
    </row>
    <row r="44" spans="1:8" s="926" customFormat="1" ht="4.5" customHeight="1">
      <c r="A44" s="927"/>
      <c r="B44" s="927"/>
      <c r="C44" s="927"/>
      <c r="D44" s="927"/>
      <c r="E44" s="927"/>
      <c r="F44" s="3830"/>
      <c r="G44" s="927"/>
      <c r="H44" s="3830"/>
    </row>
    <row r="45" spans="1:8" s="926" customFormat="1" ht="13.5" customHeight="1">
      <c r="A45" s="936" t="s">
        <v>3212</v>
      </c>
      <c r="B45" s="935">
        <f>'Part III-A-Uses of Funds'!$G$85</f>
        <v>15000</v>
      </c>
      <c r="C45" s="936" t="s">
        <v>1666</v>
      </c>
      <c r="D45" s="935">
        <f>'Part III-A-Uses of Funds'!$J$85+'Part III-A-Uses of Funds'!$M$85+'Part III-A-Uses of Funds'!$P$85</f>
        <v>15000</v>
      </c>
      <c r="E45" s="927"/>
      <c r="F45" s="3830"/>
      <c r="G45" s="927"/>
      <c r="H45" s="3830"/>
    </row>
    <row r="46" spans="1:8" s="926" customFormat="1" ht="6" customHeight="1">
      <c r="A46" s="927"/>
      <c r="B46" s="928"/>
      <c r="C46" s="927"/>
      <c r="D46" s="927"/>
      <c r="E46" s="927"/>
      <c r="F46" s="3831"/>
      <c r="G46" s="929"/>
      <c r="H46" s="3831"/>
    </row>
    <row r="47" spans="1:8" s="926" customFormat="1">
      <c r="A47" s="937" t="s">
        <v>677</v>
      </c>
      <c r="B47" s="927"/>
      <c r="C47" s="927"/>
      <c r="D47" s="927"/>
      <c r="E47" s="927"/>
      <c r="F47" s="927"/>
      <c r="G47" s="927"/>
    </row>
    <row r="48" spans="1:8" s="926" customFormat="1" ht="41.25" customHeight="1">
      <c r="A48" s="3832" t="str">
        <f>'Part III-A-Uses of Funds'!$C$102</f>
        <v xml:space="preserve">Perm Loan App Processing Fee, Expense Deposit, Legal Deposit </v>
      </c>
      <c r="B48" s="3833"/>
      <c r="C48" s="3833"/>
      <c r="D48" s="3834"/>
      <c r="F48" s="3829" t="s">
        <v>7015</v>
      </c>
      <c r="G48" s="927"/>
    </row>
    <row r="49" spans="1:7" s="926" customFormat="1" ht="41.25" customHeight="1">
      <c r="A49" s="3823"/>
      <c r="B49" s="3824"/>
      <c r="C49" s="3824"/>
      <c r="D49" s="3825"/>
      <c r="E49" s="927"/>
      <c r="F49" s="3830"/>
      <c r="G49" s="927"/>
    </row>
    <row r="50" spans="1:7" s="926" customFormat="1" ht="3" customHeight="1">
      <c r="A50" s="927"/>
      <c r="B50" s="927"/>
      <c r="C50" s="927"/>
      <c r="D50" s="927"/>
      <c r="E50" s="927"/>
      <c r="F50" s="3830"/>
      <c r="G50" s="927"/>
    </row>
    <row r="51" spans="1:7" s="926" customFormat="1" ht="13.5" customHeight="1">
      <c r="A51" s="936" t="s">
        <v>3212</v>
      </c>
      <c r="B51" s="935">
        <f>'Part III-A-Uses of Funds'!$G$102</f>
        <v>25000</v>
      </c>
      <c r="C51" s="930"/>
      <c r="D51" s="930"/>
      <c r="E51" s="927"/>
      <c r="F51" s="3830"/>
      <c r="G51" s="927"/>
    </row>
    <row r="52" spans="1:7" s="926" customFormat="1" ht="3.75" customHeight="1">
      <c r="A52" s="927"/>
      <c r="B52" s="927"/>
      <c r="C52" s="927"/>
      <c r="D52" s="927"/>
      <c r="E52" s="927"/>
      <c r="F52" s="3831"/>
      <c r="G52" s="929"/>
    </row>
    <row r="53" spans="1:7" s="926" customFormat="1">
      <c r="A53" s="937" t="s">
        <v>3213</v>
      </c>
      <c r="B53" s="927"/>
      <c r="C53" s="927"/>
      <c r="D53" s="927"/>
      <c r="E53" s="927"/>
      <c r="F53" s="927"/>
      <c r="G53" s="927"/>
    </row>
    <row r="54" spans="1:7" s="926" customFormat="1" ht="41.25" customHeight="1">
      <c r="A54" s="3832" t="str">
        <f>'Part III-A-Uses of Funds'!$C$112</f>
        <v>&lt;&lt; Enter description here; provide detail &amp; justification in tab Part III-b &gt;&gt;</v>
      </c>
      <c r="B54" s="3833"/>
      <c r="C54" s="3833"/>
      <c r="D54" s="3834"/>
      <c r="F54" s="3826"/>
      <c r="G54" s="927"/>
    </row>
    <row r="55" spans="1:7" s="926" customFormat="1" ht="41.25" customHeight="1">
      <c r="A55" s="3823"/>
      <c r="B55" s="3824"/>
      <c r="C55" s="3824"/>
      <c r="D55" s="3825"/>
      <c r="E55" s="927"/>
      <c r="F55" s="3827"/>
      <c r="G55" s="927"/>
    </row>
    <row r="56" spans="1:7" s="926" customFormat="1" ht="3" customHeight="1">
      <c r="A56" s="927"/>
      <c r="B56" s="927"/>
      <c r="C56" s="927"/>
      <c r="D56" s="927"/>
      <c r="E56" s="927"/>
      <c r="F56" s="3827"/>
      <c r="G56" s="927"/>
    </row>
    <row r="57" spans="1:7" s="926" customFormat="1" ht="25.5">
      <c r="A57" s="936" t="s">
        <v>3212</v>
      </c>
      <c r="B57" s="935">
        <f>'Part III-A-Uses of Funds'!$G$112</f>
        <v>0</v>
      </c>
      <c r="C57" s="930"/>
      <c r="D57" s="930"/>
      <c r="E57" s="927"/>
      <c r="F57" s="3827"/>
      <c r="G57" s="927"/>
    </row>
    <row r="58" spans="1:7" s="926" customFormat="1" ht="3.75" customHeight="1">
      <c r="A58" s="925"/>
      <c r="B58" s="925"/>
      <c r="C58" s="925"/>
      <c r="D58" s="925"/>
      <c r="E58" s="925"/>
      <c r="F58" s="3827"/>
      <c r="G58" s="929"/>
    </row>
    <row r="59" spans="1:7" s="926" customFormat="1" ht="41.25" customHeight="1">
      <c r="A59" s="3832" t="str">
        <f>'Part III-A-Uses of Funds'!$C$113</f>
        <v>&lt;&lt; Enter description here; provide detail &amp; justification in tab Part III-b &gt;&gt;</v>
      </c>
      <c r="B59" s="3833"/>
      <c r="C59" s="3833"/>
      <c r="D59" s="3834"/>
      <c r="F59" s="3827"/>
      <c r="G59" s="927"/>
    </row>
    <row r="60" spans="1:7" s="926" customFormat="1" ht="41.25" customHeight="1">
      <c r="A60" s="3823"/>
      <c r="B60" s="3824"/>
      <c r="C60" s="3824"/>
      <c r="D60" s="3825"/>
      <c r="E60" s="927"/>
      <c r="F60" s="3827"/>
      <c r="G60" s="927"/>
    </row>
    <row r="61" spans="1:7" s="926" customFormat="1" ht="3" customHeight="1">
      <c r="A61" s="927"/>
      <c r="B61" s="927"/>
      <c r="C61" s="927"/>
      <c r="D61" s="927"/>
      <c r="E61" s="927"/>
      <c r="F61" s="3827"/>
      <c r="G61" s="927"/>
    </row>
    <row r="62" spans="1:7" s="926" customFormat="1" ht="25.5">
      <c r="A62" s="936" t="s">
        <v>3212</v>
      </c>
      <c r="B62" s="935">
        <f>'Part III-A-Uses of Funds'!$G$113</f>
        <v>0</v>
      </c>
      <c r="C62" s="930"/>
      <c r="D62" s="930"/>
      <c r="E62" s="927"/>
      <c r="F62" s="3827"/>
      <c r="G62" s="927"/>
    </row>
    <row r="63" spans="1:7" s="926" customFormat="1" ht="3.75" customHeight="1">
      <c r="A63" s="925"/>
      <c r="B63" s="925"/>
      <c r="C63" s="925"/>
      <c r="D63" s="925"/>
      <c r="E63" s="925"/>
      <c r="F63" s="3828"/>
      <c r="G63" s="929"/>
    </row>
    <row r="64" spans="1:7" s="926" customFormat="1">
      <c r="A64" s="937" t="s">
        <v>3214</v>
      </c>
      <c r="B64" s="927"/>
      <c r="C64" s="927"/>
      <c r="D64" s="927"/>
      <c r="E64" s="927"/>
      <c r="F64" s="927"/>
      <c r="G64" s="927"/>
    </row>
    <row r="65" spans="1:8" s="926" customFormat="1" ht="41.25" customHeight="1">
      <c r="A65" s="3832" t="str">
        <f>'Part III-A-Uses of Funds'!$C$119</f>
        <v>&lt;&lt; Enter description here; provide detail &amp; justification in tab Part III-b &gt;&gt;</v>
      </c>
      <c r="B65" s="3833"/>
      <c r="C65" s="3833"/>
      <c r="D65" s="3834"/>
      <c r="F65" s="3829" t="s">
        <v>233</v>
      </c>
      <c r="G65" s="927"/>
    </row>
    <row r="66" spans="1:8" s="926" customFormat="1" ht="41.25" customHeight="1">
      <c r="A66" s="3823"/>
      <c r="B66" s="3824"/>
      <c r="C66" s="3824"/>
      <c r="D66" s="3825"/>
      <c r="E66" s="927"/>
      <c r="F66" s="3830"/>
      <c r="G66" s="927"/>
    </row>
    <row r="67" spans="1:8" s="926" customFormat="1" ht="3" customHeight="1">
      <c r="A67" s="927"/>
      <c r="B67" s="927"/>
      <c r="C67" s="927"/>
      <c r="D67" s="927"/>
      <c r="E67" s="927"/>
      <c r="F67" s="3830"/>
      <c r="G67" s="927"/>
    </row>
    <row r="68" spans="1:8" s="926" customFormat="1" ht="25.5">
      <c r="A68" s="936" t="s">
        <v>3212</v>
      </c>
      <c r="B68" s="935">
        <f>'Part III-A-Uses of Funds'!$G$119</f>
        <v>0</v>
      </c>
      <c r="C68" s="930"/>
      <c r="D68" s="930"/>
      <c r="E68" s="927"/>
      <c r="F68" s="3830"/>
      <c r="G68" s="927"/>
    </row>
    <row r="69" spans="1:8" s="926" customFormat="1" ht="3.75" customHeight="1">
      <c r="A69" s="927"/>
      <c r="B69" s="928"/>
      <c r="C69" s="927"/>
      <c r="D69" s="927"/>
      <c r="E69" s="927"/>
      <c r="F69" s="3831"/>
      <c r="G69" s="929"/>
    </row>
    <row r="70" spans="1:8" s="926" customFormat="1">
      <c r="A70" s="937" t="s">
        <v>1232</v>
      </c>
      <c r="B70" s="927"/>
      <c r="C70" s="927"/>
      <c r="D70" s="927"/>
      <c r="E70" s="927"/>
      <c r="F70" s="927"/>
      <c r="G70" s="927"/>
    </row>
    <row r="71" spans="1:8" s="926" customFormat="1" ht="41.25" customHeight="1">
      <c r="A71" s="3832" t="str">
        <f>'Part III-A-Uses of Funds'!$C$134</f>
        <v xml:space="preserve">FedEx, UPS, Copying, etc. </v>
      </c>
      <c r="B71" s="3833"/>
      <c r="C71" s="3833"/>
      <c r="D71" s="3834"/>
      <c r="F71" s="3829" t="s">
        <v>7016</v>
      </c>
      <c r="G71" s="927"/>
      <c r="H71" s="3829" t="s">
        <v>7016</v>
      </c>
    </row>
    <row r="72" spans="1:8" s="926" customFormat="1" ht="41.25" customHeight="1">
      <c r="A72" s="3823"/>
      <c r="B72" s="3824"/>
      <c r="C72" s="3824"/>
      <c r="D72" s="3825"/>
      <c r="E72" s="927"/>
      <c r="F72" s="3830"/>
      <c r="G72" s="927"/>
      <c r="H72" s="3830"/>
    </row>
    <row r="73" spans="1:8" s="926" customFormat="1" ht="4.5" customHeight="1">
      <c r="A73" s="927"/>
      <c r="B73" s="927"/>
      <c r="C73" s="927"/>
      <c r="D73" s="927"/>
      <c r="E73" s="927"/>
      <c r="F73" s="3830"/>
      <c r="G73" s="927"/>
      <c r="H73" s="3830"/>
    </row>
    <row r="74" spans="1:8" s="926" customFormat="1" ht="12.75" customHeight="1">
      <c r="A74" s="936" t="s">
        <v>3212</v>
      </c>
      <c r="B74" s="935">
        <f>'Part III-A-Uses of Funds'!$G$134</f>
        <v>5008</v>
      </c>
      <c r="C74" s="936" t="s">
        <v>1666</v>
      </c>
      <c r="D74" s="935">
        <f>'Part III-A-Uses of Funds'!$J$134+'Part III-A-Uses of Funds'!$M$134+'Part III-A-Uses of Funds'!$P$134</f>
        <v>5008</v>
      </c>
      <c r="E74" s="927"/>
      <c r="F74" s="3830"/>
      <c r="G74" s="927"/>
      <c r="H74" s="3830"/>
    </row>
    <row r="75" spans="1:8" s="926" customFormat="1" ht="6" customHeight="1">
      <c r="A75" s="927"/>
      <c r="B75" s="928"/>
      <c r="C75" s="927"/>
      <c r="D75" s="927"/>
      <c r="E75" s="927"/>
      <c r="F75" s="3831"/>
      <c r="G75" s="929"/>
      <c r="H75" s="3831"/>
    </row>
    <row r="76" spans="1:8" s="926" customFormat="1">
      <c r="A76" s="937" t="s">
        <v>3215</v>
      </c>
      <c r="B76" s="928"/>
      <c r="C76" s="927"/>
      <c r="D76" s="927"/>
      <c r="E76" s="927"/>
      <c r="F76" s="927"/>
      <c r="G76" s="929"/>
    </row>
    <row r="77" spans="1:8" s="926" customFormat="1" ht="41.25" customHeight="1">
      <c r="A77" s="3832" t="str">
        <f>'Part III-A-Uses of Funds'!$C$143</f>
        <v>&lt;&lt; Enter description here; provide detail &amp; justification in tab Part III-b &gt;&gt;</v>
      </c>
      <c r="B77" s="3833"/>
      <c r="C77" s="3833"/>
      <c r="D77" s="3834"/>
      <c r="F77" s="3829"/>
      <c r="G77" s="927"/>
      <c r="H77" s="3829"/>
    </row>
    <row r="78" spans="1:8" s="926" customFormat="1" ht="41.25" customHeight="1">
      <c r="A78" s="3823"/>
      <c r="B78" s="3824"/>
      <c r="C78" s="3824"/>
      <c r="D78" s="3825"/>
      <c r="E78" s="927"/>
      <c r="F78" s="3830"/>
      <c r="G78" s="927"/>
      <c r="H78" s="3830"/>
    </row>
    <row r="79" spans="1:8" s="926" customFormat="1" ht="4.5" customHeight="1">
      <c r="A79" s="927"/>
      <c r="B79" s="927"/>
      <c r="C79" s="927"/>
      <c r="D79" s="927"/>
      <c r="E79" s="927"/>
      <c r="F79" s="3830"/>
      <c r="G79" s="927"/>
      <c r="H79" s="3830"/>
    </row>
    <row r="80" spans="1:8" s="926" customFormat="1" ht="12.75" customHeight="1">
      <c r="A80" s="936" t="s">
        <v>3212</v>
      </c>
      <c r="B80" s="935">
        <f>'Part III-A-Uses of Funds'!$G$143</f>
        <v>0</v>
      </c>
      <c r="C80" s="936" t="s">
        <v>1666</v>
      </c>
      <c r="D80" s="935">
        <f>'Part III-A-Uses of Funds'!$J$143+'Part III-A-Uses of Funds'!$M$143+'Part III-A-Uses of Funds'!$P$143</f>
        <v>0</v>
      </c>
      <c r="E80" s="932"/>
      <c r="F80" s="3830"/>
      <c r="G80" s="927"/>
      <c r="H80" s="3830"/>
    </row>
    <row r="81" spans="4:8" s="926" customFormat="1" ht="6" customHeight="1">
      <c r="D81" s="933"/>
      <c r="E81" s="934"/>
      <c r="F81" s="3831"/>
      <c r="G81" s="929"/>
      <c r="H81" s="383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0" zoomScale="120" zoomScaleNormal="12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9" t="str">
        <f>CONCATENATE("PART FOUR - UTILITY ALLOWANCES","  -  ",'Part I-Project Identification'!$O$7," ",'Part I-Project Identification'!$F$29,", ",'Part I-Project Identification'!F30,", ",'Part I-Project Identification'!J30," County")</f>
        <v>PART FOUR - UTILITY ALLOWANCES  -  2022-0 Gibson Park , College Park, Fulton County</v>
      </c>
      <c r="B1" s="3840"/>
      <c r="C1" s="3840"/>
      <c r="D1" s="3840"/>
      <c r="E1" s="3840"/>
      <c r="F1" s="3840"/>
      <c r="G1" s="3840"/>
      <c r="H1" s="3840"/>
      <c r="I1" s="3840"/>
      <c r="J1" s="3840"/>
      <c r="K1" s="3840"/>
      <c r="L1" s="3840"/>
      <c r="M1" s="3840"/>
      <c r="N1" s="10"/>
      <c r="O1" s="10"/>
      <c r="P1" s="10"/>
      <c r="Q1" s="10"/>
      <c r="R1" s="16"/>
      <c r="S1" s="16"/>
      <c r="T1" s="16"/>
    </row>
    <row r="2" spans="1:25" s="8" customFormat="1" ht="7.5" customHeight="1"/>
    <row r="3" spans="1:25" s="8" customFormat="1" ht="12.75" customHeight="1">
      <c r="B3" s="3848" t="str">
        <f>'Part I-Project Identification'!$A$6</f>
        <v>May 12 2022 Core Application</v>
      </c>
      <c r="C3" s="3848"/>
      <c r="D3" s="3848"/>
      <c r="E3" s="3848"/>
      <c r="F3" s="4" t="s">
        <v>6744</v>
      </c>
      <c r="I3" s="1660" t="str">
        <f>VLOOKUP('Part I-Project Identification'!$J$30,'DCA Underwriting Assumptions'!$G$136:$H$295,2)</f>
        <v>Local PHA</v>
      </c>
    </row>
    <row r="4" spans="1:25" s="8" customFormat="1" ht="6" customHeight="1"/>
    <row r="5" spans="1:25">
      <c r="A5" s="271" t="s">
        <v>6504</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1" t="s">
        <v>6920</v>
      </c>
      <c r="J7" s="3842"/>
      <c r="K7" s="3842"/>
      <c r="L7" s="3842"/>
      <c r="M7" s="3843"/>
      <c r="O7" s="1067"/>
      <c r="P7" s="1067"/>
      <c r="Q7" s="1067"/>
      <c r="R7" s="1067"/>
      <c r="S7" s="1067"/>
      <c r="T7" s="1067"/>
      <c r="U7" s="1067"/>
      <c r="V7" s="516"/>
      <c r="W7" s="516"/>
      <c r="X7" s="516"/>
      <c r="Y7" s="516"/>
    </row>
    <row r="8" spans="1:25" s="8" customFormat="1" ht="13.35" customHeight="1">
      <c r="A8" s="13"/>
      <c r="F8" s="1" t="s">
        <v>593</v>
      </c>
      <c r="G8" s="1"/>
      <c r="H8" s="33"/>
      <c r="I8" s="3844">
        <v>44562</v>
      </c>
      <c r="J8" s="3845"/>
      <c r="K8" s="6" t="s">
        <v>505</v>
      </c>
      <c r="L8" s="3835" t="s">
        <v>6299</v>
      </c>
      <c r="M8" s="383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6" t="s">
        <v>567</v>
      </c>
      <c r="G10" s="3846"/>
      <c r="I10" s="3847" t="s">
        <v>193</v>
      </c>
      <c r="J10" s="3847"/>
      <c r="K10" s="3847"/>
      <c r="L10" s="3847"/>
      <c r="M10" s="3847"/>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7" t="s">
        <v>6921</v>
      </c>
      <c r="E12" s="3838"/>
      <c r="F12" s="272" t="s">
        <v>416</v>
      </c>
      <c r="G12" s="272"/>
      <c r="H12" s="1017"/>
      <c r="I12" s="1601"/>
      <c r="J12" s="1601">
        <v>8</v>
      </c>
      <c r="K12" s="1601">
        <v>10</v>
      </c>
      <c r="L12" s="1601">
        <v>12</v>
      </c>
      <c r="M12" s="1601"/>
      <c r="O12" s="1067"/>
      <c r="P12" s="1067"/>
      <c r="Q12" s="1067"/>
      <c r="R12" s="1067"/>
      <c r="S12" s="1067"/>
      <c r="T12" s="1067"/>
      <c r="U12" s="1067"/>
    </row>
    <row r="13" spans="1:25" s="8" customFormat="1" ht="12" customHeight="1">
      <c r="B13" s="1608" t="s">
        <v>1493</v>
      </c>
      <c r="C13" s="1609"/>
      <c r="D13" s="3856" t="s">
        <v>1492</v>
      </c>
      <c r="E13" s="3857"/>
      <c r="F13" s="273" t="s">
        <v>416</v>
      </c>
      <c r="G13" s="273"/>
      <c r="H13" s="1016"/>
      <c r="I13" s="1602"/>
      <c r="J13" s="1602">
        <v>9</v>
      </c>
      <c r="K13" s="1602">
        <v>11</v>
      </c>
      <c r="L13" s="1603">
        <v>14</v>
      </c>
      <c r="M13" s="1603"/>
      <c r="O13" s="3849" t="s">
        <v>3277</v>
      </c>
      <c r="P13" s="3849"/>
      <c r="Q13" s="3849"/>
    </row>
    <row r="14" spans="1:25" s="8" customFormat="1" ht="12" customHeight="1">
      <c r="B14" s="1610" t="s">
        <v>1494</v>
      </c>
      <c r="C14" s="1611"/>
      <c r="D14" s="3856" t="s">
        <v>1492</v>
      </c>
      <c r="E14" s="3857"/>
      <c r="F14" s="273" t="s">
        <v>416</v>
      </c>
      <c r="G14" s="273"/>
      <c r="H14" s="268"/>
      <c r="I14" s="1602"/>
      <c r="J14" s="1602">
        <v>24</v>
      </c>
      <c r="K14" s="1602">
        <v>30</v>
      </c>
      <c r="L14" s="1603">
        <v>37</v>
      </c>
      <c r="M14" s="1603"/>
      <c r="O14" s="3849"/>
      <c r="P14" s="3849"/>
      <c r="Q14" s="3849"/>
    </row>
    <row r="15" spans="1:25" s="8" customFormat="1" ht="12" customHeight="1">
      <c r="B15" s="1612" t="s">
        <v>440</v>
      </c>
      <c r="C15" s="1613"/>
      <c r="D15" s="1612" t="s">
        <v>1492</v>
      </c>
      <c r="E15" s="269"/>
      <c r="F15" s="273" t="s">
        <v>416</v>
      </c>
      <c r="G15" s="273"/>
      <c r="H15" s="1015"/>
      <c r="I15" s="1602"/>
      <c r="J15" s="3296">
        <v>9</v>
      </c>
      <c r="K15" s="1602">
        <v>11</v>
      </c>
      <c r="L15" s="1603">
        <v>13</v>
      </c>
      <c r="M15" s="1603"/>
      <c r="O15" s="3849"/>
      <c r="P15" s="3849"/>
      <c r="Q15" s="3849"/>
    </row>
    <row r="16" spans="1:25" s="8" customFormat="1" ht="12" customHeight="1">
      <c r="B16" s="1614" t="s">
        <v>3271</v>
      </c>
      <c r="C16" s="1609"/>
      <c r="D16" s="1608" t="s">
        <v>1492</v>
      </c>
      <c r="E16" s="1014"/>
      <c r="F16" s="273"/>
      <c r="G16" s="273"/>
      <c r="H16" s="1016"/>
      <c r="I16" s="1602"/>
      <c r="J16" s="1602"/>
      <c r="K16" s="1602"/>
      <c r="L16" s="1603"/>
      <c r="M16" s="1603"/>
      <c r="O16" s="3849"/>
      <c r="P16" s="3849"/>
      <c r="Q16" s="3849"/>
    </row>
    <row r="17" spans="1:25" s="8" customFormat="1" ht="12" customHeight="1">
      <c r="B17" s="1614" t="s">
        <v>3272</v>
      </c>
      <c r="C17" s="1609"/>
      <c r="D17" s="1608" t="s">
        <v>1492</v>
      </c>
      <c r="E17" s="1014"/>
      <c r="F17" s="273"/>
      <c r="G17" s="273"/>
      <c r="H17" s="1016"/>
      <c r="I17" s="1602"/>
      <c r="J17" s="1602"/>
      <c r="K17" s="1602"/>
      <c r="L17" s="1603"/>
      <c r="M17" s="1603"/>
      <c r="O17" s="3849"/>
      <c r="P17" s="3849"/>
      <c r="Q17" s="3849"/>
    </row>
    <row r="18" spans="1:25" s="8" customFormat="1" ht="12" customHeight="1">
      <c r="B18" s="1615" t="s">
        <v>3273</v>
      </c>
      <c r="C18" s="1611"/>
      <c r="D18" s="1610" t="s">
        <v>1492</v>
      </c>
      <c r="E18" s="1014"/>
      <c r="F18" s="273" t="s">
        <v>416</v>
      </c>
      <c r="G18" s="273"/>
      <c r="H18" s="268"/>
      <c r="I18" s="1602"/>
      <c r="J18" s="1602">
        <v>33</v>
      </c>
      <c r="K18" s="1602">
        <v>42</v>
      </c>
      <c r="L18" s="1603">
        <v>51</v>
      </c>
      <c r="M18" s="1603"/>
      <c r="O18" s="3849"/>
      <c r="P18" s="3849"/>
      <c r="Q18" s="3849"/>
    </row>
    <row r="19" spans="1:25" s="8" customFormat="1" ht="12" customHeight="1">
      <c r="B19" s="1612" t="s">
        <v>1293</v>
      </c>
      <c r="C19" s="1613"/>
      <c r="D19" s="1618" t="s">
        <v>3079</v>
      </c>
      <c r="E19" s="1600" t="s">
        <v>2651</v>
      </c>
      <c r="F19" s="273" t="s">
        <v>416</v>
      </c>
      <c r="G19" s="273"/>
      <c r="H19" s="1015"/>
      <c r="I19" s="1602"/>
      <c r="J19" s="1602">
        <v>84</v>
      </c>
      <c r="K19" s="1602">
        <v>116</v>
      </c>
      <c r="L19" s="1603">
        <v>142</v>
      </c>
      <c r="M19" s="1603"/>
      <c r="O19" s="3849"/>
      <c r="P19" s="3849"/>
      <c r="Q19" s="3849"/>
    </row>
    <row r="20" spans="1:25" s="8" customFormat="1" ht="12" customHeight="1">
      <c r="B20" s="1616" t="s">
        <v>1715</v>
      </c>
      <c r="C20" s="1617"/>
      <c r="D20" s="270"/>
      <c r="E20" s="242"/>
      <c r="F20" s="273"/>
      <c r="G20" s="273" t="s">
        <v>416</v>
      </c>
      <c r="H20" s="1016"/>
      <c r="I20" s="1602"/>
      <c r="J20" s="1602"/>
      <c r="K20" s="1602"/>
      <c r="L20" s="1603"/>
      <c r="M20" s="1603"/>
      <c r="O20" s="3849"/>
      <c r="P20" s="3849"/>
      <c r="Q20" s="3849"/>
    </row>
    <row r="21" spans="1:25" s="8" customFormat="1" ht="12" customHeight="1">
      <c r="B21" s="1616" t="s">
        <v>690</v>
      </c>
      <c r="C21" s="3858"/>
      <c r="D21" s="3859"/>
      <c r="E21" s="3860"/>
      <c r="F21" s="274"/>
      <c r="G21" s="274"/>
      <c r="H21" s="1018"/>
      <c r="I21" s="1604"/>
      <c r="J21" s="1604"/>
      <c r="K21" s="1604"/>
      <c r="L21" s="1605"/>
      <c r="M21" s="1605"/>
      <c r="O21" s="3849"/>
      <c r="P21" s="3849"/>
      <c r="Q21" s="3849"/>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167</v>
      </c>
      <c r="K22" s="152">
        <f>IF(SUM(K12:K21)=0,0,IF(OR($D12="&lt;&lt;Select Fuel &gt;&gt;",$D13="&lt;&lt;Select Fuel &gt;&gt;",$D14="&lt;&lt;Select Fuel &gt;&gt;"),"Select Fuel",IF($E19="&lt;Select&gt;","Submeter?",SUM(K12:K21))))</f>
        <v>220</v>
      </c>
      <c r="L22" s="152">
        <f>IF(SUM(L12:L21)=0,0,IF(OR($D12="&lt;&lt;Select Fuel &gt;&gt;",$D13="&lt;&lt;Select Fuel &gt;&gt;",$D14="&lt;&lt;Select Fuel &gt;&gt;"),"Select Fuel",IF($E19="&lt;Select&gt;","Submeter?",SUM(L12:L21))))</f>
        <v>269</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1"/>
      <c r="J24" s="3842"/>
      <c r="K24" s="3842"/>
      <c r="L24" s="3842"/>
      <c r="M24" s="3843"/>
      <c r="O24" s="1067"/>
      <c r="P24" s="1067"/>
      <c r="Q24" s="1067"/>
      <c r="R24" s="1067"/>
      <c r="S24" s="1067"/>
      <c r="T24" s="1067"/>
      <c r="U24" s="1067"/>
      <c r="V24" s="516"/>
      <c r="W24" s="516"/>
      <c r="X24" s="516"/>
      <c r="Y24" s="516"/>
    </row>
    <row r="25" spans="1:25" s="8" customFormat="1" ht="13.35" customHeight="1">
      <c r="A25" s="13"/>
      <c r="B25" s="13"/>
      <c r="F25" s="1" t="s">
        <v>593</v>
      </c>
      <c r="G25" s="1"/>
      <c r="H25" s="33"/>
      <c r="I25" s="3844"/>
      <c r="J25" s="3845"/>
      <c r="K25" s="6" t="s">
        <v>505</v>
      </c>
      <c r="L25" s="3835"/>
      <c r="M25" s="383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6" t="s">
        <v>567</v>
      </c>
      <c r="G27" s="3846"/>
      <c r="I27" s="3847" t="s">
        <v>193</v>
      </c>
      <c r="J27" s="3847"/>
      <c r="K27" s="3847"/>
      <c r="L27" s="3847"/>
      <c r="M27" s="3847"/>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7" t="s">
        <v>1690</v>
      </c>
      <c r="E29" s="3838"/>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6" t="s">
        <v>1690</v>
      </c>
      <c r="E30" s="3857"/>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6" t="s">
        <v>1690</v>
      </c>
      <c r="E31" s="3857"/>
      <c r="F31" s="273"/>
      <c r="G31" s="273"/>
      <c r="H31" s="268"/>
      <c r="I31" s="1602"/>
      <c r="J31" s="1602"/>
      <c r="K31" s="1602"/>
      <c r="L31" s="1603"/>
      <c r="M31" s="1603"/>
      <c r="O31" s="3849" t="s">
        <v>3277</v>
      </c>
      <c r="P31" s="3849"/>
      <c r="Q31" s="3849"/>
    </row>
    <row r="32" spans="1:25" s="8" customFormat="1" ht="12" customHeight="1">
      <c r="B32" s="1612" t="s">
        <v>440</v>
      </c>
      <c r="C32" s="1613"/>
      <c r="D32" s="1612" t="s">
        <v>1492</v>
      </c>
      <c r="E32" s="269"/>
      <c r="F32" s="273"/>
      <c r="G32" s="273"/>
      <c r="H32" s="1015"/>
      <c r="I32" s="1602"/>
      <c r="J32" s="1602"/>
      <c r="K32" s="1602"/>
      <c r="L32" s="1603"/>
      <c r="M32" s="1603"/>
      <c r="O32" s="3849"/>
      <c r="P32" s="3849"/>
      <c r="Q32" s="3849"/>
    </row>
    <row r="33" spans="1:19" s="8" customFormat="1" ht="12" customHeight="1">
      <c r="B33" s="1614" t="s">
        <v>3271</v>
      </c>
      <c r="C33" s="1609"/>
      <c r="D33" s="1608" t="s">
        <v>1492</v>
      </c>
      <c r="E33" s="1014"/>
      <c r="F33" s="273"/>
      <c r="G33" s="273"/>
      <c r="H33" s="1016"/>
      <c r="I33" s="1602"/>
      <c r="J33" s="1602"/>
      <c r="K33" s="1602"/>
      <c r="L33" s="1603"/>
      <c r="M33" s="1603"/>
      <c r="O33" s="3849"/>
      <c r="P33" s="3849"/>
      <c r="Q33" s="3849"/>
    </row>
    <row r="34" spans="1:19" s="8" customFormat="1" ht="12" customHeight="1">
      <c r="B34" s="1614" t="s">
        <v>3272</v>
      </c>
      <c r="C34" s="1609"/>
      <c r="D34" s="1608" t="s">
        <v>1492</v>
      </c>
      <c r="E34" s="1014"/>
      <c r="F34" s="273"/>
      <c r="G34" s="273"/>
      <c r="H34" s="1016"/>
      <c r="I34" s="1602"/>
      <c r="J34" s="1602"/>
      <c r="K34" s="1602"/>
      <c r="L34" s="1603"/>
      <c r="M34" s="1603"/>
      <c r="O34" s="3849"/>
      <c r="P34" s="3849"/>
      <c r="Q34" s="3849"/>
    </row>
    <row r="35" spans="1:19" s="8" customFormat="1" ht="12" customHeight="1">
      <c r="B35" s="1615" t="s">
        <v>3273</v>
      </c>
      <c r="C35" s="1611"/>
      <c r="D35" s="1610" t="s">
        <v>1492</v>
      </c>
      <c r="E35" s="1014"/>
      <c r="F35" s="273"/>
      <c r="G35" s="273"/>
      <c r="H35" s="268"/>
      <c r="I35" s="1602"/>
      <c r="J35" s="1602"/>
      <c r="K35" s="1602"/>
      <c r="L35" s="1603"/>
      <c r="M35" s="1603"/>
      <c r="O35" s="3849"/>
      <c r="P35" s="3849"/>
      <c r="Q35" s="3849"/>
    </row>
    <row r="36" spans="1:19" s="8" customFormat="1" ht="12" customHeight="1">
      <c r="B36" s="1612" t="s">
        <v>1293</v>
      </c>
      <c r="C36" s="1613"/>
      <c r="D36" s="1618" t="s">
        <v>3079</v>
      </c>
      <c r="E36" s="1600" t="s">
        <v>194</v>
      </c>
      <c r="F36" s="273"/>
      <c r="G36" s="273"/>
      <c r="H36" s="1015"/>
      <c r="I36" s="1602"/>
      <c r="J36" s="1602"/>
      <c r="K36" s="1602"/>
      <c r="L36" s="1603"/>
      <c r="M36" s="1603"/>
      <c r="O36" s="3849"/>
      <c r="P36" s="3849"/>
      <c r="Q36" s="3849"/>
    </row>
    <row r="37" spans="1:19" s="8" customFormat="1" ht="12" customHeight="1">
      <c r="B37" s="1616" t="s">
        <v>1715</v>
      </c>
      <c r="C37" s="1617"/>
      <c r="D37" s="270"/>
      <c r="E37" s="242"/>
      <c r="F37" s="273"/>
      <c r="G37" s="273"/>
      <c r="H37" s="1016"/>
      <c r="I37" s="1602"/>
      <c r="J37" s="1602"/>
      <c r="K37" s="1602"/>
      <c r="L37" s="1603"/>
      <c r="M37" s="1603"/>
      <c r="O37" s="3849"/>
      <c r="P37" s="3849"/>
      <c r="Q37" s="3849"/>
    </row>
    <row r="38" spans="1:19" s="8" customFormat="1" ht="12" customHeight="1">
      <c r="B38" s="1616" t="s">
        <v>690</v>
      </c>
      <c r="C38" s="3858"/>
      <c r="D38" s="3859"/>
      <c r="E38" s="3860"/>
      <c r="F38" s="274"/>
      <c r="G38" s="274"/>
      <c r="H38" s="1018"/>
      <c r="I38" s="1604"/>
      <c r="J38" s="1604"/>
      <c r="K38" s="1604"/>
      <c r="L38" s="1605"/>
      <c r="M38" s="1605"/>
      <c r="O38" s="3849"/>
      <c r="P38" s="3849"/>
      <c r="Q38" s="3849"/>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9"/>
      <c r="P39" s="3849"/>
      <c r="Q39" s="3849"/>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0" t="s">
        <v>7036</v>
      </c>
      <c r="C43" s="3851"/>
      <c r="D43" s="3851"/>
      <c r="E43" s="3851"/>
      <c r="F43" s="3851"/>
      <c r="G43" s="3851"/>
      <c r="H43" s="3851"/>
      <c r="I43" s="3851"/>
      <c r="J43" s="3851"/>
      <c r="K43" s="3851"/>
      <c r="L43" s="3851"/>
      <c r="M43" s="3852"/>
      <c r="N43" s="27"/>
      <c r="O43" s="3298" t="s">
        <v>2453</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1711</v>
      </c>
      <c r="M45" s="27"/>
      <c r="N45" s="27"/>
      <c r="O45" s="3298"/>
      <c r="P45" s="3298"/>
      <c r="Q45" s="3298"/>
      <c r="R45" s="3298"/>
      <c r="S45" s="3298"/>
    </row>
    <row r="46" spans="1:19" s="8" customFormat="1" ht="24.75" customHeight="1">
      <c r="B46" s="3853"/>
      <c r="C46" s="3854"/>
      <c r="D46" s="3854"/>
      <c r="E46" s="3854"/>
      <c r="F46" s="3854"/>
      <c r="G46" s="3854"/>
      <c r="H46" s="3854"/>
      <c r="I46" s="3854"/>
      <c r="J46" s="3854"/>
      <c r="K46" s="3854"/>
      <c r="L46" s="3854"/>
      <c r="M46" s="3855"/>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Sarah Buckner</cp:lastModifiedBy>
  <cp:lastPrinted>2022-05-23T18:32:44Z</cp:lastPrinted>
  <dcterms:created xsi:type="dcterms:W3CDTF">2005-09-15T20:51:37Z</dcterms:created>
  <dcterms:modified xsi:type="dcterms:W3CDTF">2022-05-27T18:14:19Z</dcterms:modified>
</cp:coreProperties>
</file>