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S:\Apts - Georgia Deals\2022 APPLICATIONS\Arbours at Town Branch\DCA Application and Tabs\2022-0xxArbTwnBrchAppFldr\"/>
    </mc:Choice>
  </mc:AlternateContent>
  <xr:revisionPtr revIDLastSave="0" documentId="13_ncr:1_{FF9DB1B0-EADD-44CD-B804-1CECFB4BF918}"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6950" yWindow="1140" windowWidth="21600" windowHeight="15015" tabRatio="876" firstSheet="8"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2" i="74" l="1"/>
  <c r="H32" i="74"/>
  <c r="I32" i="74"/>
  <c r="C32" i="74"/>
  <c r="D32" i="74"/>
  <c r="E32" i="74"/>
  <c r="F32" i="74"/>
  <c r="G32" i="74"/>
  <c r="B32" i="74"/>
  <c r="S130" i="78" l="1"/>
  <c r="S131" i="78"/>
  <c r="S129" i="78"/>
  <c r="S117" i="78"/>
  <c r="S118" i="78"/>
  <c r="S116" i="78"/>
  <c r="S107" i="78"/>
  <c r="S108" i="78"/>
  <c r="S109" i="78"/>
  <c r="S106" i="78"/>
  <c r="S98" i="78"/>
  <c r="S97" i="78"/>
  <c r="S20" i="78"/>
  <c r="H25" i="75"/>
  <c r="H24" i="75"/>
  <c r="H23" i="75"/>
  <c r="H22" i="75"/>
  <c r="H21" i="75"/>
  <c r="H20" i="75"/>
  <c r="H19" i="75"/>
  <c r="H18" i="75"/>
  <c r="J126" i="78"/>
  <c r="K19" i="76"/>
  <c r="J19" i="76"/>
  <c r="J91" i="78"/>
  <c r="J90" i="78"/>
  <c r="J88" i="78"/>
  <c r="J77" i="78"/>
  <c r="J78" i="78"/>
  <c r="J79" i="78"/>
  <c r="J80" i="78"/>
  <c r="J81" i="78"/>
  <c r="J82" i="78"/>
  <c r="J83" i="78"/>
  <c r="J84" i="78"/>
  <c r="J76" i="78"/>
  <c r="J75" i="78"/>
  <c r="J64" i="78"/>
  <c r="J65" i="78"/>
  <c r="J66" i="78"/>
  <c r="J67" i="78"/>
  <c r="J68" i="78"/>
  <c r="J69" i="78"/>
  <c r="J70" i="78"/>
  <c r="J63" i="78"/>
  <c r="J55" i="78"/>
  <c r="J39" i="78"/>
  <c r="J40" i="78"/>
  <c r="J38" i="78"/>
  <c r="J32" i="78"/>
  <c r="J30" i="78"/>
  <c r="J26" i="78"/>
  <c r="J10" i="78"/>
  <c r="J11" i="78"/>
  <c r="J12" i="78"/>
  <c r="J13" i="78"/>
  <c r="J9" i="78"/>
  <c r="O32" i="66"/>
  <c r="O14" i="99" l="1"/>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O1775" i="99"/>
  <c r="AA1540" i="99" s="1"/>
  <c r="P1758" i="99"/>
  <c r="P1756" i="99"/>
  <c r="P1752" i="99"/>
  <c r="P1751" i="99"/>
  <c r="P1742" i="99"/>
  <c r="AD1537" i="99" s="1"/>
  <c r="O1742" i="99"/>
  <c r="X1537" i="99" s="1"/>
  <c r="P1732" i="99"/>
  <c r="O1732" i="99"/>
  <c r="X1536" i="99" s="1"/>
  <c r="P1723" i="99"/>
  <c r="P1715" i="99"/>
  <c r="P1695" i="99"/>
  <c r="O1695" i="99"/>
  <c r="P1661" i="99"/>
  <c r="P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Q1674" i="99" s="1"/>
  <c r="O1689" i="99"/>
  <c r="O1688" i="99"/>
  <c r="O1718" i="99"/>
  <c r="Q1718" i="99" s="1"/>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O1671" i="99"/>
  <c r="Q1671" i="99" s="1"/>
  <c r="O1670" i="99"/>
  <c r="Q1670" i="99" s="1"/>
  <c r="O1662" i="99"/>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1" i="99"/>
  <c r="Q1767" i="99"/>
  <c r="Q1766" i="99"/>
  <c r="Q1745" i="99"/>
  <c r="Q1744" i="99"/>
  <c r="Q1743" i="99"/>
  <c r="L1742" i="99"/>
  <c r="L1732" i="99"/>
  <c r="E1732" i="99"/>
  <c r="M1725" i="99"/>
  <c r="K1716" i="99"/>
  <c r="H1715" i="99"/>
  <c r="N1704" i="99"/>
  <c r="Q1697" i="99"/>
  <c r="L1695" i="99"/>
  <c r="L1681" i="99"/>
  <c r="Q1672" i="99"/>
  <c r="V1667" i="99"/>
  <c r="Q1667" i="99"/>
  <c r="V1666" i="99"/>
  <c r="Q1666" i="99"/>
  <c r="Q1662" i="99"/>
  <c r="Q1642" i="99"/>
  <c r="H1642" i="99"/>
  <c r="M1625" i="99"/>
  <c r="J1603"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X1540" i="99"/>
  <c r="P1540" i="99"/>
  <c r="AT1539" i="99"/>
  <c r="P1537" i="99"/>
  <c r="AD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GC663" i="99" s="1"/>
  <c r="K663" i="99"/>
  <c r="I663" i="99"/>
  <c r="H663" i="99"/>
  <c r="G663" i="99"/>
  <c r="F663" i="99"/>
  <c r="E663" i="99"/>
  <c r="D663" i="99"/>
  <c r="C663" i="99"/>
  <c r="B663" i="99"/>
  <c r="Q662" i="99"/>
  <c r="P662" i="99"/>
  <c r="O662" i="99"/>
  <c r="N662" i="99"/>
  <c r="BC662" i="99" s="1"/>
  <c r="K662" i="99"/>
  <c r="I662" i="99"/>
  <c r="H662" i="99"/>
  <c r="G662" i="99"/>
  <c r="F662" i="99"/>
  <c r="E662" i="99"/>
  <c r="D662" i="99"/>
  <c r="C662" i="99"/>
  <c r="B662" i="99"/>
  <c r="Q661" i="99"/>
  <c r="P661" i="99"/>
  <c r="MJ661" i="99" s="1"/>
  <c r="O661" i="99"/>
  <c r="MO661" i="99" s="1"/>
  <c r="N661" i="99"/>
  <c r="K661" i="99"/>
  <c r="I661" i="99"/>
  <c r="H661" i="99"/>
  <c r="G661" i="99"/>
  <c r="F661" i="99"/>
  <c r="E661" i="99"/>
  <c r="D661" i="99"/>
  <c r="C661" i="99"/>
  <c r="B661" i="99"/>
  <c r="Q660" i="99"/>
  <c r="MP660" i="99" s="1"/>
  <c r="P660" i="99"/>
  <c r="MK660" i="99" s="1"/>
  <c r="O660" i="99"/>
  <c r="N660" i="99"/>
  <c r="DN660" i="99" s="1"/>
  <c r="K660" i="99"/>
  <c r="I660" i="99"/>
  <c r="H660" i="99"/>
  <c r="G660" i="99"/>
  <c r="F660" i="99"/>
  <c r="E660" i="99"/>
  <c r="D660" i="99"/>
  <c r="C660" i="99"/>
  <c r="B660" i="99"/>
  <c r="Q659" i="99"/>
  <c r="MS659" i="99" s="1"/>
  <c r="P659" i="99"/>
  <c r="O659" i="99"/>
  <c r="N659" i="99"/>
  <c r="K659" i="99"/>
  <c r="I659" i="99"/>
  <c r="H659" i="99"/>
  <c r="G659" i="99"/>
  <c r="F659" i="99"/>
  <c r="E659" i="99"/>
  <c r="D659" i="99"/>
  <c r="C659" i="99"/>
  <c r="B659" i="99"/>
  <c r="CC659" i="99" s="1"/>
  <c r="Q658" i="99"/>
  <c r="P658" i="99"/>
  <c r="O658" i="99"/>
  <c r="N658" i="99"/>
  <c r="K658" i="99"/>
  <c r="I658" i="99"/>
  <c r="H658" i="99"/>
  <c r="G658" i="99"/>
  <c r="F658" i="99"/>
  <c r="E658" i="99"/>
  <c r="D658" i="99"/>
  <c r="C658" i="99"/>
  <c r="LD658" i="99" s="1"/>
  <c r="B658" i="99"/>
  <c r="Q657" i="99"/>
  <c r="P657" i="99"/>
  <c r="O657" i="99"/>
  <c r="N657" i="99"/>
  <c r="K657" i="99"/>
  <c r="I657" i="99"/>
  <c r="H657" i="99"/>
  <c r="G657" i="99"/>
  <c r="F657" i="99"/>
  <c r="E657" i="99"/>
  <c r="MN657" i="99" s="1"/>
  <c r="D657" i="99"/>
  <c r="C657" i="99"/>
  <c r="B657" i="99"/>
  <c r="Q656" i="99"/>
  <c r="P656" i="99"/>
  <c r="O656" i="99"/>
  <c r="N656" i="99"/>
  <c r="K656" i="99"/>
  <c r="I656" i="99"/>
  <c r="H656" i="99"/>
  <c r="G656" i="99"/>
  <c r="F656" i="99"/>
  <c r="E656" i="99"/>
  <c r="MQ656"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MQ662" i="99"/>
  <c r="MI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MP661" i="99"/>
  <c r="LE661" i="99"/>
  <c r="KY661" i="99"/>
  <c r="KS661" i="99"/>
  <c r="KM661" i="99"/>
  <c r="KG661" i="99"/>
  <c r="KA661" i="99"/>
  <c r="JU661" i="99"/>
  <c r="JO661" i="99"/>
  <c r="JI661" i="99"/>
  <c r="JC661" i="99"/>
  <c r="IW661" i="99"/>
  <c r="IQ661" i="99"/>
  <c r="IK661" i="99"/>
  <c r="IE661" i="99"/>
  <c r="GF661" i="99"/>
  <c r="GE661" i="99"/>
  <c r="GD661" i="99"/>
  <c r="GC661" i="99"/>
  <c r="GB661" i="99"/>
  <c r="GA661" i="99"/>
  <c r="FZ661" i="99"/>
  <c r="FY661" i="99"/>
  <c r="FX661" i="99"/>
  <c r="FW661" i="99"/>
  <c r="EH661" i="99"/>
  <c r="EG661" i="99"/>
  <c r="EF661" i="99"/>
  <c r="EE661" i="99"/>
  <c r="ED661" i="99"/>
  <c r="CE661" i="99"/>
  <c r="LD660" i="99"/>
  <c r="LC660" i="99"/>
  <c r="KL660" i="99"/>
  <c r="KK660" i="99"/>
  <c r="JT660" i="99"/>
  <c r="JS660" i="99"/>
  <c r="JB660" i="99"/>
  <c r="JA660" i="99"/>
  <c r="IJ660" i="99"/>
  <c r="II660" i="99"/>
  <c r="ID660" i="99"/>
  <c r="IC660" i="99"/>
  <c r="IB660" i="99"/>
  <c r="IA660" i="99"/>
  <c r="HZ660" i="99"/>
  <c r="FZ660" i="99"/>
  <c r="ET660" i="99"/>
  <c r="KR659" i="99"/>
  <c r="KL659" i="99"/>
  <c r="JH659" i="99"/>
  <c r="JB659" i="99"/>
  <c r="IC659" i="99"/>
  <c r="IB659" i="99"/>
  <c r="GD659" i="99"/>
  <c r="GC659" i="99"/>
  <c r="FX659" i="99"/>
  <c r="FW659" i="99"/>
  <c r="ED659" i="99"/>
  <c r="CS659" i="99"/>
  <c r="LD657" i="99"/>
  <c r="LC657" i="99"/>
  <c r="LB657" i="99"/>
  <c r="KX657" i="99"/>
  <c r="KW657" i="99"/>
  <c r="KV657" i="99"/>
  <c r="KR657" i="99"/>
  <c r="KQ657" i="99"/>
  <c r="KP657" i="99"/>
  <c r="KL657" i="99"/>
  <c r="KK657" i="99"/>
  <c r="KJ657" i="99"/>
  <c r="KF657" i="99"/>
  <c r="KE657" i="99"/>
  <c r="KD657" i="99"/>
  <c r="JZ657" i="99"/>
  <c r="JX657" i="99"/>
  <c r="JT657" i="99"/>
  <c r="JS657" i="99"/>
  <c r="JR657" i="99"/>
  <c r="JN657" i="99"/>
  <c r="JM657" i="99"/>
  <c r="JL657" i="99"/>
  <c r="JH657" i="99"/>
  <c r="JG657" i="99"/>
  <c r="JF657" i="99"/>
  <c r="JB657" i="99"/>
  <c r="JA657" i="99"/>
  <c r="IZ657" i="99"/>
  <c r="IV657" i="99"/>
  <c r="IU657" i="99"/>
  <c r="IT657" i="99"/>
  <c r="IP657" i="99"/>
  <c r="IO657" i="99"/>
  <c r="IN657" i="99"/>
  <c r="IJ657" i="99"/>
  <c r="II657" i="99"/>
  <c r="IH657" i="99"/>
  <c r="ID657" i="99"/>
  <c r="IC657" i="99"/>
  <c r="IB657" i="99"/>
  <c r="HS657" i="99"/>
  <c r="HO657" i="99"/>
  <c r="GD657" i="99"/>
  <c r="GC657" i="99"/>
  <c r="FC657" i="99"/>
  <c r="DW657" i="99"/>
  <c r="DS657" i="99"/>
  <c r="CA657" i="99"/>
  <c r="BW657" i="99"/>
  <c r="AE657" i="99"/>
  <c r="AA657" i="99"/>
  <c r="MR656" i="99"/>
  <c r="ML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51" i="99" s="1"/>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6" i="99" s="1"/>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G430" i="99" s="1"/>
  <c r="P437" i="99"/>
  <c r="G434" i="99"/>
  <c r="S432" i="99"/>
  <c r="P432" i="99"/>
  <c r="M432" i="99"/>
  <c r="J432" i="99"/>
  <c r="G432" i="99"/>
  <c r="S365" i="99"/>
  <c r="P365" i="99"/>
  <c r="M365" i="99"/>
  <c r="J365" i="99"/>
  <c r="G365" i="99"/>
  <c r="S356" i="99"/>
  <c r="P356" i="99"/>
  <c r="M356" i="99"/>
  <c r="J356" i="99"/>
  <c r="G356" i="99"/>
  <c r="G348" i="99"/>
  <c r="G340" i="99"/>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J440"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F347" i="99"/>
  <c r="V346" i="99"/>
  <c r="W339" i="99"/>
  <c r="O339" i="99"/>
  <c r="V338" i="99"/>
  <c r="P338" i="99"/>
  <c r="M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L293" i="99"/>
  <c r="N293" i="99" s="1"/>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396" i="72"/>
  <c r="O377" i="72"/>
  <c r="O341" i="72"/>
  <c r="P317" i="72"/>
  <c r="O309" i="72"/>
  <c r="O1800" i="99" s="1"/>
  <c r="O284" i="72"/>
  <c r="O265" i="72"/>
  <c r="O1756" i="99" s="1"/>
  <c r="L1756" i="99" s="1"/>
  <c r="O261" i="72"/>
  <c r="O267" i="72" s="1"/>
  <c r="O1758" i="99" s="1"/>
  <c r="O251" i="72"/>
  <c r="O224" i="72"/>
  <c r="O1715" i="99" s="1"/>
  <c r="R1715" i="99" s="1"/>
  <c r="O204" i="72"/>
  <c r="O102" i="72"/>
  <c r="O1593" i="99" s="1"/>
  <c r="P1594" i="99" s="1"/>
  <c r="AB1541" i="99" l="1"/>
  <c r="AA1541" i="99"/>
  <c r="S445" i="99"/>
  <c r="S430" i="99"/>
  <c r="S424" i="99"/>
  <c r="S413" i="99"/>
  <c r="Q1785" i="99"/>
  <c r="AB1540" i="99"/>
  <c r="IO660" i="99"/>
  <c r="JG660" i="99"/>
  <c r="JY660" i="99"/>
  <c r="KQ660" i="99"/>
  <c r="MQ660" i="99"/>
  <c r="IP660" i="99"/>
  <c r="JH660" i="99"/>
  <c r="JZ660" i="99"/>
  <c r="KR660" i="99"/>
  <c r="MR660" i="99"/>
  <c r="IU660" i="99"/>
  <c r="JM660" i="99"/>
  <c r="KE660" i="99"/>
  <c r="KW660" i="99"/>
  <c r="IV660" i="99"/>
  <c r="JN660" i="99"/>
  <c r="KF660" i="99"/>
  <c r="KX660" i="99"/>
  <c r="IE660" i="99"/>
  <c r="IK660" i="99"/>
  <c r="IQ660" i="99"/>
  <c r="IW660" i="99"/>
  <c r="JC660" i="99"/>
  <c r="JI660" i="99"/>
  <c r="JO660" i="99"/>
  <c r="JU660" i="99"/>
  <c r="KA660" i="99"/>
  <c r="KG660" i="99"/>
  <c r="KM660" i="99"/>
  <c r="KS660" i="99"/>
  <c r="KY660" i="99"/>
  <c r="LE660" i="99"/>
  <c r="MS660" i="99"/>
  <c r="IF660" i="99"/>
  <c r="IL660" i="99"/>
  <c r="IR660" i="99"/>
  <c r="IX660" i="99"/>
  <c r="JD660" i="99"/>
  <c r="JJ660" i="99"/>
  <c r="JP660" i="99"/>
  <c r="JV660" i="99"/>
  <c r="KB660" i="99"/>
  <c r="KH660" i="99"/>
  <c r="KN660" i="99"/>
  <c r="KT660" i="99"/>
  <c r="KZ660" i="99"/>
  <c r="LF660" i="99"/>
  <c r="MT660" i="99"/>
  <c r="IG660" i="99"/>
  <c r="IM660" i="99"/>
  <c r="IS660" i="99"/>
  <c r="IY660" i="99"/>
  <c r="JE660" i="99"/>
  <c r="JK660" i="99"/>
  <c r="JQ660" i="99"/>
  <c r="JW660" i="99"/>
  <c r="KC660" i="99"/>
  <c r="KI660" i="99"/>
  <c r="KO660" i="99"/>
  <c r="KU660" i="99"/>
  <c r="LA660" i="99"/>
  <c r="MF660" i="99"/>
  <c r="IH660" i="99"/>
  <c r="IN660" i="99"/>
  <c r="IT660" i="99"/>
  <c r="IZ660" i="99"/>
  <c r="JF660" i="99"/>
  <c r="JL660" i="99"/>
  <c r="JR660" i="99"/>
  <c r="JX660" i="99"/>
  <c r="KD660" i="99"/>
  <c r="KJ660" i="99"/>
  <c r="KP660" i="99"/>
  <c r="KV660" i="99"/>
  <c r="LB660" i="99"/>
  <c r="MI660" i="99"/>
  <c r="ML660" i="99"/>
  <c r="MO660" i="99"/>
  <c r="MG660" i="99"/>
  <c r="MM660" i="99"/>
  <c r="MH660" i="99"/>
  <c r="MN660" i="99"/>
  <c r="MJ660" i="99"/>
  <c r="IL661" i="99"/>
  <c r="JJ661" i="99"/>
  <c r="KH661" i="99"/>
  <c r="MQ661" i="99"/>
  <c r="IA661" i="99"/>
  <c r="IG661" i="99"/>
  <c r="IM661" i="99"/>
  <c r="IS661" i="99"/>
  <c r="IY661" i="99"/>
  <c r="JE661" i="99"/>
  <c r="JK661" i="99"/>
  <c r="JQ661" i="99"/>
  <c r="JW661" i="99"/>
  <c r="KC661" i="99"/>
  <c r="KI661" i="99"/>
  <c r="KO661" i="99"/>
  <c r="KU661" i="99"/>
  <c r="LA661" i="99"/>
  <c r="MF661" i="99"/>
  <c r="ML661" i="99"/>
  <c r="MR661" i="99"/>
  <c r="IR661" i="99"/>
  <c r="JP661" i="99"/>
  <c r="KN661" i="99"/>
  <c r="MK661" i="99"/>
  <c r="IB661" i="99"/>
  <c r="IH661" i="99"/>
  <c r="IN661" i="99"/>
  <c r="IT661" i="99"/>
  <c r="IZ661" i="99"/>
  <c r="JF661" i="99"/>
  <c r="JL661" i="99"/>
  <c r="JR661" i="99"/>
  <c r="JX661" i="99"/>
  <c r="KD661" i="99"/>
  <c r="KJ661" i="99"/>
  <c r="KP661" i="99"/>
  <c r="KV661" i="99"/>
  <c r="LB661" i="99"/>
  <c r="MG661" i="99"/>
  <c r="MM661" i="99"/>
  <c r="MS661" i="99"/>
  <c r="IF661" i="99"/>
  <c r="JD661" i="99"/>
  <c r="JV661" i="99"/>
  <c r="KT661" i="99"/>
  <c r="LF661" i="99"/>
  <c r="IC661" i="99"/>
  <c r="IC687" i="99" s="1"/>
  <c r="II661" i="99"/>
  <c r="IO661" i="99"/>
  <c r="IU661" i="99"/>
  <c r="JA661" i="99"/>
  <c r="JG661" i="99"/>
  <c r="JM661" i="99"/>
  <c r="JS661" i="99"/>
  <c r="JY661" i="99"/>
  <c r="KE661" i="99"/>
  <c r="KK661" i="99"/>
  <c r="KQ661" i="99"/>
  <c r="KW661" i="99"/>
  <c r="LC661" i="99"/>
  <c r="MH661" i="99"/>
  <c r="MN661" i="99"/>
  <c r="MT661" i="99"/>
  <c r="HZ661" i="99"/>
  <c r="IX661" i="99"/>
  <c r="KB661" i="99"/>
  <c r="KZ661" i="99"/>
  <c r="ID661" i="99"/>
  <c r="IJ661" i="99"/>
  <c r="IP661" i="99"/>
  <c r="IV661" i="99"/>
  <c r="IV687" i="99" s="1"/>
  <c r="M781" i="99" s="1"/>
  <c r="JB661" i="99"/>
  <c r="JB687" i="99" s="1"/>
  <c r="N778" i="99" s="1"/>
  <c r="JH661" i="99"/>
  <c r="JN661" i="99"/>
  <c r="JT661" i="99"/>
  <c r="JZ661" i="99"/>
  <c r="KF661" i="99"/>
  <c r="KL661" i="99"/>
  <c r="KR661" i="99"/>
  <c r="KX661" i="99"/>
  <c r="LD661" i="99"/>
  <c r="MI661" i="99"/>
  <c r="FW663" i="99"/>
  <c r="FX663" i="99"/>
  <c r="FY663" i="99"/>
  <c r="EE663" i="99"/>
  <c r="GA663" i="99"/>
  <c r="EF663" i="99"/>
  <c r="GB663" i="99"/>
  <c r="EG663" i="99"/>
  <c r="HF662" i="99"/>
  <c r="DY662" i="99"/>
  <c r="LK660" i="99"/>
  <c r="MO662" i="99"/>
  <c r="AO660" i="99"/>
  <c r="HF660" i="99"/>
  <c r="BJ660" i="99"/>
  <c r="CH660" i="99"/>
  <c r="MK662" i="99"/>
  <c r="MS662" i="99"/>
  <c r="MJ662" i="99"/>
  <c r="MM662" i="99"/>
  <c r="MR662" i="99"/>
  <c r="MF662" i="99"/>
  <c r="MN662" i="99"/>
  <c r="MG662" i="99"/>
  <c r="MN659" i="99"/>
  <c r="MP657" i="99"/>
  <c r="EY657" i="99"/>
  <c r="MH657" i="99"/>
  <c r="JY657" i="99"/>
  <c r="MI657" i="99"/>
  <c r="MM656" i="99"/>
  <c r="JY656" i="99"/>
  <c r="MH656" i="99"/>
  <c r="MN656" i="99"/>
  <c r="MT656" i="99"/>
  <c r="MS656" i="99"/>
  <c r="MI656" i="99"/>
  <c r="MO656" i="99"/>
  <c r="MJ656" i="99"/>
  <c r="MP656" i="99"/>
  <c r="MG656" i="99"/>
  <c r="MK656" i="99"/>
  <c r="ID659" i="99"/>
  <c r="EF659" i="99"/>
  <c r="FZ659" i="99"/>
  <c r="GF659" i="99"/>
  <c r="IJ659" i="99"/>
  <c r="JT659" i="99"/>
  <c r="LD659" i="99"/>
  <c r="FY659" i="99"/>
  <c r="KX659" i="99"/>
  <c r="EG659" i="99"/>
  <c r="GA659" i="99"/>
  <c r="HZ659" i="99"/>
  <c r="IP659" i="99"/>
  <c r="JZ659" i="99"/>
  <c r="ML659" i="99"/>
  <c r="EE659" i="99"/>
  <c r="GE659" i="99"/>
  <c r="JN659" i="99"/>
  <c r="EH659" i="99"/>
  <c r="GB659" i="99"/>
  <c r="IA659" i="99"/>
  <c r="IV659" i="99"/>
  <c r="KF659" i="99"/>
  <c r="MM659" i="99"/>
  <c r="IP658" i="99"/>
  <c r="JZ658" i="99"/>
  <c r="IV658" i="99"/>
  <c r="KF658" i="99"/>
  <c r="JB658" i="99"/>
  <c r="KL658" i="99"/>
  <c r="JH658" i="99"/>
  <c r="JH687" i="99" s="1"/>
  <c r="O779" i="99" s="1"/>
  <c r="KR658" i="99"/>
  <c r="LE658" i="99"/>
  <c r="ID658" i="99"/>
  <c r="JN658" i="99"/>
  <c r="KX658" i="99"/>
  <c r="IJ658" i="99"/>
  <c r="IJ687" i="99" s="1"/>
  <c r="K775" i="99" s="1"/>
  <c r="JT658" i="99"/>
  <c r="L1584" i="99"/>
  <c r="L294" i="99"/>
  <c r="N294" i="99" s="1"/>
  <c r="II659" i="99"/>
  <c r="IO659" i="99"/>
  <c r="IU659" i="99"/>
  <c r="JA659" i="99"/>
  <c r="JG659" i="99"/>
  <c r="JM659" i="99"/>
  <c r="JS659" i="99"/>
  <c r="JY659" i="99"/>
  <c r="KE659" i="99"/>
  <c r="KK659" i="99"/>
  <c r="KQ659" i="99"/>
  <c r="KW659" i="99"/>
  <c r="LC659" i="99"/>
  <c r="MT659" i="99"/>
  <c r="IE659" i="99"/>
  <c r="IK659" i="99"/>
  <c r="IQ659" i="99"/>
  <c r="IW659" i="99"/>
  <c r="JC659" i="99"/>
  <c r="JI659" i="99"/>
  <c r="JO659" i="99"/>
  <c r="JU659" i="99"/>
  <c r="KA659" i="99"/>
  <c r="KG659" i="99"/>
  <c r="KM659" i="99"/>
  <c r="KS659" i="99"/>
  <c r="KY659" i="99"/>
  <c r="LE659" i="99"/>
  <c r="MP659" i="99"/>
  <c r="IF659" i="99"/>
  <c r="IL659" i="99"/>
  <c r="IR659" i="99"/>
  <c r="IX659" i="99"/>
  <c r="JD659" i="99"/>
  <c r="JJ659" i="99"/>
  <c r="JP659" i="99"/>
  <c r="JV659" i="99"/>
  <c r="KB659" i="99"/>
  <c r="KH659" i="99"/>
  <c r="KN659" i="99"/>
  <c r="KT659" i="99"/>
  <c r="KZ659" i="99"/>
  <c r="LF659" i="99"/>
  <c r="MQ659" i="99"/>
  <c r="IG659" i="99"/>
  <c r="IM659" i="99"/>
  <c r="IS659" i="99"/>
  <c r="IY659" i="99"/>
  <c r="JE659" i="99"/>
  <c r="JK659" i="99"/>
  <c r="JQ659" i="99"/>
  <c r="JW659" i="99"/>
  <c r="KC659" i="99"/>
  <c r="KI659" i="99"/>
  <c r="KO659" i="99"/>
  <c r="KU659" i="99"/>
  <c r="LA659" i="99"/>
  <c r="MF659" i="99"/>
  <c r="MR659" i="99"/>
  <c r="IH659" i="99"/>
  <c r="IN659" i="99"/>
  <c r="IT659" i="99"/>
  <c r="IZ659" i="99"/>
  <c r="JF659" i="99"/>
  <c r="JL659" i="99"/>
  <c r="JR659" i="99"/>
  <c r="JX659" i="99"/>
  <c r="KD659" i="99"/>
  <c r="KJ659" i="99"/>
  <c r="KP659" i="99"/>
  <c r="KV659" i="99"/>
  <c r="LB659" i="99"/>
  <c r="MH659" i="99"/>
  <c r="MI659" i="99"/>
  <c r="MO659" i="99"/>
  <c r="GK659" i="99"/>
  <c r="HQ659" i="99"/>
  <c r="MJ659" i="99"/>
  <c r="MK659" i="99"/>
  <c r="MG659" i="99"/>
  <c r="LW657" i="99"/>
  <c r="IF658" i="99"/>
  <c r="IL658" i="99"/>
  <c r="IR658" i="99"/>
  <c r="IX658" i="99"/>
  <c r="JD658" i="99"/>
  <c r="JJ658" i="99"/>
  <c r="JP658" i="99"/>
  <c r="JV658" i="99"/>
  <c r="KB658" i="99"/>
  <c r="KH658" i="99"/>
  <c r="KN658" i="99"/>
  <c r="KT658" i="99"/>
  <c r="KZ658" i="99"/>
  <c r="LF658" i="99"/>
  <c r="HZ658" i="99"/>
  <c r="IG658" i="99"/>
  <c r="IM658" i="99"/>
  <c r="IS658" i="99"/>
  <c r="IY658" i="99"/>
  <c r="JE658" i="99"/>
  <c r="JK658" i="99"/>
  <c r="JQ658" i="99"/>
  <c r="JW658" i="99"/>
  <c r="KC658" i="99"/>
  <c r="KI658" i="99"/>
  <c r="KO658" i="99"/>
  <c r="KU658" i="99"/>
  <c r="LA658" i="99"/>
  <c r="MI658" i="99"/>
  <c r="IA658" i="99"/>
  <c r="IH658" i="99"/>
  <c r="IN658" i="99"/>
  <c r="IT658" i="99"/>
  <c r="IZ658" i="99"/>
  <c r="JF658" i="99"/>
  <c r="JL658" i="99"/>
  <c r="JR658" i="99"/>
  <c r="JX658" i="99"/>
  <c r="KD658" i="99"/>
  <c r="KJ658" i="99"/>
  <c r="KP658" i="99"/>
  <c r="KV658" i="99"/>
  <c r="LB658" i="99"/>
  <c r="MO658" i="99"/>
  <c r="IC658" i="99"/>
  <c r="II658" i="99"/>
  <c r="IO658" i="99"/>
  <c r="IU658" i="99"/>
  <c r="JA658" i="99"/>
  <c r="JG658" i="99"/>
  <c r="JM658" i="99"/>
  <c r="JS658" i="99"/>
  <c r="JY658" i="99"/>
  <c r="KE658" i="99"/>
  <c r="KE687" i="99" s="1"/>
  <c r="M767" i="99" s="1"/>
  <c r="KK658" i="99"/>
  <c r="KQ658" i="99"/>
  <c r="KW658" i="99"/>
  <c r="LC658" i="99"/>
  <c r="MS658" i="99"/>
  <c r="IE658" i="99"/>
  <c r="IK658" i="99"/>
  <c r="IQ658" i="99"/>
  <c r="IW658" i="99"/>
  <c r="JC658" i="99"/>
  <c r="JI658" i="99"/>
  <c r="JO658" i="99"/>
  <c r="JU658" i="99"/>
  <c r="KA658" i="99"/>
  <c r="KG658" i="99"/>
  <c r="KM658" i="99"/>
  <c r="KS658" i="99"/>
  <c r="KY658" i="99"/>
  <c r="MT657" i="99"/>
  <c r="MJ657" i="99"/>
  <c r="MO657" i="99"/>
  <c r="EK658" i="99"/>
  <c r="BS657" i="99"/>
  <c r="DO657" i="99"/>
  <c r="EU657" i="99"/>
  <c r="GB657" i="99"/>
  <c r="HK657" i="99"/>
  <c r="AU657" i="99"/>
  <c r="CQ657" i="99"/>
  <c r="EF657" i="99"/>
  <c r="FS657" i="99"/>
  <c r="GM657" i="99"/>
  <c r="LM657" i="99"/>
  <c r="AY657" i="99"/>
  <c r="CU657" i="99"/>
  <c r="EG657" i="99"/>
  <c r="FW657" i="99"/>
  <c r="GQ657" i="99"/>
  <c r="LR657" i="99"/>
  <c r="BC657" i="99"/>
  <c r="CY657" i="99"/>
  <c r="EH657" i="99"/>
  <c r="FX657" i="99"/>
  <c r="GU657" i="99"/>
  <c r="L879" i="99"/>
  <c r="L869" i="99"/>
  <c r="F885" i="99"/>
  <c r="F865" i="99"/>
  <c r="A657" i="99"/>
  <c r="MJ658" i="99"/>
  <c r="E687" i="99"/>
  <c r="MH658" i="99"/>
  <c r="MN658" i="99"/>
  <c r="MT658" i="99"/>
  <c r="MK658" i="99"/>
  <c r="MQ658" i="99"/>
  <c r="B688" i="99"/>
  <c r="MP658" i="99"/>
  <c r="MF658" i="99"/>
  <c r="ML658" i="99"/>
  <c r="MR658" i="99"/>
  <c r="IB658" i="99"/>
  <c r="MG658" i="99"/>
  <c r="MM658" i="99"/>
  <c r="MR657" i="99"/>
  <c r="E688" i="99"/>
  <c r="AQ657" i="99"/>
  <c r="BO657" i="99"/>
  <c r="CM657" i="99"/>
  <c r="DK657" i="99"/>
  <c r="EE657" i="99"/>
  <c r="EQ657" i="99"/>
  <c r="FO657" i="99"/>
  <c r="GA657" i="99"/>
  <c r="GI657" i="99"/>
  <c r="HG657" i="99"/>
  <c r="IA657" i="99"/>
  <c r="IG657" i="99"/>
  <c r="IG687" i="99" s="1"/>
  <c r="M774" i="99" s="1"/>
  <c r="IM657" i="99"/>
  <c r="IS657" i="99"/>
  <c r="IY657" i="99"/>
  <c r="JE657" i="99"/>
  <c r="JK657" i="99"/>
  <c r="JQ657" i="99"/>
  <c r="JQ687" i="99" s="1"/>
  <c r="N777" i="99" s="1"/>
  <c r="N788" i="99" s="1"/>
  <c r="JW657" i="99"/>
  <c r="KC657" i="99"/>
  <c r="KI657" i="99"/>
  <c r="KO657" i="99"/>
  <c r="KU657" i="99"/>
  <c r="LA657" i="99"/>
  <c r="LA687" i="99" s="1"/>
  <c r="O771" i="99" s="1"/>
  <c r="LG657" i="99"/>
  <c r="MG657" i="99"/>
  <c r="MM657" i="99"/>
  <c r="MS657" i="99"/>
  <c r="AI657" i="99"/>
  <c r="BG657" i="99"/>
  <c r="CE657" i="99"/>
  <c r="DC657" i="99"/>
  <c r="EA657" i="99"/>
  <c r="EI657" i="99"/>
  <c r="FG657" i="99"/>
  <c r="FY657" i="99"/>
  <c r="GE657" i="99"/>
  <c r="GY657" i="99"/>
  <c r="HW657" i="99"/>
  <c r="IE657" i="99"/>
  <c r="IK657" i="99"/>
  <c r="IQ657" i="99"/>
  <c r="IW657" i="99"/>
  <c r="JC657" i="99"/>
  <c r="JI657" i="99"/>
  <c r="JO657" i="99"/>
  <c r="JU657" i="99"/>
  <c r="KA657" i="99"/>
  <c r="KG657" i="99"/>
  <c r="KM657" i="99"/>
  <c r="KS657" i="99"/>
  <c r="KY657" i="99"/>
  <c r="LE657" i="99"/>
  <c r="MC657" i="99"/>
  <c r="MK657" i="99"/>
  <c r="MQ657" i="99"/>
  <c r="AM657" i="99"/>
  <c r="BK657" i="99"/>
  <c r="CI657" i="99"/>
  <c r="DG657" i="99"/>
  <c r="ED657" i="99"/>
  <c r="EM657" i="99"/>
  <c r="FK657" i="99"/>
  <c r="FZ657" i="99"/>
  <c r="GF657" i="99"/>
  <c r="HC657" i="99"/>
  <c r="HZ657" i="99"/>
  <c r="IF657" i="99"/>
  <c r="IL657" i="99"/>
  <c r="IR657" i="99"/>
  <c r="IX657" i="99"/>
  <c r="JD657" i="99"/>
  <c r="JJ657" i="99"/>
  <c r="JP657" i="99"/>
  <c r="JV657" i="99"/>
  <c r="KB657" i="99"/>
  <c r="KH657" i="99"/>
  <c r="KN657" i="99"/>
  <c r="KT657" i="99"/>
  <c r="KZ657" i="99"/>
  <c r="LF657" i="99"/>
  <c r="MF657" i="99"/>
  <c r="ML657" i="99"/>
  <c r="FA656" i="99"/>
  <c r="BM659" i="99"/>
  <c r="FU659" i="99"/>
  <c r="HA659" i="99"/>
  <c r="DI659" i="99"/>
  <c r="LI659" i="99"/>
  <c r="AG659" i="99"/>
  <c r="DY659" i="99"/>
  <c r="EO659" i="99"/>
  <c r="LY659" i="99"/>
  <c r="AW659" i="99"/>
  <c r="FE659" i="99"/>
  <c r="BY658" i="99"/>
  <c r="FQ658" i="99"/>
  <c r="BI658" i="99"/>
  <c r="FA658" i="99"/>
  <c r="LU658" i="99"/>
  <c r="CO658" i="99"/>
  <c r="AA658" i="99"/>
  <c r="DE658" i="99"/>
  <c r="GW658" i="99"/>
  <c r="AI658" i="99"/>
  <c r="DU658" i="99"/>
  <c r="HM658" i="99"/>
  <c r="GG658" i="99"/>
  <c r="AS658" i="99"/>
  <c r="A437" i="99"/>
  <c r="J492" i="99"/>
  <c r="G445" i="99"/>
  <c r="G413" i="99"/>
  <c r="J402" i="99"/>
  <c r="J396" i="99"/>
  <c r="U381" i="99"/>
  <c r="J346" i="99"/>
  <c r="J328" i="99"/>
  <c r="G351" i="99"/>
  <c r="G328" i="99"/>
  <c r="L275" i="99"/>
  <c r="O1752" i="99"/>
  <c r="Q1758" i="99" s="1"/>
  <c r="L1674" i="99"/>
  <c r="F1171" i="99"/>
  <c r="H1171" i="99"/>
  <c r="I1171" i="99"/>
  <c r="K1171" i="99"/>
  <c r="L613" i="99"/>
  <c r="K613" i="99"/>
  <c r="I613" i="99"/>
  <c r="M1932" i="99"/>
  <c r="K171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Q687" i="99"/>
  <c r="O770" i="99" s="1"/>
  <c r="IB687" i="99"/>
  <c r="LD687" i="99"/>
  <c r="M773" i="99" s="1"/>
  <c r="LE687" i="99"/>
  <c r="N773" i="99" s="1"/>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S456" i="99"/>
  <c r="U327" i="99"/>
  <c r="AD437" i="99"/>
  <c r="E348" i="99"/>
  <c r="G353" i="99"/>
  <c r="AF418" i="99"/>
  <c r="I302" i="99"/>
  <c r="JG687" i="99" l="1"/>
  <c r="N779" i="99" s="1"/>
  <c r="KJ687" i="99"/>
  <c r="M769" i="99" s="1"/>
  <c r="M792" i="99" s="1"/>
  <c r="IZ687" i="99"/>
  <c r="L778" i="99" s="1"/>
  <c r="MN687" i="99"/>
  <c r="KX687" i="99"/>
  <c r="L771" i="99" s="1"/>
  <c r="IO687" i="99"/>
  <c r="K780" i="99" s="1"/>
  <c r="KW687" i="99"/>
  <c r="K771" i="99" s="1"/>
  <c r="JM687" i="99"/>
  <c r="O776" i="99" s="1"/>
  <c r="O787" i="99" s="1"/>
  <c r="JZ687" i="99"/>
  <c r="M768" i="99" s="1"/>
  <c r="KK687" i="99"/>
  <c r="N769" i="99" s="1"/>
  <c r="N792" i="99" s="1"/>
  <c r="JA687" i="99"/>
  <c r="M778" i="99" s="1"/>
  <c r="KR687" i="99"/>
  <c r="K772" i="99" s="1"/>
  <c r="JR687" i="99"/>
  <c r="O777" i="99" s="1"/>
  <c r="O788" i="99" s="1"/>
  <c r="JJ687" i="99"/>
  <c r="L776" i="99" s="1"/>
  <c r="L787" i="99" s="1"/>
  <c r="IP687" i="99"/>
  <c r="L780" i="99" s="1"/>
  <c r="IX687" i="99"/>
  <c r="O781" i="99" s="1"/>
  <c r="MP687" i="99"/>
  <c r="KH687" i="99"/>
  <c r="K769" i="99" s="1"/>
  <c r="MH687" i="99"/>
  <c r="JX687" i="99"/>
  <c r="K768" i="99" s="1"/>
  <c r="IN687" i="99"/>
  <c r="O775" i="99" s="1"/>
  <c r="JS687" i="99"/>
  <c r="K766" i="99" s="1"/>
  <c r="II687" i="99"/>
  <c r="O774" i="99" s="1"/>
  <c r="KF687" i="99"/>
  <c r="N767" i="99" s="1"/>
  <c r="IQ687" i="99"/>
  <c r="M780" i="99" s="1"/>
  <c r="IL687" i="99"/>
  <c r="M775" i="99" s="1"/>
  <c r="IW687" i="99"/>
  <c r="N781" i="99" s="1"/>
  <c r="IK687" i="99"/>
  <c r="L775" i="99" s="1"/>
  <c r="MI687" i="99"/>
  <c r="JN687" i="99"/>
  <c r="K777" i="99" s="1"/>
  <c r="K788" i="99" s="1"/>
  <c r="JT687" i="99"/>
  <c r="L766" i="99" s="1"/>
  <c r="JV687" i="99"/>
  <c r="N766" i="99" s="1"/>
  <c r="MG687" i="99"/>
  <c r="KD687" i="99"/>
  <c r="L767" i="99" s="1"/>
  <c r="MQ687" i="99"/>
  <c r="MK687" i="99"/>
  <c r="LC687" i="99"/>
  <c r="L773" i="99" s="1"/>
  <c r="JL687" i="99"/>
  <c r="N776" i="99" s="1"/>
  <c r="N787" i="99" s="1"/>
  <c r="JF687" i="99"/>
  <c r="M779" i="99" s="1"/>
  <c r="KM687" i="99"/>
  <c r="K770" i="99" s="1"/>
  <c r="K789" i="99" s="1"/>
  <c r="KL687" i="99"/>
  <c r="O769" i="99" s="1"/>
  <c r="IU687" i="99"/>
  <c r="L781" i="99" s="1"/>
  <c r="IY687" i="99"/>
  <c r="K778" i="99" s="1"/>
  <c r="MJ687" i="99"/>
  <c r="LB687" i="99"/>
  <c r="K773" i="99" s="1"/>
  <c r="IF687" i="99"/>
  <c r="L774" i="99" s="1"/>
  <c r="KG687" i="99"/>
  <c r="O767" i="99" s="1"/>
  <c r="O790" i="99" s="1"/>
  <c r="KZ687" i="99"/>
  <c r="N771" i="99" s="1"/>
  <c r="JP687" i="99"/>
  <c r="M777" i="99" s="1"/>
  <c r="M788" i="99" s="1"/>
  <c r="IH687" i="99"/>
  <c r="N774" i="99" s="1"/>
  <c r="KV687" i="99"/>
  <c r="O772" i="99" s="1"/>
  <c r="IT687" i="99"/>
  <c r="K781" i="99" s="1"/>
  <c r="JU687" i="99"/>
  <c r="M766" i="99" s="1"/>
  <c r="JW687" i="99"/>
  <c r="O766" i="99" s="1"/>
  <c r="O789" i="99" s="1"/>
  <c r="LF687" i="99"/>
  <c r="O773" i="99" s="1"/>
  <c r="KI687" i="99"/>
  <c r="L769" i="99" s="1"/>
  <c r="KS687" i="99"/>
  <c r="L772" i="99" s="1"/>
  <c r="L791" i="99" s="1"/>
  <c r="JI687" i="99"/>
  <c r="K776" i="99" s="1"/>
  <c r="K787" i="99" s="1"/>
  <c r="MO687" i="99"/>
  <c r="ML687" i="99"/>
  <c r="MM687" i="99"/>
  <c r="KU687" i="99"/>
  <c r="N772" i="99" s="1"/>
  <c r="JK687" i="99"/>
  <c r="M776" i="99" s="1"/>
  <c r="M787" i="99" s="1"/>
  <c r="IA687" i="99"/>
  <c r="MR687" i="99"/>
  <c r="KB687" i="99"/>
  <c r="O768" i="99" s="1"/>
  <c r="IR687" i="99"/>
  <c r="N780" i="99" s="1"/>
  <c r="JO687" i="99"/>
  <c r="L777" i="99" s="1"/>
  <c r="L788" i="99" s="1"/>
  <c r="IE687" i="99"/>
  <c r="K774" i="99" s="1"/>
  <c r="KC687" i="99"/>
  <c r="K767" i="99" s="1"/>
  <c r="IS687" i="99"/>
  <c r="O780" i="99" s="1"/>
  <c r="KT687" i="99"/>
  <c r="M772" i="99" s="1"/>
  <c r="HZ687" i="99"/>
  <c r="KN687" i="99"/>
  <c r="L770" i="99" s="1"/>
  <c r="KP687" i="99"/>
  <c r="N770" i="99" s="1"/>
  <c r="MF687" i="99"/>
  <c r="MS687" i="99"/>
  <c r="KO687" i="99"/>
  <c r="M770" i="99" s="1"/>
  <c r="JE687" i="99"/>
  <c r="L779" i="99" s="1"/>
  <c r="IM687" i="99"/>
  <c r="N775" i="99" s="1"/>
  <c r="MT687" i="99"/>
  <c r="KY687" i="99"/>
  <c r="M771" i="99" s="1"/>
  <c r="JC687" i="99"/>
  <c r="O778" i="99" s="1"/>
  <c r="O785" i="99" s="1"/>
  <c r="LM687" i="99"/>
  <c r="GA687" i="99"/>
  <c r="EJ687" i="99"/>
  <c r="L795" i="99" s="1"/>
  <c r="KA687" i="99"/>
  <c r="N768" i="99" s="1"/>
  <c r="JD687" i="99"/>
  <c r="K779" i="99" s="1"/>
  <c r="K786" i="99" s="1"/>
  <c r="GC687" i="99"/>
  <c r="L805" i="99" s="1"/>
  <c r="FB687" i="99"/>
  <c r="O798" i="99" s="1"/>
  <c r="AI687" i="99"/>
  <c r="L696" i="99" s="1"/>
  <c r="BA687" i="99"/>
  <c r="O699" i="99" s="1"/>
  <c r="HV687" i="99"/>
  <c r="A687" i="99"/>
  <c r="A644" i="99" s="1"/>
  <c r="MA687" i="99"/>
  <c r="CG687" i="99"/>
  <c r="L733" i="99" s="1"/>
  <c r="HR687" i="99"/>
  <c r="M758" i="99" s="1"/>
  <c r="BF687" i="99"/>
  <c r="O700" i="99" s="1"/>
  <c r="Q1509" i="99"/>
  <c r="F1522"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L790" i="99" l="1"/>
  <c r="K791" i="99"/>
  <c r="M791" i="99"/>
  <c r="M786" i="99"/>
  <c r="M785" i="99"/>
  <c r="L792" i="99"/>
  <c r="N790" i="99"/>
  <c r="L785" i="99"/>
  <c r="O786" i="99"/>
  <c r="K792" i="99"/>
  <c r="P769" i="99"/>
  <c r="O763" i="99"/>
  <c r="P781" i="99"/>
  <c r="L789" i="99"/>
  <c r="N763" i="99"/>
  <c r="P878" i="99"/>
  <c r="N789" i="99"/>
  <c r="L786" i="99"/>
  <c r="P773" i="99"/>
  <c r="P771" i="99"/>
  <c r="P877" i="99"/>
  <c r="K765" i="99"/>
  <c r="P774" i="99"/>
  <c r="Q878" i="99"/>
  <c r="P767" i="99"/>
  <c r="N785" i="99"/>
  <c r="K785" i="99"/>
  <c r="M789" i="99"/>
  <c r="O791" i="99"/>
  <c r="P766" i="99"/>
  <c r="O792" i="99"/>
  <c r="P788" i="99"/>
  <c r="K790" i="99"/>
  <c r="L763" i="99"/>
  <c r="P777" i="99"/>
  <c r="L765" i="99"/>
  <c r="Q879" i="99"/>
  <c r="P780" i="99"/>
  <c r="P775" i="99"/>
  <c r="N786" i="99"/>
  <c r="O765" i="99"/>
  <c r="P772" i="99"/>
  <c r="P787" i="99"/>
  <c r="P879" i="99"/>
  <c r="P768" i="99"/>
  <c r="M763" i="99"/>
  <c r="M790" i="99"/>
  <c r="N791" i="99"/>
  <c r="Q877" i="99"/>
  <c r="N765" i="99"/>
  <c r="P778" i="99"/>
  <c r="P776" i="99"/>
  <c r="P770" i="99"/>
  <c r="M765" i="99"/>
  <c r="K763" i="99"/>
  <c r="P779" i="99"/>
  <c r="O759" i="99"/>
  <c r="L753" i="99"/>
  <c r="P795" i="99"/>
  <c r="N756" i="99"/>
  <c r="M738" i="99"/>
  <c r="O756" i="99"/>
  <c r="P805" i="99"/>
  <c r="P751" i="99"/>
  <c r="P736" i="99"/>
  <c r="K753" i="99"/>
  <c r="K759" i="99"/>
  <c r="O749" i="99"/>
  <c r="M753" i="99"/>
  <c r="N753" i="99"/>
  <c r="P731" i="99"/>
  <c r="N759" i="99"/>
  <c r="L701" i="99"/>
  <c r="L703" i="99" s="1"/>
  <c r="L705" i="99" s="1"/>
  <c r="L717" i="99" s="1"/>
  <c r="P735" i="99"/>
  <c r="P696" i="99"/>
  <c r="P758" i="99"/>
  <c r="P698" i="99"/>
  <c r="P700" i="99"/>
  <c r="Q801" i="99" s="1"/>
  <c r="P797" i="99"/>
  <c r="P752" i="99"/>
  <c r="P699" i="99"/>
  <c r="Q800" i="99" s="1"/>
  <c r="P702" i="99"/>
  <c r="Q803" i="99" s="1"/>
  <c r="O738" i="99"/>
  <c r="P744" i="99"/>
  <c r="P803" i="99"/>
  <c r="P745" i="99"/>
  <c r="O802" i="99"/>
  <c r="O804" i="99" s="1"/>
  <c r="O806" i="99" s="1"/>
  <c r="P798" i="99"/>
  <c r="M759" i="99"/>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2" i="99" l="1"/>
  <c r="P789" i="99"/>
  <c r="P786" i="99"/>
  <c r="P785" i="99"/>
  <c r="P791" i="99"/>
  <c r="Q796" i="99"/>
  <c r="Q799" i="99"/>
  <c r="P790" i="99"/>
  <c r="P763" i="99"/>
  <c r="P881" i="99" s="1"/>
  <c r="P765" i="99"/>
  <c r="Q798" i="99"/>
  <c r="Q797" i="99"/>
  <c r="L809" i="99"/>
  <c r="P753" i="99"/>
  <c r="M809" i="99"/>
  <c r="N711" i="99"/>
  <c r="L714" i="99"/>
  <c r="P701" i="99"/>
  <c r="N714" i="99"/>
  <c r="M720" i="99"/>
  <c r="L723" i="99"/>
  <c r="L720" i="99"/>
  <c r="M711" i="99"/>
  <c r="P759" i="99"/>
  <c r="M708" i="99"/>
  <c r="N723" i="99"/>
  <c r="N717" i="99"/>
  <c r="O717" i="99"/>
  <c r="O809" i="99"/>
  <c r="M717" i="99"/>
  <c r="M723" i="99"/>
  <c r="O726" i="99"/>
  <c r="O720" i="99"/>
  <c r="M726" i="99"/>
  <c r="L726" i="99"/>
  <c r="L708" i="99"/>
  <c r="L711" i="99"/>
  <c r="P749" i="99"/>
  <c r="P738" i="99"/>
  <c r="O714" i="99"/>
  <c r="O723" i="99"/>
  <c r="O711" i="99"/>
  <c r="P756" i="99"/>
  <c r="G909" i="99"/>
  <c r="N708" i="99"/>
  <c r="P802" i="99"/>
  <c r="N720" i="99"/>
  <c r="N726" i="99"/>
  <c r="P703" i="99"/>
  <c r="K705" i="99"/>
  <c r="K806" i="99"/>
  <c r="P806" i="99" s="1"/>
  <c r="K813"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X1539" i="99"/>
  <c r="AA1539" i="99"/>
  <c r="AB1539" i="99"/>
  <c r="Z1539" i="99"/>
  <c r="AC1539" i="99"/>
  <c r="Y1539" i="99"/>
  <c r="I161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I594" i="99"/>
  <c r="J37" i="99"/>
  <c r="A508" i="99"/>
  <c r="P50" i="98"/>
  <c r="G74" i="98" s="1"/>
  <c r="L74" i="98" s="1"/>
  <c r="A2" i="75"/>
  <c r="A2" i="68"/>
  <c r="A2" i="78"/>
  <c r="W2" i="78" s="1"/>
  <c r="A1" i="77"/>
  <c r="A1" i="72"/>
  <c r="A1" i="76"/>
  <c r="A1" i="73"/>
  <c r="A2" i="74"/>
  <c r="G60" i="98"/>
  <c r="L60" i="98" s="1"/>
  <c r="G63" i="98"/>
  <c r="L63" i="98" s="1"/>
  <c r="G52" i="98"/>
  <c r="L52" i="98" s="1"/>
  <c r="G70" i="98"/>
  <c r="L70" i="98" s="1"/>
  <c r="G50" i="98"/>
  <c r="L50" i="98" s="1"/>
  <c r="G51" i="98"/>
  <c r="L51" i="98" s="1"/>
  <c r="G65" i="98"/>
  <c r="L65"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5" i="75" s="1"/>
  <c r="J663" i="99" s="1"/>
  <c r="L663" i="99" s="1"/>
  <c r="M663"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22" i="75" l="1"/>
  <c r="J660" i="99" s="1"/>
  <c r="L660" i="99" s="1"/>
  <c r="M660" i="99" s="1"/>
  <c r="J24" i="75"/>
  <c r="J662" i="99" s="1"/>
  <c r="L662" i="99" s="1"/>
  <c r="M662" i="99" s="1"/>
  <c r="J18" i="75"/>
  <c r="J656" i="99" s="1"/>
  <c r="L656" i="99" s="1"/>
  <c r="M656" i="99" s="1"/>
  <c r="J19" i="75"/>
  <c r="J657" i="99" s="1"/>
  <c r="L657" i="99" s="1"/>
  <c r="M657" i="99" s="1"/>
  <c r="D56" i="86"/>
  <c r="G57" i="98"/>
  <c r="L57" i="98" s="1"/>
  <c r="G56" i="98"/>
  <c r="L56" i="98" s="1"/>
  <c r="G64" i="98"/>
  <c r="L64" i="98" s="1"/>
  <c r="G58" i="98"/>
  <c r="L58" i="98" s="1"/>
  <c r="G66" i="98"/>
  <c r="L66" i="98" s="1"/>
  <c r="G59" i="98"/>
  <c r="L59" i="98" s="1"/>
  <c r="G71" i="98"/>
  <c r="L71" i="98" s="1"/>
  <c r="O39" i="99"/>
  <c r="P642" i="99"/>
  <c r="Q868" i="99"/>
  <c r="N39" i="99"/>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B14" i="87"/>
  <c r="C128" i="74"/>
  <c r="E41" i="87"/>
  <c r="E21" i="87"/>
  <c r="F84" i="92"/>
  <c r="G36" i="74"/>
  <c r="H68" i="74"/>
  <c r="I36" i="74"/>
  <c r="D36" i="74"/>
  <c r="C68" i="74"/>
  <c r="B43" i="87"/>
  <c r="E130" i="74"/>
  <c r="B10" i="87"/>
  <c r="B17" i="87"/>
  <c r="D99" i="74"/>
  <c r="B68" i="74"/>
  <c r="H36" i="74"/>
  <c r="G68" i="74"/>
  <c r="B42" i="87"/>
  <c r="B12" i="87"/>
  <c r="B44" i="87"/>
  <c r="B13" i="87"/>
  <c r="H99" i="74"/>
  <c r="B36" i="87"/>
  <c r="E39" i="87"/>
  <c r="B40" i="87"/>
  <c r="B28" i="87"/>
  <c r="B129" i="74"/>
  <c r="J68" i="74"/>
  <c r="E99" i="74"/>
  <c r="F69" i="74"/>
  <c r="D68" i="74"/>
  <c r="E16" i="87"/>
  <c r="B35" i="87"/>
  <c r="B22"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L18" i="75" l="1"/>
  <c r="M18" i="75" s="1"/>
  <c r="L34" i="68"/>
  <c r="L276" i="99" s="1"/>
  <c r="L277" i="99" s="1"/>
  <c r="I303" i="99"/>
  <c r="F927" i="99"/>
  <c r="F959" i="99"/>
  <c r="E959" i="99"/>
  <c r="I927" i="99"/>
  <c r="C959" i="99"/>
  <c r="K927" i="99"/>
  <c r="D927" i="99"/>
  <c r="B959" i="99"/>
  <c r="C927" i="99"/>
  <c r="D959" i="99"/>
  <c r="G927" i="99"/>
  <c r="J927" i="99"/>
  <c r="E927" i="99"/>
  <c r="H927" i="99"/>
  <c r="B30" i="87"/>
  <c r="B33" i="87"/>
  <c r="B41" i="87"/>
  <c r="B25" i="87"/>
  <c r="B32" i="87"/>
  <c r="B31" i="87"/>
  <c r="B27" i="87"/>
  <c r="B26" i="87"/>
  <c r="B11" i="87"/>
  <c r="B39" i="87"/>
  <c r="B20" i="87"/>
  <c r="J985" i="99"/>
  <c r="B23" i="87"/>
  <c r="B34" i="87"/>
  <c r="C40" i="74"/>
  <c r="D40" i="74" s="1"/>
  <c r="D935" i="99" s="1"/>
  <c r="K65" i="82"/>
  <c r="B29" i="87"/>
  <c r="B37" i="87"/>
  <c r="K921" i="99"/>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G14" i="86"/>
  <c r="AD424" i="99" l="1"/>
  <c r="AF424" i="99" s="1"/>
  <c r="AD109" i="78"/>
  <c r="AF109" i="78" s="1"/>
  <c r="AD419" i="99"/>
  <c r="AD420" i="99"/>
  <c r="AF420" i="99" s="1"/>
  <c r="P293" i="99"/>
  <c r="P294" i="99"/>
  <c r="I304" i="99"/>
  <c r="C935" i="99"/>
  <c r="D10" i="86"/>
  <c r="Z1538" i="99"/>
  <c r="AB1538" i="99"/>
  <c r="Y1538" i="99"/>
  <c r="AA1538" i="99"/>
  <c r="AA1553" i="99" s="1"/>
  <c r="X1538" i="99"/>
  <c r="AC1538" i="99"/>
  <c r="AC47" i="72"/>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6" i="99"/>
  <c r="G1381" i="99"/>
  <c r="L348" i="73"/>
  <c r="L1381" i="99"/>
  <c r="L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H1881" i="99"/>
  <c r="Q242" i="75"/>
  <c r="Q243" i="75" s="1"/>
  <c r="Q872" i="99" s="1"/>
  <c r="P242" i="75"/>
  <c r="AD113" i="78"/>
  <c r="AF113" i="78" s="1"/>
  <c r="AF115" i="78" s="1"/>
  <c r="E109" i="78" s="1"/>
  <c r="I109" i="78" s="1"/>
  <c r="AD423" i="99"/>
  <c r="M477" i="99"/>
  <c r="M478" i="99" s="1"/>
  <c r="M480" i="99" s="1"/>
  <c r="K175" i="75"/>
  <c r="J359" i="99"/>
  <c r="J368" i="99"/>
  <c r="F368" i="99"/>
  <c r="F359" i="99"/>
  <c r="J477" i="99"/>
  <c r="J478" i="99" s="1"/>
  <c r="J480" i="99" s="1"/>
  <c r="K1588" i="99"/>
  <c r="O1588" i="99" s="1"/>
  <c r="L1588" i="99"/>
  <c r="P1588" i="99" s="1"/>
  <c r="F358" i="99"/>
  <c r="F367" i="99"/>
  <c r="P477" i="99"/>
  <c r="P478" i="99" s="1"/>
  <c r="P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F910" i="99" l="1"/>
  <c r="C910" i="99"/>
  <c r="G910" i="99"/>
  <c r="E910" i="99"/>
  <c r="D910" i="99"/>
  <c r="AD115" i="78"/>
  <c r="N873" i="99"/>
  <c r="AF423" i="99"/>
  <c r="AF425" i="99" s="1"/>
  <c r="E419" i="99" s="1"/>
  <c r="I419" i="99" s="1"/>
  <c r="AD425" i="99"/>
  <c r="J481" i="99"/>
  <c r="AD106" i="78"/>
  <c r="E1383" i="99"/>
  <c r="N1383" i="99" s="1"/>
  <c r="O1235" i="99"/>
  <c r="AE432" i="99"/>
  <c r="J1881" i="99"/>
  <c r="L1881" i="99" s="1"/>
  <c r="F443" i="99"/>
  <c r="E365" i="99"/>
  <c r="G364" i="99" s="1"/>
  <c r="J1855" i="99"/>
  <c r="D458" i="99"/>
  <c r="E1381" i="99"/>
  <c r="N1381" i="99" s="1"/>
  <c r="M1331" i="99"/>
  <c r="L1331" i="99" s="1"/>
  <c r="M1328" i="99"/>
  <c r="L1328" i="99" s="1"/>
  <c r="O1875" i="99"/>
  <c r="O1876" i="99" s="1"/>
  <c r="H1716" i="99"/>
  <c r="E1386" i="99"/>
  <c r="N1386" i="99" s="1"/>
  <c r="AE435" i="99"/>
  <c r="AD416" i="99"/>
  <c r="AE433" i="99"/>
  <c r="AE434" i="99"/>
  <c r="E397" i="99"/>
  <c r="AE436" i="99"/>
  <c r="J367" i="99"/>
  <c r="AE437" i="99"/>
  <c r="J358" i="99"/>
  <c r="M290" i="73"/>
  <c r="L290" i="73" s="1"/>
  <c r="Q230" i="75"/>
  <c r="M293" i="73"/>
  <c r="L293" i="73" s="1"/>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53" i="82" l="1"/>
  <c r="H926" i="99"/>
  <c r="B22" i="74"/>
  <c r="K8" i="74" s="1"/>
  <c r="H910" i="99"/>
  <c r="F23" i="74"/>
  <c r="F918" i="99" s="1"/>
  <c r="B918" i="99"/>
  <c r="AF432" i="99"/>
  <c r="AH432" i="99" s="1"/>
  <c r="AF435" i="99"/>
  <c r="AH435" i="99" s="1"/>
  <c r="M1856" i="99"/>
  <c r="J1856" i="99"/>
  <c r="J1857"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O87" i="75"/>
  <c r="AF125" i="78"/>
  <c r="AH125" i="78" s="1"/>
  <c r="H19" i="84"/>
  <c r="AF122" i="78"/>
  <c r="AH122" i="78" s="1"/>
  <c r="E127" i="78" s="1"/>
  <c r="D17" i="83"/>
  <c r="C19" i="84"/>
  <c r="F16" i="85"/>
  <c r="H17" i="74"/>
  <c r="H912" i="99" s="1"/>
  <c r="I53" i="82"/>
  <c r="I24" i="74"/>
  <c r="J14" i="74"/>
  <c r="I16" i="74"/>
  <c r="I911" i="99" s="1"/>
  <c r="I15" i="74"/>
  <c r="G13" i="86"/>
  <c r="J31" i="74" l="1"/>
  <c r="J926" i="99" s="1"/>
  <c r="H915" i="99"/>
  <c r="E22" i="74"/>
  <c r="I910" i="99"/>
  <c r="C22" i="74"/>
  <c r="H22" i="74"/>
  <c r="D22" i="74"/>
  <c r="B917" i="99"/>
  <c r="Q220" i="75"/>
  <c r="F22" i="74"/>
  <c r="G22" i="74"/>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H20" i="74"/>
  <c r="I915" i="99" l="1"/>
  <c r="J910" i="99"/>
  <c r="Q858" i="99"/>
  <c r="Q228" i="75"/>
  <c r="C68" i="84"/>
  <c r="O221" i="75"/>
  <c r="O222" i="75"/>
  <c r="I22" i="74"/>
  <c r="G917" i="99"/>
  <c r="D917" i="99"/>
  <c r="F917" i="99"/>
  <c r="H917" i="99"/>
  <c r="E917" i="99"/>
  <c r="C917" i="99"/>
  <c r="AH1527" i="99"/>
  <c r="AH1553" i="99" s="1"/>
  <c r="AF1527" i="99"/>
  <c r="AF1553" i="99" s="1"/>
  <c r="P1932" i="99"/>
  <c r="P1497" i="99" s="1"/>
  <c r="AE1527" i="99"/>
  <c r="AE1553" i="99" s="1"/>
  <c r="AI1527" i="99"/>
  <c r="AI1553" i="99" s="1"/>
  <c r="AD1527" i="99"/>
  <c r="AD1553" i="99" s="1"/>
  <c r="Z1527" i="99"/>
  <c r="Z1553" i="99" s="1"/>
  <c r="AB1527" i="99"/>
  <c r="AB1553" i="99" s="1"/>
  <c r="Y1527" i="99"/>
  <c r="Y1553" i="99" s="1"/>
  <c r="AC1527" i="99"/>
  <c r="AC1553" i="99" s="1"/>
  <c r="P1581" i="99"/>
  <c r="X1527" i="99"/>
  <c r="X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l="1"/>
  <c r="K68" i="84"/>
  <c r="K70" i="84" s="1"/>
  <c r="I68" i="84"/>
  <c r="I70" i="84" s="1"/>
  <c r="G68" i="84"/>
  <c r="G70" i="84" s="1"/>
  <c r="E68" i="84"/>
  <c r="E70" i="84" s="1"/>
  <c r="C70" i="84"/>
  <c r="F130" i="78"/>
  <c r="B21" i="74"/>
  <c r="B53" i="74" s="1"/>
  <c r="F440" i="99"/>
  <c r="F441" i="99"/>
  <c r="F131" i="78"/>
  <c r="Q247" i="75"/>
  <c r="P229" i="75"/>
  <c r="N228" i="75"/>
  <c r="Q866" i="99"/>
  <c r="O859" i="99"/>
  <c r="O860" i="99"/>
  <c r="I917" i="99"/>
  <c r="J22" i="74"/>
  <c r="K910" i="99"/>
  <c r="E30" i="86"/>
  <c r="B15" i="82"/>
  <c r="J183" i="78"/>
  <c r="M189" i="78" s="1"/>
  <c r="B72" i="74"/>
  <c r="B967" i="99" s="1"/>
  <c r="J20" i="74"/>
  <c r="K17" i="74"/>
  <c r="K912" i="99" s="1"/>
  <c r="C46" i="74"/>
  <c r="B56" i="74"/>
  <c r="B48" i="74"/>
  <c r="B943" i="99" s="1"/>
  <c r="B47" i="74"/>
  <c r="B55" i="74"/>
  <c r="B950" i="99" s="1"/>
  <c r="C63" i="74"/>
  <c r="C958" i="99" s="1"/>
  <c r="B73" i="82"/>
  <c r="E33" i="86"/>
  <c r="K915" i="99" l="1"/>
  <c r="E76" i="84"/>
  <c r="E73" i="84" s="1"/>
  <c r="E72" i="84"/>
  <c r="C72" i="84"/>
  <c r="C76" i="84"/>
  <c r="C73" i="84" s="1"/>
  <c r="G76" i="84"/>
  <c r="G73" i="84" s="1"/>
  <c r="G72" i="84"/>
  <c r="B942" i="99"/>
  <c r="J917" i="99"/>
  <c r="N866" i="99"/>
  <c r="P867" i="99"/>
  <c r="Q885" i="99"/>
  <c r="I76" i="84"/>
  <c r="I73" i="84" s="1"/>
  <c r="I72" i="84"/>
  <c r="K22" i="74"/>
  <c r="B916" i="99"/>
  <c r="B920" i="99" s="1"/>
  <c r="E21" i="74"/>
  <c r="F21" i="74"/>
  <c r="C21" i="74"/>
  <c r="D21" i="74"/>
  <c r="G21" i="74"/>
  <c r="H21" i="74"/>
  <c r="I21" i="74"/>
  <c r="B25" i="74"/>
  <c r="J21" i="74"/>
  <c r="J916" i="99" s="1"/>
  <c r="B39" i="74"/>
  <c r="B934" i="99" s="1"/>
  <c r="K21" i="74"/>
  <c r="K916" i="99" s="1"/>
  <c r="K72" i="84"/>
  <c r="K76" i="84"/>
  <c r="K73" i="84" s="1"/>
  <c r="B948" i="99"/>
  <c r="F30" i="86"/>
  <c r="C72" i="74"/>
  <c r="C967" i="99" s="1"/>
  <c r="C73" i="82"/>
  <c r="D63" i="74"/>
  <c r="D958" i="99" s="1"/>
  <c r="C48" i="74"/>
  <c r="C943" i="99" s="1"/>
  <c r="C56" i="74"/>
  <c r="D46" i="74"/>
  <c r="C47" i="74"/>
  <c r="C53" i="74"/>
  <c r="C55" i="74"/>
  <c r="C950" i="99" s="1"/>
  <c r="B49" i="74"/>
  <c r="B944" i="99" s="1"/>
  <c r="F33" i="86"/>
  <c r="K20" i="74"/>
  <c r="J920" i="99" l="1"/>
  <c r="J933" i="99" s="1"/>
  <c r="B947" i="99"/>
  <c r="J25" i="74"/>
  <c r="J38" i="74" s="1"/>
  <c r="J39" i="74"/>
  <c r="J934" i="99" s="1"/>
  <c r="G916" i="99"/>
  <c r="G920" i="99" s="1"/>
  <c r="G39" i="74"/>
  <c r="G934" i="99" s="1"/>
  <c r="G25" i="74"/>
  <c r="D916" i="99"/>
  <c r="D920" i="99" s="1"/>
  <c r="D39" i="74"/>
  <c r="D934" i="99" s="1"/>
  <c r="D25" i="74"/>
  <c r="K917" i="99"/>
  <c r="K920" i="99" s="1"/>
  <c r="K39" i="74"/>
  <c r="K934" i="99" s="1"/>
  <c r="C916" i="99"/>
  <c r="C920" i="99" s="1"/>
  <c r="C39" i="74"/>
  <c r="C934" i="99" s="1"/>
  <c r="C25" i="74"/>
  <c r="H916" i="99"/>
  <c r="H920" i="99" s="1"/>
  <c r="H39" i="74"/>
  <c r="H934" i="99" s="1"/>
  <c r="H25" i="74"/>
  <c r="B34" i="74"/>
  <c r="B38" i="74"/>
  <c r="B44" i="82"/>
  <c r="F916" i="99"/>
  <c r="F920" i="99" s="1"/>
  <c r="F25" i="74"/>
  <c r="F39" i="74"/>
  <c r="F934" i="99" s="1"/>
  <c r="B54" i="74"/>
  <c r="B933" i="99"/>
  <c r="B929" i="99"/>
  <c r="C942" i="99"/>
  <c r="I916" i="99"/>
  <c r="I920" i="99" s="1"/>
  <c r="I39" i="74"/>
  <c r="I934" i="99" s="1"/>
  <c r="I25" i="74"/>
  <c r="E916" i="99"/>
  <c r="E920" i="99" s="1"/>
  <c r="E25" i="74"/>
  <c r="E39" i="74"/>
  <c r="E934" i="99" s="1"/>
  <c r="C948" i="99"/>
  <c r="G30" i="86"/>
  <c r="D72" i="74"/>
  <c r="D967" i="99" s="1"/>
  <c r="E46" i="74"/>
  <c r="D56" i="74"/>
  <c r="D48" i="74"/>
  <c r="D943" i="99" s="1"/>
  <c r="D47" i="74"/>
  <c r="D53" i="74"/>
  <c r="D55" i="74"/>
  <c r="D950" i="99" s="1"/>
  <c r="E63" i="74"/>
  <c r="E958" i="99" s="1"/>
  <c r="D73" i="82"/>
  <c r="G33" i="86"/>
  <c r="K25" i="74"/>
  <c r="B52" i="74"/>
  <c r="C49" i="74"/>
  <c r="C944" i="99" s="1"/>
  <c r="J34" i="74" l="1"/>
  <c r="J929" i="99"/>
  <c r="J928" i="99"/>
  <c r="J44" i="82"/>
  <c r="J46" i="82" s="1"/>
  <c r="J33" i="74"/>
  <c r="D29" i="86" s="1"/>
  <c r="D37" i="86" s="1"/>
  <c r="D38" i="86" s="1"/>
  <c r="D40" i="86" s="1"/>
  <c r="D44" i="86" s="1"/>
  <c r="K14" i="86" s="1"/>
  <c r="C947" i="99"/>
  <c r="C54" i="74"/>
  <c r="C949" i="99" s="1"/>
  <c r="K929" i="99"/>
  <c r="K928" i="99"/>
  <c r="K933" i="99"/>
  <c r="F34" i="74"/>
  <c r="F44" i="82"/>
  <c r="F33" i="74"/>
  <c r="G9" i="86" s="1"/>
  <c r="G17" i="86" s="1"/>
  <c r="G18" i="86" s="1"/>
  <c r="G20" i="86" s="1"/>
  <c r="G24" i="86" s="1"/>
  <c r="K10" i="86" s="1"/>
  <c r="F38" i="74"/>
  <c r="E33" i="74"/>
  <c r="F9" i="86" s="1"/>
  <c r="F17" i="86" s="1"/>
  <c r="F18" i="86" s="1"/>
  <c r="F20" i="86" s="1"/>
  <c r="F24" i="86" s="1"/>
  <c r="K9" i="86" s="1"/>
  <c r="E34" i="74"/>
  <c r="E38" i="74"/>
  <c r="E44" i="82"/>
  <c r="F929" i="99"/>
  <c r="F928" i="99"/>
  <c r="F933" i="99"/>
  <c r="H929" i="99"/>
  <c r="H928" i="99"/>
  <c r="H933" i="99"/>
  <c r="G33" i="74"/>
  <c r="H9" i="86" s="1"/>
  <c r="H17" i="86" s="1"/>
  <c r="H18" i="86" s="1"/>
  <c r="H20" i="86" s="1"/>
  <c r="H24" i="86" s="1"/>
  <c r="K11" i="86" s="1"/>
  <c r="G38" i="74"/>
  <c r="G44" i="82"/>
  <c r="G34" i="74"/>
  <c r="D942" i="99"/>
  <c r="B51" i="82"/>
  <c r="B46" i="82"/>
  <c r="C44" i="82"/>
  <c r="C33" i="74"/>
  <c r="D9" i="86" s="1"/>
  <c r="D17" i="86" s="1"/>
  <c r="D18" i="86" s="1"/>
  <c r="D20" i="86" s="1"/>
  <c r="D24" i="86" s="1"/>
  <c r="K7" i="86" s="1"/>
  <c r="C34" i="74"/>
  <c r="C38" i="74"/>
  <c r="E929" i="99"/>
  <c r="E928" i="99"/>
  <c r="E933" i="99"/>
  <c r="I33" i="74"/>
  <c r="C29" i="86" s="1"/>
  <c r="C37" i="86" s="1"/>
  <c r="C38" i="86" s="1"/>
  <c r="C40" i="86" s="1"/>
  <c r="C44" i="86" s="1"/>
  <c r="K13" i="86" s="1"/>
  <c r="I38" i="74"/>
  <c r="I44" i="82"/>
  <c r="I34" i="74"/>
  <c r="G933" i="99"/>
  <c r="G929" i="99"/>
  <c r="G928" i="99"/>
  <c r="I929" i="99"/>
  <c r="I933" i="99"/>
  <c r="I928" i="99"/>
  <c r="H34" i="74"/>
  <c r="H38" i="74"/>
  <c r="H44" i="82"/>
  <c r="H33" i="74"/>
  <c r="I9" i="86" s="1"/>
  <c r="I17" i="86" s="1"/>
  <c r="I18" i="86" s="1"/>
  <c r="I20" i="86" s="1"/>
  <c r="I24" i="86" s="1"/>
  <c r="K12" i="86" s="1"/>
  <c r="D928" i="99"/>
  <c r="D929" i="99"/>
  <c r="D933" i="99"/>
  <c r="B949" i="99"/>
  <c r="B952" i="99" s="1"/>
  <c r="B71" i="74"/>
  <c r="B966" i="99" s="1"/>
  <c r="C928" i="99"/>
  <c r="C929" i="99"/>
  <c r="C933" i="99"/>
  <c r="D34" i="74"/>
  <c r="D33" i="74"/>
  <c r="E9" i="86" s="1"/>
  <c r="E17" i="86" s="1"/>
  <c r="E18" i="86" s="1"/>
  <c r="E20" i="86" s="1"/>
  <c r="E24" i="86" s="1"/>
  <c r="K8" i="86" s="1"/>
  <c r="D44" i="82"/>
  <c r="D38" i="74"/>
  <c r="D948" i="99"/>
  <c r="K34" i="74"/>
  <c r="K38" i="74"/>
  <c r="H30" i="86"/>
  <c r="E72" i="74"/>
  <c r="E967" i="99" s="1"/>
  <c r="J51" i="82"/>
  <c r="C52" i="74"/>
  <c r="E73" i="82"/>
  <c r="F63" i="74"/>
  <c r="F958" i="99" s="1"/>
  <c r="D49" i="74"/>
  <c r="D944" i="99" s="1"/>
  <c r="B57" i="74"/>
  <c r="K44" i="82"/>
  <c r="K33" i="74"/>
  <c r="E47" i="74"/>
  <c r="E56" i="74"/>
  <c r="F46" i="74"/>
  <c r="E48" i="74"/>
  <c r="E943" i="99" s="1"/>
  <c r="E53" i="74"/>
  <c r="E55" i="74"/>
  <c r="E950" i="99" s="1"/>
  <c r="H33" i="86"/>
  <c r="C952" i="99" l="1"/>
  <c r="C960" i="99" s="1"/>
  <c r="D947" i="99"/>
  <c r="C71" i="74"/>
  <c r="C966" i="99" s="1"/>
  <c r="E46" i="82"/>
  <c r="E51" i="82"/>
  <c r="E942" i="99"/>
  <c r="D46" i="82"/>
  <c r="D51" i="82"/>
  <c r="C46" i="82"/>
  <c r="C51" i="82"/>
  <c r="I51" i="82"/>
  <c r="I46" i="82"/>
  <c r="D54" i="74"/>
  <c r="F51" i="82"/>
  <c r="F46" i="82"/>
  <c r="H46" i="82"/>
  <c r="H51" i="82"/>
  <c r="B960" i="99"/>
  <c r="B961" i="99"/>
  <c r="B965" i="99"/>
  <c r="G51" i="82"/>
  <c r="G46" i="82"/>
  <c r="E948" i="99"/>
  <c r="B66" i="74"/>
  <c r="B70" i="74"/>
  <c r="I30" i="86"/>
  <c r="F72" i="74"/>
  <c r="F967" i="99" s="1"/>
  <c r="C57" i="74"/>
  <c r="D52" i="74"/>
  <c r="F56" i="74"/>
  <c r="F48" i="74"/>
  <c r="F943" i="99" s="1"/>
  <c r="F47" i="74"/>
  <c r="G46" i="74"/>
  <c r="F53" i="74"/>
  <c r="F55" i="74"/>
  <c r="F950" i="99" s="1"/>
  <c r="E49" i="74"/>
  <c r="E944" i="99" s="1"/>
  <c r="E29" i="86"/>
  <c r="F73" i="82"/>
  <c r="G63" i="74"/>
  <c r="G958" i="99" s="1"/>
  <c r="K51" i="82"/>
  <c r="K46" i="82"/>
  <c r="I33" i="86"/>
  <c r="B64" i="82"/>
  <c r="B65" i="74"/>
  <c r="C965" i="99" l="1"/>
  <c r="C961" i="99"/>
  <c r="E947" i="99"/>
  <c r="E54" i="74"/>
  <c r="E949" i="99" s="1"/>
  <c r="D949" i="99"/>
  <c r="D952" i="99" s="1"/>
  <c r="D961" i="99" s="1"/>
  <c r="D71" i="74"/>
  <c r="D966" i="99" s="1"/>
  <c r="F942" i="99"/>
  <c r="B25" i="82"/>
  <c r="C52" i="82" s="1"/>
  <c r="C54" i="82" s="1"/>
  <c r="F948" i="99"/>
  <c r="C66" i="74"/>
  <c r="C70" i="74"/>
  <c r="C50" i="86"/>
  <c r="G72" i="74"/>
  <c r="G967" i="99" s="1"/>
  <c r="C64" i="82"/>
  <c r="C66" i="82" s="1"/>
  <c r="C65" i="74"/>
  <c r="E52" i="74"/>
  <c r="E37" i="86"/>
  <c r="E38" i="86" s="1"/>
  <c r="E40" i="86" s="1"/>
  <c r="E44" i="86" s="1"/>
  <c r="K15" i="86" s="1"/>
  <c r="F49" i="74"/>
  <c r="F944" i="99" s="1"/>
  <c r="F29" i="86"/>
  <c r="H63" i="74"/>
  <c r="H958" i="99" s="1"/>
  <c r="G73" i="82"/>
  <c r="B66" i="82"/>
  <c r="B71" i="82"/>
  <c r="C53" i="86"/>
  <c r="D57" i="74"/>
  <c r="G56" i="74"/>
  <c r="G48" i="74"/>
  <c r="G943" i="99" s="1"/>
  <c r="H46" i="74"/>
  <c r="G47" i="74"/>
  <c r="G53" i="74"/>
  <c r="G55" i="74"/>
  <c r="G950" i="99" s="1"/>
  <c r="E952" i="99" l="1"/>
  <c r="E960" i="99" s="1"/>
  <c r="D960" i="99"/>
  <c r="D965" i="99"/>
  <c r="E71" i="74"/>
  <c r="E966" i="99" s="1"/>
  <c r="F947" i="99"/>
  <c r="D52" i="82"/>
  <c r="D54" i="82" s="1"/>
  <c r="D55" i="82" s="1"/>
  <c r="D56" i="82" s="1"/>
  <c r="G52" i="82"/>
  <c r="G54" i="82" s="1"/>
  <c r="G55" i="82" s="1"/>
  <c r="G56" i="82" s="1"/>
  <c r="E52" i="82"/>
  <c r="E54" i="82" s="1"/>
  <c r="E55" i="82" s="1"/>
  <c r="E56" i="82" s="1"/>
  <c r="I72" i="82"/>
  <c r="K52" i="82"/>
  <c r="K54" i="82" s="1"/>
  <c r="K55" i="82" s="1"/>
  <c r="K56" i="82" s="1"/>
  <c r="B52" i="82"/>
  <c r="B54" i="82" s="1"/>
  <c r="B55" i="82" s="1"/>
  <c r="B56" i="82" s="1"/>
  <c r="F54" i="74"/>
  <c r="G942" i="99"/>
  <c r="D72" i="82"/>
  <c r="H72" i="82"/>
  <c r="F72" i="82"/>
  <c r="K72" i="82"/>
  <c r="J72" i="82"/>
  <c r="H52" i="82"/>
  <c r="H54" i="82" s="1"/>
  <c r="H55" i="82" s="1"/>
  <c r="H56" i="82" s="1"/>
  <c r="E72" i="82"/>
  <c r="J52" i="82"/>
  <c r="J54" i="82" s="1"/>
  <c r="J55" i="82" s="1"/>
  <c r="J56" i="82" s="1"/>
  <c r="B72" i="82"/>
  <c r="B74" i="82" s="1"/>
  <c r="B75" i="82" s="1"/>
  <c r="G72" i="82"/>
  <c r="I52" i="82"/>
  <c r="I54" i="82" s="1"/>
  <c r="I55" i="82" s="1"/>
  <c r="I56" i="82" s="1"/>
  <c r="F52" i="82"/>
  <c r="F54" i="82" s="1"/>
  <c r="F55" i="82" s="1"/>
  <c r="F56" i="82" s="1"/>
  <c r="B26" i="82"/>
  <c r="C72" i="82"/>
  <c r="G948" i="99"/>
  <c r="D66" i="74"/>
  <c r="D70" i="74"/>
  <c r="D50" i="86"/>
  <c r="H72" i="74"/>
  <c r="H967" i="99" s="1"/>
  <c r="G29" i="86"/>
  <c r="G37" i="86" s="1"/>
  <c r="G38" i="86" s="1"/>
  <c r="G40" i="86" s="1"/>
  <c r="G44" i="86" s="1"/>
  <c r="K17" i="86" s="1"/>
  <c r="C71" i="82"/>
  <c r="E57" i="74"/>
  <c r="H73" i="82"/>
  <c r="I63" i="74"/>
  <c r="I958" i="99" s="1"/>
  <c r="H56" i="74"/>
  <c r="H47" i="74"/>
  <c r="H48" i="74"/>
  <c r="H943" i="99" s="1"/>
  <c r="I46" i="74"/>
  <c r="H53" i="74"/>
  <c r="H55" i="74"/>
  <c r="H950" i="99" s="1"/>
  <c r="D53" i="86"/>
  <c r="F52" i="74"/>
  <c r="C55" i="82"/>
  <c r="C56" i="82" s="1"/>
  <c r="F37" i="86"/>
  <c r="F38" i="86" s="1"/>
  <c r="F40" i="86" s="1"/>
  <c r="F44" i="86" s="1"/>
  <c r="K16" i="86" s="1"/>
  <c r="G49" i="74"/>
  <c r="G944" i="99" s="1"/>
  <c r="D65" i="74"/>
  <c r="D64" i="82"/>
  <c r="E965" i="99" l="1"/>
  <c r="E961" i="99"/>
  <c r="G947"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H942" i="99"/>
  <c r="G54" i="74"/>
  <c r="B9" i="82"/>
  <c r="B10" i="82" s="1"/>
  <c r="B11" i="82" s="1"/>
  <c r="C74" i="82"/>
  <c r="C75" i="82" s="1"/>
  <c r="C76" i="82" s="1"/>
  <c r="F949" i="99"/>
  <c r="F952" i="99" s="1"/>
  <c r="F71" i="74"/>
  <c r="F966" i="99" s="1"/>
  <c r="H948" i="99"/>
  <c r="E66" i="74"/>
  <c r="E70" i="74"/>
  <c r="D57" i="86"/>
  <c r="D58" i="86" s="1"/>
  <c r="D60" i="86" s="1"/>
  <c r="D64" i="86" s="1"/>
  <c r="K21" i="86" s="1"/>
  <c r="E50" i="86"/>
  <c r="I72" i="74"/>
  <c r="I967" i="99" s="1"/>
  <c r="E64" i="82"/>
  <c r="E71" i="82" s="1"/>
  <c r="E74" i="82" s="1"/>
  <c r="E65" i="74"/>
  <c r="B76" i="82"/>
  <c r="E53" i="86"/>
  <c r="H29" i="86"/>
  <c r="J46" i="74"/>
  <c r="I56" i="74"/>
  <c r="I47" i="74"/>
  <c r="I48" i="74"/>
  <c r="I943" i="99" s="1"/>
  <c r="I53" i="74"/>
  <c r="I55" i="74"/>
  <c r="I950" i="99" s="1"/>
  <c r="D71" i="82"/>
  <c r="D74" i="82" s="1"/>
  <c r="D66" i="82"/>
  <c r="G52" i="74"/>
  <c r="H49" i="74"/>
  <c r="H944" i="99" s="1"/>
  <c r="J63" i="74"/>
  <c r="J958" i="99" s="1"/>
  <c r="I73" i="82"/>
  <c r="F57" i="74"/>
  <c r="G21" i="82" l="1"/>
  <c r="H54" i="74"/>
  <c r="H949" i="99" s="1"/>
  <c r="H947" i="99"/>
  <c r="G949" i="99"/>
  <c r="G952" i="99" s="1"/>
  <c r="G960" i="99" s="1"/>
  <c r="G71" i="74"/>
  <c r="G966" i="99" s="1"/>
  <c r="F965" i="99"/>
  <c r="F960" i="99"/>
  <c r="F961" i="99"/>
  <c r="I942" i="99"/>
  <c r="I948" i="99"/>
  <c r="F70" i="74"/>
  <c r="F66" i="74"/>
  <c r="E57" i="86"/>
  <c r="E58" i="86" s="1"/>
  <c r="E60" i="86" s="1"/>
  <c r="E64" i="86" s="1"/>
  <c r="K22" i="86" s="1"/>
  <c r="F50" i="86"/>
  <c r="J72" i="74"/>
  <c r="J967" i="99" s="1"/>
  <c r="E66" i="82"/>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H71" i="74" l="1"/>
  <c r="H966" i="99" s="1"/>
  <c r="H952" i="99"/>
  <c r="H965" i="99" s="1"/>
  <c r="G965" i="99"/>
  <c r="I947" i="99"/>
  <c r="G961" i="99"/>
  <c r="I54" i="74"/>
  <c r="J942" i="99"/>
  <c r="J948" i="99"/>
  <c r="G70" i="74"/>
  <c r="G66" i="74"/>
  <c r="F57" i="86"/>
  <c r="F58" i="86" s="1"/>
  <c r="F60" i="86" s="1"/>
  <c r="F64" i="86" s="1"/>
  <c r="K23" i="86" s="1"/>
  <c r="G50" i="86"/>
  <c r="K72" i="74"/>
  <c r="K967" i="99" s="1"/>
  <c r="I52" i="74"/>
  <c r="F66" i="82"/>
  <c r="F71" i="82"/>
  <c r="F74" i="82" s="1"/>
  <c r="G53" i="86"/>
  <c r="G64" i="82"/>
  <c r="G65" i="74"/>
  <c r="J49" i="74"/>
  <c r="J944" i="99" s="1"/>
  <c r="C49" i="86"/>
  <c r="K73" i="82"/>
  <c r="B95" i="74"/>
  <c r="B990" i="99" s="1"/>
  <c r="B78" i="74"/>
  <c r="K56" i="74"/>
  <c r="K47" i="74"/>
  <c r="K48" i="74"/>
  <c r="K943" i="99" s="1"/>
  <c r="K53" i="74"/>
  <c r="K55" i="74"/>
  <c r="K950" i="99" s="1"/>
  <c r="H57" i="74"/>
  <c r="J947" i="99" l="1"/>
  <c r="H961" i="99"/>
  <c r="H960" i="99"/>
  <c r="J54" i="74"/>
  <c r="J949" i="99" s="1"/>
  <c r="J952" i="99" s="1"/>
  <c r="J965" i="99" s="1"/>
  <c r="K942" i="99"/>
  <c r="I949" i="99"/>
  <c r="I952" i="99" s="1"/>
  <c r="I71" i="74"/>
  <c r="I966" i="99" s="1"/>
  <c r="K948" i="99"/>
  <c r="H66" i="74"/>
  <c r="H70" i="74"/>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79" i="74"/>
  <c r="B80" i="74"/>
  <c r="B975" i="99" s="1"/>
  <c r="C78" i="74"/>
  <c r="B85" i="74"/>
  <c r="B87" i="74"/>
  <c r="B982" i="99" s="1"/>
  <c r="H64" i="82"/>
  <c r="H65" i="74"/>
  <c r="H53" i="86"/>
  <c r="G66" i="82"/>
  <c r="G71" i="82"/>
  <c r="G74" i="82" s="1"/>
  <c r="K49" i="74"/>
  <c r="K944" i="99" s="1"/>
  <c r="C95" i="74"/>
  <c r="C990" i="99" s="1"/>
  <c r="K947" i="99" l="1"/>
  <c r="J71" i="74"/>
  <c r="J966" i="99" s="1"/>
  <c r="J961" i="99"/>
  <c r="I960" i="99"/>
  <c r="I965" i="99"/>
  <c r="I961" i="99"/>
  <c r="B974" i="99"/>
  <c r="K54" i="74"/>
  <c r="J960" i="99"/>
  <c r="B980" i="99"/>
  <c r="I66" i="74"/>
  <c r="I70" i="74"/>
  <c r="H57" i="86"/>
  <c r="H58" i="86" s="1"/>
  <c r="H60" i="86" s="1"/>
  <c r="H64" i="86" s="1"/>
  <c r="K25" i="86" s="1"/>
  <c r="C86" i="90"/>
  <c r="F60" i="89"/>
  <c r="C103" i="74"/>
  <c r="C998" i="99" s="1"/>
  <c r="I65" i="74"/>
  <c r="J57" i="74"/>
  <c r="I64" i="82"/>
  <c r="I66" i="82" s="1"/>
  <c r="K52" i="74"/>
  <c r="B81" i="74"/>
  <c r="B976" i="99" s="1"/>
  <c r="D95" i="74"/>
  <c r="D990" i="99" s="1"/>
  <c r="H66" i="82"/>
  <c r="H71" i="82"/>
  <c r="H74" i="82" s="1"/>
  <c r="C79" i="74"/>
  <c r="D78" i="74"/>
  <c r="C88" i="74"/>
  <c r="C80" i="74"/>
  <c r="C975" i="99" s="1"/>
  <c r="C85" i="74"/>
  <c r="C87" i="74"/>
  <c r="C982" i="99" s="1"/>
  <c r="G75" i="82"/>
  <c r="G76" i="82" s="1"/>
  <c r="B979" i="99" l="1"/>
  <c r="C974" i="99"/>
  <c r="K949" i="99"/>
  <c r="K952" i="99" s="1"/>
  <c r="K71" i="74"/>
  <c r="K966" i="99" s="1"/>
  <c r="B86" i="74"/>
  <c r="C980" i="99"/>
  <c r="J66" i="74"/>
  <c r="J70" i="74"/>
  <c r="D103" i="74"/>
  <c r="D998" i="99" s="1"/>
  <c r="I71" i="82"/>
  <c r="I74" i="82" s="1"/>
  <c r="I75" i="82" s="1"/>
  <c r="I76" i="82" s="1"/>
  <c r="J65" i="74"/>
  <c r="J64" i="82"/>
  <c r="J66" i="82" s="1"/>
  <c r="E78" i="74"/>
  <c r="D79" i="74"/>
  <c r="D80" i="74"/>
  <c r="D975" i="99" s="1"/>
  <c r="D88" i="74"/>
  <c r="D85" i="74"/>
  <c r="D87" i="74"/>
  <c r="D982" i="99" s="1"/>
  <c r="C81" i="74"/>
  <c r="C976" i="99" s="1"/>
  <c r="E95" i="74"/>
  <c r="E990" i="99" s="1"/>
  <c r="B84" i="74"/>
  <c r="H75" i="82"/>
  <c r="H76" i="82" s="1"/>
  <c r="K57" i="74"/>
  <c r="C979" i="99" l="1"/>
  <c r="K965" i="99"/>
  <c r="K961" i="99"/>
  <c r="K960" i="99"/>
  <c r="D974" i="99"/>
  <c r="C86" i="74"/>
  <c r="B981" i="99"/>
  <c r="B102" i="74"/>
  <c r="D980" i="99"/>
  <c r="K66" i="74"/>
  <c r="K70" i="74"/>
  <c r="E103" i="74"/>
  <c r="E998" i="99" s="1"/>
  <c r="J71" i="82"/>
  <c r="J74" i="82" s="1"/>
  <c r="J75" i="82" s="1"/>
  <c r="J76" i="82" s="1"/>
  <c r="C84" i="74"/>
  <c r="F95" i="74"/>
  <c r="F990" i="99" s="1"/>
  <c r="K65" i="74"/>
  <c r="K64" i="82"/>
  <c r="D81" i="74"/>
  <c r="D976" i="99" s="1"/>
  <c r="D979" i="99" s="1"/>
  <c r="F78" i="74"/>
  <c r="E88" i="74"/>
  <c r="E79" i="74"/>
  <c r="E80" i="74"/>
  <c r="E975" i="99" s="1"/>
  <c r="E85" i="74"/>
  <c r="E87" i="74"/>
  <c r="E982" i="99" s="1"/>
  <c r="B89" i="74"/>
  <c r="D86" i="74" l="1"/>
  <c r="E974" i="99"/>
  <c r="B984" i="99"/>
  <c r="B997" i="99"/>
  <c r="C981" i="99"/>
  <c r="C102" i="74"/>
  <c r="E980" i="99"/>
  <c r="B97" i="74"/>
  <c r="B101" i="74"/>
  <c r="F103" i="74"/>
  <c r="F998" i="99" s="1"/>
  <c r="B96" i="74"/>
  <c r="C89" i="74"/>
  <c r="D84" i="74"/>
  <c r="E81" i="74"/>
  <c r="E976" i="99" s="1"/>
  <c r="E979" i="99" s="1"/>
  <c r="K71" i="82"/>
  <c r="K74" i="82" s="1"/>
  <c r="K66" i="82"/>
  <c r="F88" i="74"/>
  <c r="G78" i="74"/>
  <c r="F80" i="74"/>
  <c r="F975" i="99" s="1"/>
  <c r="F79" i="74"/>
  <c r="F85" i="74"/>
  <c r="F87" i="74"/>
  <c r="F982" i="99" s="1"/>
  <c r="G95" i="74"/>
  <c r="G990" i="99" s="1"/>
  <c r="E86" i="74" l="1"/>
  <c r="B991" i="99"/>
  <c r="B996" i="99"/>
  <c r="B992" i="99"/>
  <c r="F974" i="99"/>
  <c r="D981" i="99"/>
  <c r="D102" i="74"/>
  <c r="C984" i="99"/>
  <c r="C997" i="99"/>
  <c r="F980" i="99"/>
  <c r="C97" i="74"/>
  <c r="C101" i="74"/>
  <c r="G103" i="74"/>
  <c r="G998" i="99" s="1"/>
  <c r="C96" i="74"/>
  <c r="E84" i="74"/>
  <c r="G79" i="74"/>
  <c r="G88" i="74"/>
  <c r="G80" i="74"/>
  <c r="G975" i="99" s="1"/>
  <c r="H78" i="74"/>
  <c r="G85" i="74"/>
  <c r="G87" i="74"/>
  <c r="G982" i="99" s="1"/>
  <c r="K75" i="82"/>
  <c r="K76" i="82" s="1"/>
  <c r="H95" i="74"/>
  <c r="H990" i="99" s="1"/>
  <c r="F81" i="74"/>
  <c r="F976" i="99" s="1"/>
  <c r="F979" i="99" s="1"/>
  <c r="D89" i="74"/>
  <c r="C996" i="99" l="1"/>
  <c r="C991" i="99"/>
  <c r="C992" i="99"/>
  <c r="G974" i="99"/>
  <c r="D997" i="99"/>
  <c r="D984" i="99"/>
  <c r="F86" i="74"/>
  <c r="E981" i="99"/>
  <c r="E102" i="74"/>
  <c r="G980" i="99"/>
  <c r="D97" i="74"/>
  <c r="D101" i="74"/>
  <c r="H103" i="74"/>
  <c r="H998" i="99" s="1"/>
  <c r="D96" i="74"/>
  <c r="E89" i="74"/>
  <c r="F84" i="74"/>
  <c r="H88" i="74"/>
  <c r="H80" i="74"/>
  <c r="H975" i="99" s="1"/>
  <c r="H79" i="74"/>
  <c r="I78" i="74"/>
  <c r="H85" i="74"/>
  <c r="H87" i="74"/>
  <c r="H982" i="99" s="1"/>
  <c r="G81" i="74"/>
  <c r="G976" i="99" s="1"/>
  <c r="G979" i="99" s="1"/>
  <c r="I95" i="74"/>
  <c r="I990" i="99" s="1"/>
  <c r="G86" i="74" l="1"/>
  <c r="G981" i="99" s="1"/>
  <c r="G997" i="99" s="1"/>
  <c r="H974" i="99"/>
  <c r="F981" i="99"/>
  <c r="F102" i="74"/>
  <c r="E984" i="99"/>
  <c r="E997" i="99"/>
  <c r="D992" i="99"/>
  <c r="D991" i="99"/>
  <c r="D996" i="99"/>
  <c r="H980" i="99"/>
  <c r="E97" i="74"/>
  <c r="E101" i="74"/>
  <c r="I103" i="74"/>
  <c r="I998" i="99" s="1"/>
  <c r="E96" i="74"/>
  <c r="F89" i="74"/>
  <c r="G84" i="74"/>
  <c r="I88" i="74"/>
  <c r="I79" i="74"/>
  <c r="J78" i="74"/>
  <c r="I80" i="74"/>
  <c r="I975" i="99" s="1"/>
  <c r="I85" i="74"/>
  <c r="I87" i="74"/>
  <c r="I982" i="99" s="1"/>
  <c r="H81" i="74"/>
  <c r="H976" i="99" s="1"/>
  <c r="H979" i="99" s="1"/>
  <c r="J95" i="74"/>
  <c r="J990" i="99" s="1"/>
  <c r="G984" i="99" l="1"/>
  <c r="G991" i="99" s="1"/>
  <c r="G102" i="74"/>
  <c r="I974" i="99"/>
  <c r="F984" i="99"/>
  <c r="F997" i="99"/>
  <c r="H86" i="74"/>
  <c r="E992" i="99"/>
  <c r="E991" i="99"/>
  <c r="E996" i="99"/>
  <c r="I980" i="99"/>
  <c r="F97" i="74"/>
  <c r="F101" i="74"/>
  <c r="J103" i="74"/>
  <c r="J998" i="99" s="1"/>
  <c r="F96" i="74"/>
  <c r="J80" i="74"/>
  <c r="J975" i="99" s="1"/>
  <c r="K78" i="74"/>
  <c r="J79" i="74"/>
  <c r="J88" i="74"/>
  <c r="J85" i="74"/>
  <c r="J87" i="74"/>
  <c r="J982" i="99" s="1"/>
  <c r="I81" i="74"/>
  <c r="I976" i="99" s="1"/>
  <c r="I979" i="99" s="1"/>
  <c r="K95" i="74"/>
  <c r="K990" i="99" s="1"/>
  <c r="G89" i="74"/>
  <c r="H84" i="74"/>
  <c r="G992" i="99" l="1"/>
  <c r="G996" i="99"/>
  <c r="H981" i="99"/>
  <c r="H102" i="74"/>
  <c r="F992" i="99"/>
  <c r="F991" i="99"/>
  <c r="F996" i="99"/>
  <c r="I86" i="74"/>
  <c r="J974" i="99"/>
  <c r="J980" i="99"/>
  <c r="G101" i="74"/>
  <c r="G97" i="74"/>
  <c r="K103" i="74"/>
  <c r="K998" i="99" s="1"/>
  <c r="G96" i="74"/>
  <c r="H89" i="74"/>
  <c r="J81" i="74"/>
  <c r="J976" i="99" s="1"/>
  <c r="B125" i="74"/>
  <c r="B1020" i="99" s="1"/>
  <c r="K80" i="74"/>
  <c r="K975" i="99" s="1"/>
  <c r="B108" i="74"/>
  <c r="K88" i="74"/>
  <c r="K79" i="74"/>
  <c r="K85" i="74"/>
  <c r="K87" i="74"/>
  <c r="K982" i="99" s="1"/>
  <c r="I84" i="74"/>
  <c r="J979" i="99" l="1"/>
  <c r="J86" i="74"/>
  <c r="J981" i="99" s="1"/>
  <c r="K974" i="99"/>
  <c r="I981" i="99"/>
  <c r="I102" i="74"/>
  <c r="H997" i="99"/>
  <c r="H984" i="99"/>
  <c r="K980" i="99"/>
  <c r="H97" i="74"/>
  <c r="H101" i="74"/>
  <c r="B133" i="74"/>
  <c r="B1028" i="99" s="1"/>
  <c r="H96" i="74"/>
  <c r="J84" i="74"/>
  <c r="K81" i="74"/>
  <c r="K976" i="99" s="1"/>
  <c r="C125" i="74"/>
  <c r="C1020" i="99" s="1"/>
  <c r="I89" i="74"/>
  <c r="B109" i="74"/>
  <c r="C108" i="74"/>
  <c r="B110" i="74"/>
  <c r="B1005" i="99" s="1"/>
  <c r="B118" i="74"/>
  <c r="B115" i="74"/>
  <c r="B117" i="74"/>
  <c r="B1012" i="99" s="1"/>
  <c r="J984" i="99" l="1"/>
  <c r="J992" i="99" s="1"/>
  <c r="K979" i="99"/>
  <c r="J997" i="99"/>
  <c r="K86" i="74"/>
  <c r="K981" i="99" s="1"/>
  <c r="K997" i="99" s="1"/>
  <c r="J102" i="74"/>
  <c r="B1004" i="99"/>
  <c r="I997" i="99"/>
  <c r="I984" i="99"/>
  <c r="H991" i="99"/>
  <c r="H996" i="99"/>
  <c r="H992" i="99"/>
  <c r="B1010" i="99"/>
  <c r="I97" i="74"/>
  <c r="I101" i="74"/>
  <c r="C133" i="74"/>
  <c r="C1028" i="99" s="1"/>
  <c r="I96" i="74"/>
  <c r="J89" i="74"/>
  <c r="K84" i="74"/>
  <c r="D108" i="74"/>
  <c r="C109" i="74"/>
  <c r="C118" i="74"/>
  <c r="C110" i="74"/>
  <c r="C1005" i="99" s="1"/>
  <c r="C115" i="74"/>
  <c r="C117" i="74"/>
  <c r="C1012" i="99" s="1"/>
  <c r="D125" i="74"/>
  <c r="D1020" i="99" s="1"/>
  <c r="B111" i="74"/>
  <c r="B1006" i="99" s="1"/>
  <c r="K102" i="74" l="1"/>
  <c r="J991" i="99"/>
  <c r="J996" i="99"/>
  <c r="B1009" i="99"/>
  <c r="K984" i="99"/>
  <c r="K991" i="99" s="1"/>
  <c r="K996" i="99"/>
  <c r="I991" i="99"/>
  <c r="I996" i="99"/>
  <c r="I992" i="99"/>
  <c r="C1004" i="99"/>
  <c r="B116" i="74"/>
  <c r="K992" i="99"/>
  <c r="C1010" i="99"/>
  <c r="J101" i="74"/>
  <c r="J97" i="74"/>
  <c r="D133" i="74"/>
  <c r="D1028" i="99" s="1"/>
  <c r="K89" i="74"/>
  <c r="J96" i="74"/>
  <c r="B114" i="74"/>
  <c r="C111" i="74"/>
  <c r="C1006" i="99" s="1"/>
  <c r="E125" i="74"/>
  <c r="E1020" i="99" s="1"/>
  <c r="D118" i="74"/>
  <c r="D109" i="74"/>
  <c r="E108" i="74"/>
  <c r="D110" i="74"/>
  <c r="D1005" i="99" s="1"/>
  <c r="D115" i="74"/>
  <c r="D117" i="74"/>
  <c r="D1012" i="99" s="1"/>
  <c r="C1009" i="99" l="1"/>
  <c r="B1011" i="99"/>
  <c r="B132" i="74"/>
  <c r="C116" i="74"/>
  <c r="D1004" i="99"/>
  <c r="D1010" i="99"/>
  <c r="K101" i="74"/>
  <c r="K97" i="74"/>
  <c r="E133" i="74"/>
  <c r="E1028" i="99" s="1"/>
  <c r="K96" i="74"/>
  <c r="B119" i="74"/>
  <c r="C114" i="74"/>
  <c r="F125" i="74"/>
  <c r="F1020" i="99" s="1"/>
  <c r="F108" i="74"/>
  <c r="E109" i="74"/>
  <c r="E118" i="74"/>
  <c r="E110" i="74"/>
  <c r="E1005" i="99" s="1"/>
  <c r="E115" i="74"/>
  <c r="E117" i="74"/>
  <c r="E1012" i="99" s="1"/>
  <c r="D111" i="74"/>
  <c r="D1006" i="99" s="1"/>
  <c r="D116" i="74" l="1"/>
  <c r="D1011" i="99" s="1"/>
  <c r="D1027" i="99" s="1"/>
  <c r="E1004" i="99"/>
  <c r="B1027" i="99"/>
  <c r="B1014" i="99"/>
  <c r="C1011" i="99"/>
  <c r="C132" i="74"/>
  <c r="D1009" i="99"/>
  <c r="E1010" i="99"/>
  <c r="B127" i="74"/>
  <c r="B131" i="74"/>
  <c r="F133" i="74"/>
  <c r="F1028" i="99" s="1"/>
  <c r="B126" i="74"/>
  <c r="C119" i="74"/>
  <c r="E111" i="74"/>
  <c r="E1006" i="99" s="1"/>
  <c r="F118" i="74"/>
  <c r="F110" i="74"/>
  <c r="F1005" i="99" s="1"/>
  <c r="F109" i="74"/>
  <c r="F115" i="74"/>
  <c r="F117" i="74"/>
  <c r="F1012" i="99" s="1"/>
  <c r="D114" i="74"/>
  <c r="D132" i="74" l="1"/>
  <c r="D1014" i="99"/>
  <c r="D1022" i="99" s="1"/>
  <c r="E1009" i="99"/>
  <c r="D1021" i="99"/>
  <c r="D1026" i="99"/>
  <c r="C1027" i="99"/>
  <c r="C1014" i="99"/>
  <c r="F1004" i="99"/>
  <c r="E116" i="74"/>
  <c r="B1021" i="99"/>
  <c r="B1022" i="99"/>
  <c r="B1026" i="99"/>
  <c r="F1010" i="99"/>
  <c r="C127" i="74"/>
  <c r="C131" i="74"/>
  <c r="C126" i="74"/>
  <c r="E114" i="74"/>
  <c r="F111" i="74"/>
  <c r="F1006" i="99" s="1"/>
  <c r="D119" i="74"/>
  <c r="F1009" i="99" l="1"/>
  <c r="F116" i="74"/>
  <c r="F1011" i="99" s="1"/>
  <c r="F1027" i="99" s="1"/>
  <c r="E1011" i="99"/>
  <c r="E132" i="74"/>
  <c r="C1021" i="99"/>
  <c r="C1026" i="99"/>
  <c r="C1022" i="99"/>
  <c r="D127" i="74"/>
  <c r="D131" i="74"/>
  <c r="D126" i="74"/>
  <c r="E119" i="74"/>
  <c r="F114" i="74"/>
  <c r="F1014" i="99" l="1"/>
  <c r="F1021" i="99" s="1"/>
  <c r="F132" i="74"/>
  <c r="E1014" i="99"/>
  <c r="E1027" i="99"/>
  <c r="E127" i="74"/>
  <c r="E131" i="74"/>
  <c r="E126" i="74"/>
  <c r="F119" i="74"/>
  <c r="F1022" i="99" l="1"/>
  <c r="F1026" i="99"/>
  <c r="E1022" i="99"/>
  <c r="E1021" i="99"/>
  <c r="E1026"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C14" i="86" l="1"/>
  <c r="B927" i="99"/>
  <c r="R916" i="99" s="1"/>
  <c r="R935" i="99"/>
  <c r="R21" i="74"/>
  <c r="R22" i="74"/>
  <c r="R23" i="74"/>
  <c r="R24" i="74"/>
  <c r="R25" i="74"/>
  <c r="R26" i="74"/>
  <c r="R27" i="74"/>
  <c r="R28" i="74"/>
  <c r="R29" i="74"/>
  <c r="R30" i="74"/>
  <c r="R31" i="74"/>
  <c r="R32" i="74"/>
  <c r="B33" i="74"/>
  <c r="S21" i="74" s="1"/>
  <c r="R33" i="74"/>
  <c r="R34" i="74"/>
  <c r="R35" i="74"/>
  <c r="I47" i="68" s="1"/>
  <c r="I289" i="99" s="1"/>
  <c r="R36" i="74"/>
  <c r="R37" i="74"/>
  <c r="R38" i="74"/>
  <c r="R39" i="74"/>
  <c r="R40" i="74"/>
  <c r="B44" i="74"/>
  <c r="B939" i="99" s="1"/>
  <c r="R932" i="99" l="1"/>
  <c r="R923" i="99"/>
  <c r="R931" i="99"/>
  <c r="R920" i="99"/>
  <c r="R926" i="99"/>
  <c r="R929" i="99"/>
  <c r="R917" i="99"/>
  <c r="R934" i="99"/>
  <c r="R928" i="99"/>
  <c r="S38" i="74"/>
  <c r="S37" i="74"/>
  <c r="S36" i="74"/>
  <c r="S40" i="74"/>
  <c r="S39" i="74"/>
  <c r="S33" i="74"/>
  <c r="S35" i="74"/>
  <c r="F47" i="68" s="1"/>
  <c r="F289" i="99" s="1"/>
  <c r="S34" i="74"/>
  <c r="S32" i="74"/>
  <c r="S29" i="74"/>
  <c r="S26" i="74"/>
  <c r="S23" i="74"/>
  <c r="R927" i="99"/>
  <c r="R924" i="99"/>
  <c r="R921" i="99"/>
  <c r="R918" i="99"/>
  <c r="S31" i="74"/>
  <c r="S28" i="74"/>
  <c r="S25" i="74"/>
  <c r="S22" i="74"/>
  <c r="C9" i="86"/>
  <c r="S30" i="74"/>
  <c r="S27" i="74"/>
  <c r="S24" i="74"/>
  <c r="B928" i="99"/>
  <c r="C44" i="74"/>
  <c r="R933" i="99"/>
  <c r="R930" i="99"/>
  <c r="R925" i="99"/>
  <c r="R922" i="99"/>
  <c r="R919" i="99"/>
  <c r="L47" i="68" l="1"/>
  <c r="L289" i="99" s="1"/>
  <c r="C17" i="86"/>
  <c r="C18" i="86" s="1"/>
  <c r="C20" i="86" s="1"/>
  <c r="C24" i="86" s="1"/>
  <c r="K6" i="86" s="1"/>
  <c r="G66" i="86" s="1"/>
  <c r="N92" i="85" s="1"/>
  <c r="C939" i="99"/>
  <c r="D44" i="74"/>
  <c r="S927" i="99"/>
  <c r="S916" i="99"/>
  <c r="S919" i="99"/>
  <c r="S922" i="99"/>
  <c r="S925" i="99"/>
  <c r="S930" i="99"/>
  <c r="S933" i="99"/>
  <c r="S917" i="99"/>
  <c r="S920" i="99"/>
  <c r="S923" i="99"/>
  <c r="S926" i="99"/>
  <c r="S928" i="99"/>
  <c r="S931" i="99"/>
  <c r="S934" i="99"/>
  <c r="S918" i="99"/>
  <c r="S921" i="99"/>
  <c r="S924" i="99"/>
  <c r="S929" i="99"/>
  <c r="S932" i="99"/>
  <c r="S935" i="99"/>
  <c r="F85" i="92" l="1"/>
  <c r="F89" i="92" s="1"/>
  <c r="F105" i="92" s="1"/>
  <c r="D939" i="99"/>
  <c r="E44" i="74"/>
  <c r="E939" i="99" l="1"/>
  <c r="F44" i="74"/>
  <c r="F939" i="99" l="1"/>
  <c r="G44" i="74"/>
  <c r="G939" i="99" l="1"/>
  <c r="H44" i="74"/>
  <c r="H939" i="99" l="1"/>
  <c r="I44" i="74"/>
  <c r="I939" i="99" l="1"/>
  <c r="J44" i="74"/>
  <c r="J939" i="99" l="1"/>
  <c r="K44" i="74"/>
  <c r="K939" i="99" l="1"/>
  <c r="B76" i="74"/>
  <c r="B971" i="99" l="1"/>
  <c r="C76" i="74"/>
  <c r="C971" i="99" l="1"/>
  <c r="D76" i="74"/>
  <c r="D971" i="99" l="1"/>
  <c r="E76" i="74"/>
  <c r="E971" i="99" l="1"/>
  <c r="F76" i="74"/>
  <c r="F971" i="99" l="1"/>
  <c r="G76" i="74"/>
  <c r="G971"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<sst xmlns="http://schemas.openxmlformats.org/spreadsheetml/2006/main" count="19388" uniqueCount="6999">
  <si>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</si>
  <si>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</si>
  <si>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</si>
  <si>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</si>
  <si>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</si>
  <si>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</si>
  <si>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</si>
  <si>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</si>
  <si>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</si>
  <si>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</si>
  <si>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</si>
  <si>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</si>
  <si>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</si>
  <si>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</si>
  <si>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</si>
  <si>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</si>
  <si>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</si>
  <si>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</si>
  <si>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</si>
  <si>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</si>
  <si>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</si>
  <si>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</si>
  <si>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</si>
  <si>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</si>
  <si>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</si>
  <si>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</si>
  <si>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</si>
  <si>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</si>
  <si>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</si>
  <si>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</si>
  <si>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</si>
  <si>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</si>
  <si>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</si>
  <si>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</si>
  <si>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</si>
  <si>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</si>
  <si>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</si>
  <si>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</si>
  <si>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</si>
  <si>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</si>
  <si>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</si>
  <si>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</si>
  <si>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</si>
  <si>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</si>
  <si>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</si>
  <si>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</si>
  <si>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</si>
  <si>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</si>
  <si>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</si>
  <si>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</si>
  <si>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</si>
  <si>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</si>
  <si>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</si>
  <si>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</si>
  <si>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</si>
  <si>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</si>
  <si>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</si>
  <si>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</si>
  <si>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</si>
  <si>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</si>
  <si>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</si>
  <si>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</si>
  <si>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</si>
  <si>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</si>
  <si>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</si>
  <si>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</si>
  <si>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</si>
  <si>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</si>
  <si>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</si>
  <si>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</si>
  <si>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</si>
  <si>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</si>
  <si>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</si>
  <si>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</si>
  <si>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</si>
  <si>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</si>
  <si>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</si>
  <si>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</si>
  <si>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</si>
  <si>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</si>
  <si>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</si>
  <si>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</si>
  <si>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</si>
  <si>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</si>
  <si>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</si>
  <si>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</si>
  <si>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</si>
  <si>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</si>
  <si>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</si>
  <si>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</si>
  <si>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</si>
  <si>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</si>
  <si>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</si>
  <si>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</si>
  <si>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</si>
  <si>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</si>
  <si>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</si>
  <si>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</si>
  <si>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</si>
  <si>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</si>
  <si>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</si>
  <si>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</si>
  <si>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</si>
  <si>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</si>
  <si>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</si>
  <si>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</si>
  <si>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</si>
  <si>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</si>
  <si>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</si>
  <si>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</si>
  <si>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</si>
  <si>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</si>
  <si>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</si>
  <si>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</si>
  <si>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</si>
  <si>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</si>
  <si>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</si>
  <si>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</si>
  <si>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</si>
  <si>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</si>
  <si>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</si>
  <si>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</si>
  <si>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</si>
  <si>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</si>
  <si>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</si>
  <si>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</si>
  <si>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</si>
  <si>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</si>
  <si>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</si>
  <si>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</si>
  <si>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</si>
  <si>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</si>
  <si>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</si>
  <si>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</si>
  <si>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</si>
  <si>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</si>
  <si>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</si>
  <si>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</si>
  <si>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</si>
  <si>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</si>
  <si>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</si>
  <si>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</si>
  <si>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</si>
  <si>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</si>
  <si>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</si>
  <si>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</si>
  <si>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</si>
  <si>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</si>
  <si>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</si>
  <si>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</si>
  <si>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</si>
  <si>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</si>
  <si>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</si>
  <si>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</si>
  <si>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</si>
  <si>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</si>
  <si>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</si>
  <si>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</si>
  <si>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</si>
  <si>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</si>
  <si>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</si>
  <si>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</si>
  <si>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</si>
  <si>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</si>
  <si>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</si>
  <si>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</si>
  <si>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</si>
  <si>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</si>
  <si>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</si>
  <si>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</si>
  <si>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</si>
  <si>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</si>
  <si>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</si>
  <si>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</si>
  <si>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</si>
  <si>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</si>
  <si>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</si>
  <si>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</si>
  <si>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</si>
  <si>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</si>
  <si>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</si>
  <si>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</si>
  <si>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</si>
  <si>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</si>
  <si>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</si>
  <si>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</si>
  <si>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</si>
  <si>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</si>
  <si>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</si>
  <si>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</si>
  <si>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</si>
  <si>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</si>
  <si>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</si>
  <si>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</si>
  <si>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</si>
  <si>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</si>
  <si>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</si>
  <si>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</si>
  <si>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</si>
  <si>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</si>
  <si>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</si>
  <si>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</si>
  <si>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</si>
  <si>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</si>
  <si>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</si>
  <si>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</si>
  <si>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</si>
  <si>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</si>
  <si>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</si>
  <si>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</si>
  <si>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</si>
  <si>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</si>
  <si>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</si>
  <si>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</si>
  <si>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</si>
  <si>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</si>
  <si>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</si>
  <si>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</si>
  <si>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</si>
  <si>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</si>
  <si>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</si>
  <si>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</si>
  <si>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</si>
  <si>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</si>
  <si>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</si>
  <si>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</si>
  <si>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</si>
  <si>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</si>
  <si>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</si>
  <si>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</si>
  <si>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</si>
  <si>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</si>
  <si>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</si>
  <si>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</si>
  <si>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</si>
  <si>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</si>
  <si>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</si>
  <si>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</si>
  <si>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</si>
  <si>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</si>
  <si>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</si>
  <si>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</si>
  <si>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</si>
  <si>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</si>
  <si>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</si>
  <si>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</si>
  <si>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</si>
  <si>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</si>
  <si>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</si>
  <si>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</si>
  <si>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</si>
  <si>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</si>
  <si>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</si>
  <si>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</si>
  <si>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</si>
  <si>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</si>
  <si>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</si>
  <si>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</si>
  <si>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</si>
  <si>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</si>
  <si>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</si>
  <si>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</si>
  <si>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</si>
  <si>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</si>
  <si>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</si>
  <si>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</si>
  <si>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</si>
  <si>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</si>
  <si>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</si>
  <si>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</si>
  <si>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</si>
  <si>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</si>
  <si>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</si>
  <si>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</si>
  <si>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</si>
  <si>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</si>
  <si>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</si>
  <si>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</si>
  <si>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</si>
  <si>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</si>
  <si>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</si>
  <si>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</si>
  <si>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</si>
  <si>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</si>
  <si>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</si>
  <si>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</si>
  <si>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</si>
  <si>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</si>
  <si>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</si>
  <si>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</si>
  <si>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</si>
  <si>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</si>
  <si>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</si>
  <si>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</si>
  <si>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</si>
  <si>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</si>
  <si>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</si>
  <si>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</si>
  <si>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</si>
  <si>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</si>
  <si>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</si>
  <si>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</si>
  <si>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</si>
  <si>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</si>
  <si>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</si>
  <si>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</si>
  <si>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</si>
  <si>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</si>
  <si>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</si>
  <si>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</si>
  <si>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</si>
  <si>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</si>
  <si>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</si>
  <si>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</si>
  <si>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</si>
  <si>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</si>
  <si>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</si>
  <si>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</si>
  <si>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</si>
  <si>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</si>
  <si>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</si>
  <si>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</si>
  <si>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</si>
  <si>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</si>
  <si>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</si>
  <si>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</si>
  <si>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</si>
  <si>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</si>
  <si>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</si>
  <si>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</si>
  <si>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</si>
  <si>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</si>
  <si>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</si>
  <si>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</si>
  <si>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</si>
  <si>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</si>
  <si>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</si>
  <si>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</si>
  <si>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</si>
  <si>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</si>
  <si>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</si>
  <si>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</si>
  <si>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</si>
  <si>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</si>
  <si>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</si>
  <si>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</si>
  <si>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</si>
  <si>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</si>
  <si>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</si>
  <si>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</si>
  <si>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</si>
  <si>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</si>
  <si>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</si>
  <si>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</si>
  <si>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</si>
  <si>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</si>
  <si>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</si>
  <si>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</si>
  <si>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</si>
  <si>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</si>
  <si>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</si>
  <si>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</si>
  <si>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</si>
  <si>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</si>
  <si>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</si>
  <si>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</si>
  <si>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</si>
  <si>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</si>
  <si>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</si>
  <si>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</si>
  <si>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</si>
  <si>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</si>
  <si>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</si>
  <si>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</si>
  <si>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</si>
  <si>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</si>
  <si>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</si>
  <si>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</si>
  <si>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</si>
  <si>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</si>
  <si>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</si>
  <si>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</si>
  <si>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</si>
  <si>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</si>
  <si>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</si>
  <si>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</si>
  <si>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</si>
  <si>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</si>
  <si>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</si>
  <si>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</si>
  <si>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</si>
  <si>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</si>
  <si>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</si>
  <si>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</si>
  <si>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</si>
  <si>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</si>
  <si>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</si>
  <si>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</si>
  <si>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</si>
  <si>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</si>
  <si>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</si>
  <si>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</si>
  <si>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</si>
  <si>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</si>
  <si>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</si>
  <si>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</si>
  <si>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</si>
  <si>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</si>
  <si>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</si>
  <si>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</si>
  <si>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</si>
  <si>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</si>
  <si>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</si>
  <si>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</si>
  <si>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</si>
  <si>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</si>
  <si>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</si>
  <si>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</si>
  <si>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</si>
  <si>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</si>
  <si>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</si>
  <si>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</si>
  <si>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</si>
  <si>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</si>
  <si>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</si>
  <si>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</si>
  <si>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</si>
  <si>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</si>
  <si>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</si>
  <si>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</si>
  <si>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</si>
  <si>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</si>
  <si>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</si>
  <si>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</si>
  <si>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</si>
  <si>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</si>
  <si>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</si>
  <si>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</si>
  <si>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</si>
  <si>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</si>
  <si>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</si>
  <si>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</si>
  <si>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</si>
  <si>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</si>
  <si>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</si>
  <si>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</si>
  <si>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</si>
  <si>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</si>
  <si>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</si>
  <si>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</si>
  <si>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</si>
  <si>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</si>
  <si>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</si>
  <si>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</si>
  <si>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</si>
  <si>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</si>
  <si>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</si>
  <si>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</si>
  <si>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</si>
  <si>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</si>
  <si>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</si>
  <si>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</si>
  <si>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</si>
  <si>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</si>
  <si>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</si>
  <si>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</si>
  <si>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</si>
  <si>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</si>
  <si>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</si>
  <si>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</si>
  <si>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</si>
  <si>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</si>
  <si>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</si>
  <si>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</si>
  <si>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</si>
  <si>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</si>
  <si>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</si>
  <si>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</si>
  <si>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</si>
  <si>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</si>
  <si>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</si>
  <si>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</si>
  <si>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</si>
  <si>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</si>
  <si>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</si>
  <si>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</si>
  <si>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</si>
  <si>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</si>
  <si>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</si>
  <si>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</si>
  <si>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</si>
  <si>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</si>
  <si>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</si>
  <si>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</si>
  <si>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</si>
  <si>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</si>
  <si>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</si>
  <si>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</si>
  <si>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</si>
  <si>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</si>
  <si>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</si>
  <si>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</si>
  <si>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</si>
  <si>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</si>
  <si>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</si>
  <si>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</si>
  <si>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</si>
  <si>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</si>
  <si>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</si>
  <si>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</si>
  <si>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</si>
  <si>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</si>
  <si>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</si>
  <si>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</si>
  <si>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</si>
  <si>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</si>
  <si>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</si>
  <si>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</si>
  <si>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</si>
  <si>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</si>
  <si>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</si>
  <si>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</si>
  <si>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</si>
  <si>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</si>
  <si>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</si>
  <si>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</si>
  <si>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</si>
  <si>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</si>
  <si>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</si>
  <si>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</si>
  <si>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</si>
  <si>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</si>
  <si>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</si>
  <si>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</si>
  <si>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</si>
  <si>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</si>
  <si>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</si>
  <si>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</si>
  <si>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</si>
  <si>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</si>
  <si>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</si>
  <si>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</si>
  <si>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</si>
  <si>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</si>
  <si>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</si>
  <si>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</si>
  <si>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</si>
  <si>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</si>
  <si>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</si>
  <si>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</si>
  <si>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</si>
  <si>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</si>
  <si>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</si>
  <si>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</si>
  <si>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</si>
  <si>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</si>
  <si>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</si>
  <si>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</si>
  <si>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</si>
  <si>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</si>
  <si>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</si>
  <si>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</si>
  <si>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</si>
  <si>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</si>
  <si>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</si>
  <si>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</si>
  <si>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</si>
  <si>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</si>
  <si>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</si>
  <si>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</si>
  <si>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</si>
  <si>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</si>
  <si>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</si>
  <si>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</si>
  <si>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</si>
  <si>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</si>
  <si>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</si>
  <si>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</si>
  <si>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</si>
  <si>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</si>
  <si>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</si>
  <si>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</si>
  <si>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</si>
  <si>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</si>
  <si>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</si>
  <si>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</si>
  <si>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</si>
  <si>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</si>
  <si>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</si>
  <si>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</si>
  <si>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</si>
  <si>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</si>
  <si>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</si>
  <si>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</si>
  <si>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</si>
  <si>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</si>
  <si>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</si>
  <si>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</si>
  <si>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</si>
  <si>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</si>
  <si>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</si>
  <si>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</si>
  <si>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</si>
  <si>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</si>
  <si>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</si>
  <si>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</si>
  <si>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</si>
  <si>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</si>
  <si>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</si>
  <si>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</si>
  <si>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</si>
  <si>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</si>
  <si>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</si>
  <si>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</si>
  <si>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</si>
  <si>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</si>
  <si>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</si>
  <si>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</si>
  <si>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</si>
  <si>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</si>
  <si>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</si>
  <si>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</si>
  <si>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</si>
  <si>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</si>
  <si>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</si>
  <si>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</si>
  <si>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</si>
  <si>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</si>
  <si>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</si>
  <si>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</si>
  <si>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</si>
  <si>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</si>
  <si>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</si>
  <si>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</si>
  <si>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</si>
  <si>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</si>
  <si>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</si>
  <si>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</si>
  <si>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</si>
  <si>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</si>
  <si>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</si>
  <si>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</si>
  <si>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</si>
  <si>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</si>
  <si>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</si>
  <si>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</si>
  <si>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</si>
  <si>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</si>
  <si>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</si>
  <si>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</si>
  <si>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</si>
  <si>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</si>
  <si>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</si>
  <si>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</si>
  <si>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</si>
  <si>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</si>
  <si>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</si>
  <si>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</si>
  <si>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</si>
  <si>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</si>
  <si>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</si>
  <si>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</si>
  <si>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</si>
  <si>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</si>
  <si>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</si>
  <si>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</si>
  <si>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</si>
  <si>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</si>
  <si>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</si>
  <si>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</si>
  <si>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</si>
  <si>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</si>
  <si>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</si>
  <si>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</si>
  <si>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</si>
  <si>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</si>
  <si>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</si>
  <si>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</si>
  <si>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</si>
  <si>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</si>
  <si>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</si>
  <si>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</si>
  <si>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</si>
  <si>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</si>
  <si>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</si>
  <si>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</si>
  <si>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</si>
  <si>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</si>
  <si>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</si>
  <si>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</si>
  <si>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</si>
  <si>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</si>
  <si>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</si>
  <si>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</si>
  <si>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</si>
  <si>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</si>
  <si>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</si>
  <si>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</si>
  <si>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</si>
  <si>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</si>
  <si>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</si>
  <si>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</si>
  <si>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</si>
  <si>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</si>
  <si>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</si>
  <si>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</si>
  <si>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</si>
  <si>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</si>
  <si>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</si>
  <si>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</si>
  <si>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</si>
  <si>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</si>
  <si>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</si>
  <si>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</si>
  <si>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</si>
  <si>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</si>
  <si>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</si>
  <si>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</si>
  <si>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</si>
  <si>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</si>
  <si>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</si>
  <si>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</si>
  <si>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</si>
  <si>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</si>
  <si>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</si>
  <si>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</si>
  <si>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</si>
  <si>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</si>
  <si>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</si>
  <si>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</si>
  <si>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</si>
  <si>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</si>
  <si>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</si>
  <si>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</si>
  <si>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</si>
  <si>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</si>
  <si>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</si>
  <si>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</si>
  <si>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</si>
  <si>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</si>
  <si>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</si>
  <si>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</si>
  <si>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</si>
  <si>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</si>
  <si>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</si>
  <si>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</si>
  <si>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</si>
  <si>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</si>
  <si>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</si>
  <si>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</si>
  <si>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</si>
  <si>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</si>
  <si>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</si>
  <si>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</si>
  <si>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</si>
  <si>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</si>
  <si>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</si>
  <si>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</si>
  <si>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</si>
  <si>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</si>
  <si>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</si>
  <si>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</si>
  <si>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</si>
  <si>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</si>
  <si>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</si>
  <si>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</si>
  <si>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</si>
  <si>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</si>
  <si>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</si>
  <si>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</si>
  <si>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</si>
  <si>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</si>
  <si>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</si>
  <si>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</si>
  <si>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</si>
  <si>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</si>
  <si>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</si>
  <si>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</si>
  <si>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</si>
  <si>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</si>
  <si>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</si>
  <si>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</si>
  <si>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</si>
  <si>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</si>
  <si>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</si>
  <si>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</si>
  <si>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</si>
  <si>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</si>
  <si>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</si>
  <si>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</si>
  <si>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</si>
  <si>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</si>
  <si>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</si>
  <si>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</si>
  <si>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</si>
  <si>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</si>
  <si>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</si>
  <si>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</si>
  <si>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</si>
  <si>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</si>
  <si>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</si>
  <si>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</si>
  <si>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</si>
  <si>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</si>
  <si>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</si>
  <si>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</si>
  <si>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</si>
  <si>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</si>
  <si>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</si>
  <si>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</si>
  <si>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</si>
  <si>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</si>
  <si>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</si>
  <si>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</si>
  <si>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</si>
  <si>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</si>
  <si>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</si>
  <si>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</si>
  <si>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</si>
  <si>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</si>
  <si>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</si>
  <si>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</si>
  <si>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</si>
  <si>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</si>
  <si>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</si>
  <si>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</si>
  <si>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</si>
  <si>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</si>
  <si>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</si>
  <si>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</si>
  <si>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</si>
  <si>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</si>
  <si>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</si>
  <si>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</si>
  <si>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</si>
  <si>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</si>
  <si>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</si>
  <si>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</si>
  <si>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</si>
  <si>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</si>
  <si>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</si>
  <si>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</si>
  <si>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</si>
  <si>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</si>
  <si>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</si>
  <si>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</si>
  <si>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</si>
  <si>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</si>
  <si>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</si>
  <si>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</si>
  <si>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</si>
  <si>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</si>
  <si>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</si>
  <si>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</si>
  <si>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</si>
  <si>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</si>
  <si>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</si>
  <si>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</si>
  <si>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</si>
  <si>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</si>
  <si>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</si>
  <si>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</si>
  <si>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</si>
  <si>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</si>
  <si>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</si>
  <si>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</si>
  <si>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</si>
  <si>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</si>
  <si>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</si>
  <si>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</si>
  <si>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</si>
  <si>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</si>
  <si>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</si>
  <si>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</si>
  <si>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</si>
  <si>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</si>
  <si>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</si>
  <si>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</si>
  <si>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</si>
  <si>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</si>
  <si>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</si>
  <si>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</si>
  <si>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</si>
  <si>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</si>
  <si>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</si>
  <si>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</si>
  <si>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</si>
  <si>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</si>
  <si>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</si>
  <si>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</si>
  <si>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</si>
  <si>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</si>
  <si>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</si>
  <si>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</si>
  <si>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</si>
  <si>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</si>
  <si>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</si>
  <si>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</si>
  <si>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</si>
  <si>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</si>
  <si>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</si>
  <si>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</si>
  <si>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</si>
  <si>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</si>
  <si>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</si>
  <si>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</si>
  <si>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</si>
  <si>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</si>
  <si>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</si>
  <si>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</si>
  <si>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</si>
  <si>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</si>
  <si>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</si>
  <si>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</si>
  <si>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</si>
  <si>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</si>
  <si>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</si>
  <si>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</si>
  <si>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</si>
  <si>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</si>
  <si>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</si>
  <si>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</si>
  <si>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</si>
  <si>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</si>
  <si>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</si>
  <si>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</si>
  <si>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</si>
  <si>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</si>
  <si>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</si>
  <si>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</si>
  <si>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</si>
  <si>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</si>
  <si>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</si>
  <si>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</si>
  <si>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</si>
  <si>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</si>
  <si>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</si>
  <si>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</si>
  <si>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</si>
  <si>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</si>
  <si>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</si>
  <si>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</si>
  <si>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</si>
  <si>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</si>
  <si>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</si>
  <si>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</si>
  <si>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</si>
  <si>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</si>
  <si>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</si>
  <si>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</si>
  <si>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</si>
  <si>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</si>
  <si>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</si>
  <si>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</si>
  <si>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</si>
  <si>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</si>
  <si>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</si>
  <si>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</si>
  <si>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</si>
  <si>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</si>
  <si>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</si>
  <si>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</si>
  <si>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</si>
  <si>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</si>
  <si>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</si>
  <si>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</si>
  <si>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</si>
  <si>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</si>
  <si>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</si>
  <si>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</si>
  <si>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</si>
  <si>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</si>
  <si>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</si>
  <si>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</si>
  <si>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</si>
  <si>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</si>
  <si>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</si>
  <si>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</si>
  <si>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</si>
  <si>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</si>
  <si>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</si>
  <si>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</si>
  <si>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</si>
  <si>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</si>
  <si>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</si>
  <si>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</si>
  <si>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</si>
  <si>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</si>
  <si>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</si>
  <si>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</si>
  <si>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</si>
  <si>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</si>
  <si>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</si>
  <si>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</si>
  <si>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</si>
  <si>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</si>
  <si>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</si>
  <si>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</si>
  <si>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</si>
  <si>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</si>
  <si>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</si>
  <si>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</si>
  <si>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</si>
  <si>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</si>
  <si>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</si>
  <si>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</si>
  <si>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</si>
  <si>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</si>
  <si>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</si>
  <si>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</si>
  <si>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</si>
  <si>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</si>
  <si>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</si>
  <si>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</si>
  <si>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</si>
  <si>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</si>
  <si>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</si>
  <si>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</si>
  <si>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</si>
  <si>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</si>
  <si>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</si>
  <si>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</si>
  <si>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</si>
  <si>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</si>
  <si>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</si>
  <si>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</si>
  <si>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</si>
  <si>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</si>
  <si>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</si>
  <si>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</si>
  <si>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</si>
  <si>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</si>
  <si>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</si>
  <si>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</si>
  <si>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</si>
  <si>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</si>
  <si>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</si>
  <si>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</si>
  <si>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</si>
  <si>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</si>
  <si>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</si>
  <si>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</si>
  <si>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</si>
  <si>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</si>
  <si>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</si>
  <si>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</si>
  <si>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</si>
  <si>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</si>
  <si>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</si>
  <si>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</si>
  <si>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</si>
  <si>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</si>
  <si>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</si>
  <si>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</si>
  <si>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</si>
  <si>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</si>
  <si>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</si>
  <si>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</si>
  <si>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</si>
  <si>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</si>
  <si>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</si>
  <si>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</si>
  <si>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</si>
  <si>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</si>
  <si>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</si>
  <si>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</si>
  <si>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</si>
  <si>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</si>
  <si>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</si>
  <si>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</si>
  <si>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</si>
  <si>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</si>
  <si>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</si>
  <si>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</si>
  <si>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</si>
  <si>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</si>
  <si>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</si>
  <si>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</si>
  <si>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</si>
  <si>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</si>
  <si>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</si>
  <si>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</si>
  <si>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</si>
  <si>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</si>
  <si>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</si>
  <si>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</si>
  <si>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</si>
  <si>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</si>
  <si>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</si>
  <si>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</si>
  <si>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</si>
  <si>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</si>
  <si>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</si>
  <si>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</si>
  <si>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</si>
  <si>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</si>
  <si>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</si>
  <si>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</si>
  <si>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</si>
  <si>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</si>
  <si>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</si>
  <si>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</si>
  <si>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</si>
  <si>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</si>
  <si>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</si>
  <si>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</si>
  <si>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</si>
  <si>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</si>
  <si>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</si>
  <si>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</si>
  <si>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</si>
  <si>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</si>
  <si>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</si>
  <si>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</si>
  <si>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</si>
  <si>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</si>
  <si>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</si>
  <si>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</si>
  <si>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</si>
  <si>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</si>
  <si>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</si>
  <si>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</si>
  <si>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</si>
  <si>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</si>
  <si>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</si>
  <si>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</si>
  <si>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</si>
  <si>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</si>
  <si>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</si>
  <si>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</si>
  <si>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</si>
  <si>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</si>
  <si>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</si>
  <si>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</si>
  <si>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</si>
  <si>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</si>
  <si>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</si>
  <si>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</si>
  <si>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</si>
  <si>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</si>
  <si>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</si>
  <si>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</si>
  <si>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</si>
  <si>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</si>
  <si>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</si>
  <si>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</si>
  <si>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</si>
  <si>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</si>
  <si>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</si>
  <si>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</si>
  <si>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</si>
  <si>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</si>
  <si>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</si>
  <si>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</si>
  <si>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</si>
  <si>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</si>
  <si>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</si>
  <si>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</si>
  <si>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</si>
  <si>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</si>
  <si>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</si>
  <si>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</si>
  <si>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</si>
  <si>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</si>
  <si>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</si>
  <si>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</si>
  <si>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</si>
  <si>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</si>
  <si>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</si>
  <si>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</si>
  <si>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</si>
  <si>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</si>
  <si>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</si>
  <si>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</si>
  <si>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</si>
  <si>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</si>
  <si>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</si>
  <si>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</si>
  <si>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</si>
  <si>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</si>
  <si>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</si>
  <si>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</si>
  <si>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</si>
  <si>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</si>
  <si>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</si>
  <si>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</si>
  <si>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</si>
  <si>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</si>
  <si>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</si>
  <si>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</si>
  <si>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</si>
  <si>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</si>
  <si>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</si>
  <si>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</si>
  <si>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</si>
  <si>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</si>
  <si>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</si>
  <si>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</si>
  <si>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</si>
  <si>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</si>
  <si>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</si>
  <si>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</si>
  <si>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</si>
  <si>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</si>
  <si>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</si>
  <si>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</si>
  <si>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</si>
  <si>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</si>
  <si>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</si>
  <si>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</si>
  <si>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</si>
  <si>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</si>
  <si>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</si>
  <si>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</si>
  <si>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</si>
  <si>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</si>
  <si>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</si>
  <si>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</si>
  <si>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</si>
  <si>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</si>
  <si>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</si>
  <si>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</si>
  <si>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</si>
  <si>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</si>
  <si>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</si>
  <si>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</si>
  <si>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</si>
  <si>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</si>
  <si>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</si>
  <si>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</si>
  <si>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</si>
  <si>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</si>
  <si>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</si>
  <si>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</si>
  <si>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</si>
  <si>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</si>
  <si>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</si>
  <si>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</si>
  <si>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</si>
  <si>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</si>
  <si>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</si>
  <si>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</si>
  <si>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</si>
  <si>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</si>
  <si>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</si>
  <si>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</si>
  <si>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</si>
  <si>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</si>
  <si>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</si>
  <si>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</si>
  <si>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</si>
  <si>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</si>
  <si>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</si>
  <si>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</si>
  <si>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</si>
  <si>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</si>
  <si>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</si>
  <si>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</si>
  <si>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</si>
  <si>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</si>
  <si>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</si>
  <si>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</si>
  <si>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</si>
  <si>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</si>
  <si>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</si>
  <si>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</si>
  <si>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</si>
  <si>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</si>
  <si>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</si>
  <si>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</si>
  <si>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</si>
  <si>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</si>
  <si>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</si>
  <si>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</si>
  <si>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</si>
  <si>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</si>
  <si>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</si>
  <si>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</si>
  <si>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</si>
  <si>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</si>
  <si>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</si>
  <si>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</si>
  <si>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</si>
  <si>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</si>
  <si>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</si>
  <si>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</si>
  <si>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</si>
  <si>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</si>
  <si>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</si>
  <si>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</si>
  <si>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</si>
  <si>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</si>
  <si>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</si>
  <si>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</si>
  <si>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</si>
  <si>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</si>
  <si>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</si>
  <si>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</si>
  <si>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</si>
  <si>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</si>
  <si>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</si>
  <si>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</si>
  <si>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</si>
  <si>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</si>
  <si>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</si>
  <si>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</si>
  <si>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</si>
  <si>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</si>
  <si>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</si>
  <si>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</si>
  <si>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</si>
  <si>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</si>
  <si>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</si>
  <si>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</si>
  <si>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</si>
  <si>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</si>
  <si>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</si>
  <si>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</si>
  <si>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</si>
  <si>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</si>
  <si>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</si>
  <si>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</si>
  <si>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</si>
  <si>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</si>
  <si>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</si>
  <si>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</si>
  <si>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</si>
  <si>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</si>
  <si>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</si>
  <si>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</si>
  <si>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</si>
  <si>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</si>
  <si>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</si>
  <si>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</si>
  <si>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</si>
  <si>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</si>
  <si>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</si>
  <si>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</si>
  <si>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</si>
  <si>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</si>
  <si>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</si>
  <si>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</si>
  <si>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</si>
  <si>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</si>
  <si>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</si>
  <si>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</si>
  <si>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</si>
  <si>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</si>
  <si>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</si>
  <si>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</si>
  <si>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</si>
  <si>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</si>
  <si>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</si>
  <si>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</si>
  <si>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</si>
  <si>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</si>
  <si>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</si>
  <si>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</si>
  <si>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</si>
  <si>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</si>
  <si>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</si>
  <si>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</si>
  <si>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</si>
  <si>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</si>
  <si>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</si>
  <si>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</si>
  <si>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</si>
  <si>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</si>
  <si>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</si>
  <si>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</si>
  <si>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</si>
  <si>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</si>
  <si>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</si>
  <si>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</si>
  <si>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</si>
  <si>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</si>
  <si>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</si>
  <si>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</si>
  <si>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</si>
  <si>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</si>
  <si>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</si>
  <si>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</si>
  <si>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</si>
  <si>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</si>
  <si>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</si>
  <si>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</si>
  <si>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</si>
  <si>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</si>
  <si>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</si>
  <si>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</si>
  <si>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</si>
  <si>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</si>
  <si>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</si>
  <si>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</si>
  <si>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</si>
  <si>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</si>
  <si>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</si>
  <si>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</si>
  <si>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</si>
  <si>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</si>
  <si>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</si>
  <si>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</si>
  <si>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</si>
  <si>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</si>
  <si>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</si>
  <si>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</si>
  <si>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</si>
  <si>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</si>
  <si>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</si>
  <si>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</si>
  <si>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</si>
  <si>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</si>
  <si>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</si>
  <si>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</si>
  <si>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</si>
  <si>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</si>
  <si>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</si>
  <si>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</si>
  <si>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</si>
  <si>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</si>
  <si>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</si>
  <si>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</si>
  <si>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</si>
  <si>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</si>
  <si>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</si>
  <si>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</si>
  <si>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</si>
  <si>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</si>
  <si>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</si>
  <si>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</si>
  <si>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</si>
  <si>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</si>
  <si>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</si>
  <si>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</si>
  <si>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</si>
  <si>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</si>
  <si>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</si>
  <si>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</si>
  <si>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</si>
  <si>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</si>
  <si>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</si>
  <si>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</si>
  <si>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</si>
  <si>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</si>
  <si>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</si>
  <si>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</si>
  <si>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</si>
  <si>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</si>
  <si>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</si>
  <si>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</si>
  <si>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</si>
  <si>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</si>
  <si>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</si>
  <si>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</si>
  <si>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</si>
  <si>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</si>
  <si>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</si>
  <si>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</si>
  <si>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</si>
  <si>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</si>
  <si>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</si>
  <si>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</si>
  <si>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</si>
  <si>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</si>
  <si>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</si>
  <si>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</si>
  <si>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</si>
  <si>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</si>
  <si>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</si>
  <si>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</si>
  <si>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</si>
  <si>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</si>
  <si>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</si>
  <si>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</si>
  <si>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</si>
  <si>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</si>
  <si>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</si>
  <si>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</si>
  <si>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</si>
  <si>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</si>
  <si>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</si>
  <si>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</si>
  <si>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</si>
  <si>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</si>
  <si>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</si>
  <si>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</si>
  <si>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</si>
  <si>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</si>
  <si>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</si>
  <si>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</si>
  <si>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</si>
  <si>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</si>
  <si>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</si>
  <si>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</si>
  <si>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</si>
  <si>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</si>
  <si>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</si>
  <si>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</si>
  <si>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</si>
  <si>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</si>
  <si>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</si>
  <si>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</si>
  <si>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</si>
  <si>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</si>
  <si>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</si>
  <si>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</si>
  <si>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</si>
  <si>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</si>
  <si>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</si>
  <si>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</si>
  <si>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</si>
  <si>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</si>
  <si>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</si>
  <si>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</si>
  <si>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</si>
  <si>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</si>
  <si>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</si>
  <si>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</si>
  <si>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</si>
  <si>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</si>
  <si>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</si>
  <si>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</si>
  <si>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</si>
  <si>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</si>
  <si>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</si>
  <si>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</si>
  <si>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</si>
  <si>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</si>
  <si>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</si>
  <si>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</si>
  <si>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</si>
  <si>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</si>
  <si>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</si>
  <si>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</si>
  <si>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</si>
  <si>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</si>
  <si>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</si>
  <si>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</si>
  <si>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</si>
  <si>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</si>
  <si>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</si>
  <si>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</si>
  <si>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</si>
  <si>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</si>
  <si>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</si>
  <si>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</si>
  <si>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</si>
  <si>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</si>
  <si>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</si>
  <si>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</si>
  <si>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</si>
  <si>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</si>
  <si>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</si>
  <si>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</si>
  <si>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</si>
  <si>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</si>
  <si>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</si>
  <si>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</si>
  <si>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</si>
  <si>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</si>
  <si>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</si>
  <si>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</si>
  <si>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</si>
  <si>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</si>
  <si>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</si>
  <si>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</si>
  <si>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</si>
  <si>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</si>
  <si>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</si>
  <si>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</si>
  <si>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</si>
  <si>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</si>
  <si>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</si>
  <si>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</si>
  <si>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</si>
  <si>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</si>
  <si>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</si>
  <si>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</si>
  <si>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</si>
  <si>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</si>
  <si>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</si>
  <si>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</si>
  <si>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</si>
  <si>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</si>
  <si>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</si>
  <si>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</si>
  <si>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</si>
  <si>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</si>
  <si>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</si>
  <si>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</si>
  <si>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</si>
  <si>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</si>
  <si>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</si>
  <si>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</si>
  <si>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</si>
  <si>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</si>
  <si>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</si>
  <si>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</si>
  <si>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</si>
  <si>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</si>
  <si>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</si>
  <si>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</si>
  <si>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</si>
  <si>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</si>
  <si>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</si>
  <si>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</si>
  <si>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</si>
  <si>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</si>
  <si>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</si>
  <si>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</si>
  <si>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</si>
  <si>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</si>
  <si>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</si>
  <si>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</si>
  <si>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</si>
  <si>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</si>
  <si>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</si>
  <si>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</si>
  <si>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</si>
  <si>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</si>
  <si>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</si>
  <si>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</si>
  <si>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</si>
  <si>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</si>
  <si>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</si>
  <si>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</si>
  <si>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</si>
  <si>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</si>
  <si>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</si>
  <si>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</si>
  <si>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</si>
  <si>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</si>
  <si>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</si>
  <si>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</si>
  <si>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</si>
  <si>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</si>
  <si>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</si>
  <si>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</si>
  <si>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</si>
  <si>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</si>
  <si>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</si>
  <si>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</si>
  <si>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</si>
  <si>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</si>
  <si>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</si>
  <si>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</si>
  <si>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</si>
  <si>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</si>
  <si>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</si>
  <si>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</si>
  <si>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</si>
  <si>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</si>
  <si>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</si>
  <si>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</si>
  <si>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</si>
  <si>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</si>
  <si>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</si>
  <si>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</si>
  <si>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</si>
  <si>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</si>
  <si>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</si>
  <si>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</si>
  <si>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</si>
  <si>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</si>
  <si>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</si>
  <si>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</si>
  <si>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</si>
  <si>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</si>
  <si>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</si>
  <si>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</si>
  <si>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</si>
  <si>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</si>
  <si>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</si>
  <si>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</si>
  <si>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</si>
  <si>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</si>
  <si>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</si>
  <si>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</si>
  <si>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</si>
  <si>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</si>
  <si>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</si>
  <si>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</si>
  <si>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</si>
  <si>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</si>
  <si>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</si>
  <si>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</si>
  <si>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</si>
  <si>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</si>
  <si>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</si>
  <si>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</si>
  <si>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</si>
  <si>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</si>
  <si>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</si>
  <si>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</si>
  <si>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</si>
  <si>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</si>
  <si>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</si>
  <si>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</si>
  <si>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</si>
  <si>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</si>
  <si>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</si>
  <si>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</si>
  <si>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</si>
  <si>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</si>
  <si>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</si>
  <si>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</si>
  <si>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</si>
  <si>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</si>
  <si>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</si>
  <si>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</si>
  <si>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</si>
  <si>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</si>
  <si>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</si>
  <si>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</si>
  <si>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</si>
  <si>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</si>
  <si>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</si>
  <si>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</si>
  <si>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</si>
  <si>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</si>
  <si>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</si>
  <si>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</si>
  <si>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</si>
  <si>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</si>
  <si>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</si>
  <si>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</si>
  <si>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</si>
  <si>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</si>
  <si>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</si>
  <si>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</si>
  <si>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</si>
  <si>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</si>
  <si>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</si>
  <si>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</si>
  <si>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</si>
  <si>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</si>
  <si>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</si>
  <si>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</si>
  <si>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</si>
  <si>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</si>
  <si>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</si>
  <si>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</si>
  <si>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</si>
  <si>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</si>
  <si>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</si>
  <si>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</si>
  <si>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</si>
  <si>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</si>
  <si>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</si>
  <si>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</si>
  <si>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</si>
  <si>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</si>
  <si>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</si>
  <si>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</si>
  <si>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</si>
  <si>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</si>
  <si>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</si>
  <si>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</si>
  <si>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</si>
  <si>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</si>
  <si>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</si>
  <si>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</si>
  <si>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</si>
  <si>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</si>
  <si>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</si>
  <si>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</si>
  <si>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</si>
  <si>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</si>
  <si>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</si>
  <si>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</si>
  <si>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</si>
  <si>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</si>
  <si>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</si>
  <si>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</si>
  <si>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</si>
  <si>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</si>
  <si>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</si>
  <si>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</si>
  <si>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</si>
  <si>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</si>
  <si>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</si>
  <si>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</si>
  <si>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</si>
  <si>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</si>
  <si>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</si>
  <si>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</si>
  <si>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</si>
  <si>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</si>
  <si>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</si>
  <si>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</si>
  <si>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</si>
  <si>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</si>
  <si>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</si>
  <si>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</si>
  <si>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</si>
  <si>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</si>
  <si>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</si>
  <si>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</si>
  <si>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</si>
  <si>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</si>
  <si>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</si>
  <si>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</si>
  <si>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</si>
  <si>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</si>
  <si>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</si>
  <si>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</si>
  <si>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</si>
  <si>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</si>
  <si>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</si>
  <si>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</si>
  <si>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</si>
  <si>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</si>
  <si>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</si>
  <si>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</si>
  <si>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</si>
  <si>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</si>
  <si>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</si>
  <si>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</si>
  <si>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</si>
  <si>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</si>
  <si>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</si>
  <si>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</si>
  <si>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</si>
  <si>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</si>
  <si>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</si>
  <si>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</si>
  <si>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</si>
  <si>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</si>
  <si>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</si>
  <si>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</si>
  <si>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</si>
  <si>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</si>
  <si>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</si>
  <si>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</si>
  <si>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</si>
  <si>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</si>
  <si>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</si>
  <si>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</si>
  <si>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</si>
  <si>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</si>
  <si>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</si>
  <si>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</si>
  <si>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</si>
  <si>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</si>
  <si>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</si>
  <si>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</si>
  <si>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</si>
  <si>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</si>
  <si>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</si>
  <si>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</si>
  <si>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</si>
  <si>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</si>
  <si>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</si>
  <si>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</si>
  <si>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</si>
  <si>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</si>
  <si>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</si>
  <si>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</si>
  <si>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</si>
  <si>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</si>
  <si>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</si>
  <si>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</si>
  <si>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</si>
  <si>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</si>
  <si>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</si>
  <si>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</si>
  <si>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</si>
  <si>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</si>
  <si>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</si>
  <si>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</si>
  <si>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</si>
  <si>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</si>
  <si>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</si>
  <si>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</si>
  <si>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</si>
  <si>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</si>
  <si>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</si>
  <si>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</si>
  <si>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</si>
  <si>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</si>
  <si>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</si>
  <si>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</si>
  <si>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</si>
  <si>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</si>
  <si>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</si>
  <si>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</si>
  <si>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</si>
  <si>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</si>
  <si>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</si>
  <si>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</si>
  <si>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</si>
  <si>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</si>
  <si>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</si>
  <si>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</si>
  <si>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</si>
  <si>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</si>
  <si>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</si>
  <si>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</si>
  <si>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</si>
  <si>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</si>
  <si>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</si>
  <si>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</si>
  <si>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</si>
  <si>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</si>
  <si>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</si>
  <si>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</si>
  <si>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</si>
  <si>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</si>
  <si>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</si>
  <si>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</si>
  <si>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</si>
  <si>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</si>
  <si>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</si>
  <si>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</si>
  <si>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</si>
  <si>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</si>
  <si>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</si>
  <si>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</si>
  <si>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</si>
  <si>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</si>
  <si>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</si>
  <si>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</si>
  <si>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</si>
  <si>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</si>
  <si>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</si>
  <si>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</si>
  <si>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</si>
  <si>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</si>
  <si>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</si>
  <si>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</si>
  <si>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</si>
  <si>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</si>
  <si>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</si>
  <si>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</si>
  <si>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</si>
  <si>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</si>
  <si>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</si>
  <si>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</si>
  <si>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</si>
  <si>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</si>
  <si>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</si>
  <si>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</si>
  <si>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</si>
  <si>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</si>
  <si>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</si>
  <si>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</si>
  <si>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</si>
  <si>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</si>
  <si>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</si>
  <si>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</si>
  <si>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</si>
  <si>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</si>
  <si>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</si>
  <si>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</si>
  <si>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</si>
  <si>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</si>
  <si>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</si>
  <si>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</si>
  <si>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</si>
  <si>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</si>
  <si>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</si>
  <si>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</si>
  <si>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</si>
  <si>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</si>
  <si>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</si>
  <si>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</si>
  <si>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</si>
  <si>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</si>
  <si>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</si>
  <si>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</si>
  <si>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</si>
  <si>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</si>
  <si>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</si>
  <si>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</si>
  <si>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</si>
  <si>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</si>
  <si>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</si>
  <si>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</si>
  <si>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</si>
  <si>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</si>
  <si>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</si>
  <si>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</si>
  <si>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</si>
  <si>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</si>
  <si>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</si>
  <si>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</si>
  <si>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</si>
  <si>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</si>
  <si>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</si>
  <si>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</si>
  <si>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</si>
  <si>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</si>
  <si>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</si>
  <si>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</si>
  <si>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</si>
  <si>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</si>
  <si>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</si>
  <si>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</si>
  <si>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</si>
  <si>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</si>
  <si>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</si>
  <si>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</si>
  <si>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</si>
  <si>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</si>
  <si>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</si>
  <si>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</si>
  <si>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</si>
  <si>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</si>
  <si>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</si>
  <si>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</si>
  <si>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</si>
  <si>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</si>
  <si>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</si>
  <si>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</si>
  <si>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</si>
  <si>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</si>
  <si>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</si>
  <si>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</si>
  <si>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</si>
  <si>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</si>
  <si>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</si>
  <si>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</si>
  <si>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</si>
  <si>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</si>
  <si>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</si>
  <si>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</si>
  <si>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</si>
  <si>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</si>
  <si>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</si>
  <si>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</si>
  <si>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</si>
  <si>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</si>
  <si>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</si>
  <si>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</si>
  <si>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</si>
  <si>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</si>
  <si>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</si>
  <si>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</si>
  <si>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</si>
  <si>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</si>
  <si>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</si>
  <si>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</si>
  <si>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</si>
  <si>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</si>
  <si>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</si>
  <si>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</si>
  <si>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</si>
  <si>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</si>
  <si>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</si>
  <si>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</si>
  <si>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</si>
  <si>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</si>
  <si>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</si>
  <si>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</si>
  <si>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</si>
  <si>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</si>
  <si>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</si>
  <si>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</si>
  <si>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</si>
  <si>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</si>
  <si>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</si>
  <si>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</si>
  <si>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</si>
  <si>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</si>
  <si>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</si>
  <si>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</si>
  <si>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</si>
  <si>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</si>
  <si>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</si>
  <si>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</si>
  <si>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</si>
  <si>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</si>
  <si>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</si>
  <si>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</si>
  <si>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</si>
  <si>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</si>
  <si>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</si>
  <si>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</si>
  <si>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</si>
  <si>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</si>
  <si>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</si>
  <si>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</si>
  <si>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</si>
  <si>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</si>
  <si>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</si>
  <si>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</si>
  <si>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</si>
  <si>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</si>
  <si>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</si>
  <si>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</si>
  <si>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</si>
  <si>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</si>
  <si>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</si>
  <si>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</si>
  <si>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</si>
  <si>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</si>
  <si>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</si>
  <si>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</si>
  <si>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</si>
  <si>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</si>
  <si>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</si>
  <si>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</si>
  <si>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</si>
  <si>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</si>
  <si>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</si>
  <si>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</si>
  <si>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</si>
  <si>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</si>
  <si>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</si>
  <si>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</si>
  <si>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</si>
  <si>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</si>
  <si>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</si>
  <si>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</si>
  <si>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</si>
  <si>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</si>
  <si>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</si>
  <si>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</si>
  <si>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</si>
  <si>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</si>
  <si>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</si>
  <si>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</si>
  <si>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</si>
  <si>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</si>
  <si>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</si>
  <si>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</si>
  <si>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</si>
  <si>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</si>
  <si>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</si>
  <si>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</si>
  <si>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</si>
  <si>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</si>
  <si>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</si>
  <si>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</si>
  <si>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</si>
  <si>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</si>
  <si>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</si>
  <si>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</si>
  <si>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</si>
  <si>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</si>
  <si>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</si>
  <si>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</si>
  <si>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</si>
  <si>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</si>
  <si>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</si>
  <si>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</si>
  <si>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</si>
  <si>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</si>
  <si>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</si>
  <si>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</si>
  <si>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</si>
  <si>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</si>
  <si>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</si>
  <si>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</si>
  <si>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</si>
  <si>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</si>
  <si>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</si>
  <si>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</si>
  <si>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</si>
  <si>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</si>
  <si>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</si>
  <si>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</si>
  <si>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</si>
  <si>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</si>
  <si>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</si>
  <si>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</si>
  <si>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</si>
  <si>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</si>
  <si>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</si>
  <si>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</si>
  <si>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</si>
  <si>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</si>
  <si>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</si>
  <si>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</si>
  <si>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</si>
  <si>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</si>
  <si>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</si>
  <si>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</si>
  <si>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</si>
  <si>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</si>
  <si>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</si>
  <si>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</si>
  <si>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</si>
  <si>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</si>
  <si>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</si>
  <si>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</si>
  <si>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</si>
  <si>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</si>
  <si>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</si>
  <si>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</si>
  <si>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</si>
  <si>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</si>
  <si>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</si>
  <si>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</si>
  <si>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</si>
  <si>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</si>
  <si>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</si>
  <si>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</si>
  <si>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</si>
  <si>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</si>
  <si>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</si>
  <si>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</si>
  <si>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</si>
  <si>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</si>
  <si>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</si>
  <si>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</si>
  <si>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</si>
  <si>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</si>
  <si>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</si>
  <si>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</si>
  <si>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</si>
  <si>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</si>
  <si>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</si>
  <si>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</si>
  <si>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</si>
  <si>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</si>
  <si>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</si>
  <si>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</si>
  <si>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</si>
  <si>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</si>
  <si>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</si>
  <si>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</si>
  <si>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</si>
  <si>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</si>
  <si>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</si>
  <si>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</si>
  <si>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</si>
  <si>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</si>
  <si>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</si>
  <si>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</si>
  <si>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</si>
  <si>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</si>
  <si>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</si>
  <si>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</si>
  <si>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</si>
  <si>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</si>
  <si>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</si>
  <si>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</si>
  <si>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</si>
  <si>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</si>
  <si>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</si>
  <si>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</si>
  <si>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</si>
  <si>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</si>
  <si>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</si>
  <si>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</si>
  <si>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</si>
  <si>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</si>
  <si>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</si>
  <si>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</si>
  <si>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</si>
  <si>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</si>
  <si>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</si>
  <si>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</si>
  <si>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</si>
  <si>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</si>
  <si>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</si>
  <si>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</si>
  <si>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</si>
  <si>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</si>
  <si>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</si>
  <si>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</si>
  <si>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</si>
  <si>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</si>
  <si>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</si>
  <si>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</si>
  <si>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</si>
  <si>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</si>
  <si>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</si>
  <si>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</si>
  <si>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</si>
  <si>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</si>
  <si>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</si>
  <si>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</si>
  <si>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</si>
  <si>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</si>
  <si>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</si>
  <si>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</si>
  <si>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</si>
  <si>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</si>
  <si>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</si>
  <si>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</si>
  <si>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</si>
  <si>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</si>
  <si>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</si>
  <si>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</si>
  <si>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</si>
  <si>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</si>
  <si>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</si>
  <si>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</si>
  <si>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</si>
  <si>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</si>
  <si>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</si>
  <si>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</si>
  <si>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</si>
  <si>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</si>
  <si>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</si>
  <si>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</si>
  <si>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</si>
  <si>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</si>
  <si>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</si>
  <si>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</si>
  <si>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</si>
  <si>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</si>
  <si>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</si>
  <si>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</si>
  <si>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</si>
  <si>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</si>
  <si>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</si>
  <si>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</si>
  <si>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</si>
  <si>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</si>
  <si>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</si>
  <si>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</si>
  <si>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</si>
  <si>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</si>
  <si>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</si>
  <si>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</si>
  <si>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</si>
  <si>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</si>
  <si>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</si>
  <si>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</si>
  <si>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</si>
  <si>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</si>
  <si>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</si>
  <si>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</si>
  <si>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</si>
  <si>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</si>
  <si>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</si>
  <si>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</si>
  <si>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</si>
  <si>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</si>
  <si>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</si>
  <si>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</si>
  <si>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</si>
  <si>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</si>
  <si>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</si>
  <si>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</si>
  <si>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</si>
  <si>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</si>
  <si>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</si>
  <si>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</si>
  <si>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</si>
  <si>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</si>
  <si>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</si>
  <si>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</si>
  <si>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</si>
  <si>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</si>
  <si>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</si>
  <si>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</si>
  <si>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</si>
  <si>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</si>
  <si>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</si>
  <si>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</si>
  <si>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</si>
  <si>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</si>
  <si>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</si>
  <si>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</si>
  <si>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</si>
  <si>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</si>
  <si>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</si>
  <si>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</si>
  <si>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</si>
  <si>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</si>
  <si>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</si>
  <si>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</si>
  <si>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</si>
  <si>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</si>
  <si>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</si>
  <si>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</si>
  <si>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</si>
  <si>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</si>
  <si>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</si>
  <si>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</si>
  <si>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</si>
  <si>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</si>
  <si>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</si>
  <si>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</si>
  <si>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</si>
  <si>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</si>
  <si>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</si>
  <si>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</si>
  <si>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</si>
  <si>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</si>
  <si>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</si>
  <si>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</si>
  <si>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</si>
  <si>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</si>
  <si>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</si>
  <si>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</si>
  <si>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</si>
  <si>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</si>
  <si>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</si>
  <si>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</si>
  <si>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</si>
  <si>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</si>
  <si>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</si>
  <si>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</si>
  <si>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</si>
  <si>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</si>
  <si>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</si>
  <si>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</si>
  <si>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</si>
  <si>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</si>
  <si>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</si>
  <si>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</si>
  <si>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</si>
  <si>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</si>
  <si>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</si>
  <si>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</si>
  <si>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</si>
  <si>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</si>
  <si>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</si>
  <si>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</si>
  <si>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</si>
  <si>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</si>
  <si>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</si>
  <si>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</si>
  <si>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</si>
  <si>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</si>
  <si>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</si>
  <si>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</si>
  <si>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</si>
  <si>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</si>
  <si>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</si>
  <si>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</si>
  <si>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</si>
  <si>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</si>
  <si>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</si>
  <si>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</si>
  <si>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</si>
  <si>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</si>
  <si>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</si>
  <si>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</si>
  <si>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</si>
  <si>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</si>
  <si>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</si>
  <si>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</si>
  <si>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</si>
  <si>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</si>
  <si>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</si>
  <si>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</si>
  <si>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</si>
  <si>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</si>
  <si>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</si>
  <si>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</si>
  <si>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</si>
  <si>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</si>
  <si>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</si>
  <si>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</si>
  <si>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</si>
  <si>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</si>
  <si>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</si>
  <si>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</si>
  <si>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</si>
  <si>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</si>
  <si>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</si>
  <si>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</si>
  <si>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</si>
  <si>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</si>
  <si>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</si>
  <si>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</si>
  <si>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</si>
  <si>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</si>
  <si>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</si>
  <si>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</si>
  <si>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</si>
  <si>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</si>
  <si>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</si>
  <si>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</si>
  <si>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</si>
  <si>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</si>
  <si>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</si>
  <si>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</si>
  <si>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</si>
  <si>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</si>
  <si>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</si>
  <si>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</si>
  <si>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</si>
  <si>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</si>
  <si>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</si>
  <si>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</si>
  <si>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</si>
  <si>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</si>
  <si>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</si>
  <si>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</si>
  <si>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</si>
  <si>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</si>
  <si>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</si>
  <si>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</si>
  <si>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</si>
  <si>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</si>
  <si>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</si>
  <si>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</si>
  <si>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</si>
  <si>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</si>
  <si>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</si>
  <si>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</si>
  <si>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</si>
  <si>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</si>
  <si>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</si>
  <si>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</si>
  <si>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</si>
  <si>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</si>
  <si>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</si>
  <si>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</si>
  <si>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</si>
  <si>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</si>
  <si>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</si>
  <si>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</si>
  <si>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</si>
  <si>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</si>
  <si>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</si>
  <si>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</si>
  <si>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</si>
  <si>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</si>
  <si>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</si>
  <si>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</si>
  <si>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</si>
  <si>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</si>
  <si>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</si>
  <si>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</si>
  <si>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</si>
  <si>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</si>
  <si>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</si>
  <si>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</si>
  <si>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</si>
  <si>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</si>
  <si>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</si>
  <si>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</si>
  <si>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</si>
  <si>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</si>
  <si>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</si>
  <si>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</si>
  <si>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</si>
  <si>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</si>
  <si>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</si>
  <si>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</si>
  <si>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</si>
  <si>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</si>
  <si>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</si>
  <si>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</si>
  <si>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</si>
  <si>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</si>
  <si>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</si>
  <si>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</si>
  <si>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</si>
  <si>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</si>
  <si>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</si>
  <si>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</si>
  <si>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</si>
  <si>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</si>
  <si>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</si>
  <si>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</si>
  <si>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</si>
  <si>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</si>
  <si>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</si>
  <si>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</si>
  <si>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</si>
  <si>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</si>
  <si>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</si>
  <si>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</si>
  <si>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</si>
  <si>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</si>
  <si>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</si>
  <si>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</si>
  <si>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</si>
  <si>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</si>
  <si>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</si>
  <si>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</si>
  <si>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</si>
  <si>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</si>
  <si>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</si>
  <si>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</si>
  <si>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</si>
  <si>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</si>
  <si>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</si>
  <si>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</si>
  <si>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</si>
  <si>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</si>
  <si>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</si>
  <si>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</si>
  <si>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</si>
  <si>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</si>
  <si>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</si>
  <si>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</si>
  <si>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</si>
  <si>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</si>
  <si>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</si>
  <si>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</si>
  <si>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</si>
  <si>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</si>
  <si>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</si>
  <si>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</si>
  <si>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</si>
  <si>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</si>
  <si>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</si>
  <si>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</si>
  <si>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</si>
  <si>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</si>
  <si>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</si>
  <si>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</si>
  <si>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</si>
  <si>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</si>
  <si>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</si>
  <si>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</si>
  <si>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</si>
  <si>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</si>
  <si>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</si>
  <si>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</si>
  <si>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</si>
  <si>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</si>
  <si>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</si>
  <si>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</si>
  <si>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</si>
  <si>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</si>
  <si>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</si>
  <si>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</si>
  <si>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</si>
  <si>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</si>
  <si>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</si>
  <si>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</si>
  <si>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</si>
  <si>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</si>
  <si>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</si>
  <si>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</si>
  <si>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</si>
  <si>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</si>
  <si>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</si>
  <si>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</si>
  <si>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</si>
  <si>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</si>
  <si>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</si>
  <si>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</si>
  <si>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</si>
  <si>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</si>
  <si>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</si>
  <si>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</si>
  <si>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</si>
  <si>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</si>
  <si>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</si>
  <si>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</si>
  <si>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</si>
  <si>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</si>
  <si>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</si>
  <si>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</si>
  <si>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</si>
  <si>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</si>
  <si>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</si>
  <si>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</si>
  <si>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</si>
  <si>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</si>
  <si>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</si>
  <si>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</si>
  <si>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</si>
  <si>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</si>
  <si>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</si>
  <si>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</si>
  <si>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</si>
  <si>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</si>
  <si>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</si>
  <si>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</si>
  <si>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</si>
  <si>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</si>
  <si>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</si>
  <si>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</si>
  <si>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</si>
  <si>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</si>
  <si>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</si>
  <si>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</si>
  <si>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</si>
  <si>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</si>
  <si>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</si>
  <si>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</si>
  <si>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</si>
  <si>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</si>
  <si>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</si>
  <si>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</si>
  <si>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</si>
  <si>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</si>
  <si>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</si>
  <si>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</si>
  <si>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</si>
  <si>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</si>
  <si>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</si>
  <si>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</si>
  <si>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</si>
  <si>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</si>
  <si>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</si>
  <si>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</si>
  <si>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</si>
  <si>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</si>
  <si>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</si>
  <si>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</si>
  <si>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</si>
  <si>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</si>
  <si>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</si>
  <si>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</si>
  <si>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</si>
  <si>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</si>
  <si>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</si>
  <si>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</si>
  <si>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</si>
  <si>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</si>
  <si>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</si>
  <si>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</si>
  <si>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</si>
  <si>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</si>
  <si>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</si>
  <si>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</si>
  <si>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</si>
  <si>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</si>
  <si>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</si>
  <si>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</si>
  <si>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</si>
  <si>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</si>
  <si>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</si>
  <si>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</si>
  <si>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</si>
  <si>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</si>
  <si>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</si>
  <si>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</si>
  <si>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</si>
  <si>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</si>
  <si>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</si>
  <si>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</si>
  <si>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</si>
  <si>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</si>
  <si>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</si>
  <si>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</si>
  <si>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</si>
  <si>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</si>
  <si>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</si>
  <si>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</si>
  <si>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</si>
  <si>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</si>
  <si>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</si>
  <si>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</si>
  <si>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</si>
  <si>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</si>
  <si>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</si>
  <si>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</si>
  <si>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</si>
  <si>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</si>
  <si>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</si>
  <si>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</si>
  <si>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</si>
  <si>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</si>
  <si>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</si>
  <si>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</si>
  <si>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</si>
  <si>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</si>
  <si>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</si>
  <si>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</si>
  <si>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</si>
  <si>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</si>
  <si>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</si>
  <si>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</si>
  <si>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</si>
  <si>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</si>
  <si>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</si>
  <si>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</si>
  <si>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</si>
  <si>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</si>
  <si>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</si>
  <si>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</si>
  <si>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</si>
  <si>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</si>
  <si>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</si>
  <si>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</si>
  <si>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</si>
  <si>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</si>
  <si>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</si>
  <si>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</si>
  <si>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</si>
  <si>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</si>
  <si>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</si>
  <si>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</si>
  <si>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</si>
  <si>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</si>
  <si>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</si>
  <si>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</si>
  <si>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</si>
  <si>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</si>
  <si>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</si>
  <si>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</si>
  <si>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</si>
  <si>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</si>
  <si>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</si>
  <si>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</si>
  <si>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</si>
  <si>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</si>
  <si>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</si>
  <si>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</si>
  <si>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</si>
  <si>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</si>
  <si>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</si>
  <si>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</si>
  <si>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</si>
  <si>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</si>
  <si>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</si>
  <si>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</si>
  <si>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</si>
  <si>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</si>
  <si>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</si>
  <si>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</si>
  <si>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</si>
  <si>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</si>
  <si>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</si>
  <si>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</si>
  <si>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</si>
  <si>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</si>
  <si>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</si>
  <si>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</si>
  <si>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</si>
  <si>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</si>
  <si>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</si>
  <si>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</si>
  <si>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</si>
  <si>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</si>
  <si>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</si>
  <si>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</si>
  <si>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</si>
  <si>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</si>
  <si>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</si>
  <si>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</si>
  <si>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</si>
  <si>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</si>
  <si>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</si>
  <si>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</si>
  <si>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</si>
  <si>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</si>
  <si>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</si>
  <si>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</si>
  <si>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</si>
  <si>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</si>
  <si>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</si>
  <si>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</si>
  <si>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</si>
  <si>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</si>
  <si>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</si>
  <si>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</si>
  <si>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</si>
  <si>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</si>
  <si>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</si>
  <si>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</si>
  <si>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</si>
  <si>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</si>
  <si>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</si>
  <si>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</si>
  <si>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</si>
  <si>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</si>
  <si>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</si>
  <si>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</si>
  <si>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</si>
  <si>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</si>
  <si>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</si>
  <si>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</si>
  <si>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</si>
  <si>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</si>
  <si>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</si>
  <si>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</si>
  <si>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</si>
  <si>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</si>
  <si>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</si>
  <si>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</si>
  <si>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</si>
  <si>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</si>
  <si>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</si>
  <si>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</si>
  <si>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</si>
  <si>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</si>
  <si>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</si>
  <si>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</si>
  <si>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</si>
  <si>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</si>
  <si>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</si>
  <si>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</si>
  <si>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</si>
  <si>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</si>
  <si>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</si>
  <si>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</si>
  <si>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</si>
  <si>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</si>
  <si>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</si>
  <si>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</si>
  <si>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</si>
  <si>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</si>
  <si>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</si>
  <si>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</si>
  <si>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</si>
  <si>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</si>
  <si>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</si>
  <si>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</si>
  <si>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</si>
  <si>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</si>
  <si>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</si>
  <si>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</si>
  <si>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</si>
  <si>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</si>
  <si>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</si>
  <si>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</si>
  <si>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</si>
  <si>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</si>
  <si>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</si>
  <si>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</si>
  <si>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</si>
  <si>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</si>
  <si>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</si>
  <si>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</si>
  <si>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</si>
  <si>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</si>
  <si>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</si>
  <si>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</si>
  <si>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</si>
  <si>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</si>
  <si>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</si>
  <si>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</si>
  <si>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</si>
  <si>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</si>
  <si>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</si>
  <si>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</si>
  <si>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</si>
  <si>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</si>
  <si>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</si>
  <si>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</si>
  <si>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</si>
  <si>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</si>
  <si>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</si>
  <si>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</si>
  <si>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</si>
  <si>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</si>
  <si>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</si>
  <si>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</si>
  <si>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</si>
  <si>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</si>
  <si>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</si>
  <si>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</si>
  <si>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</si>
  <si>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</si>
  <si>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</si>
  <si>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</si>
  <si>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</si>
  <si>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</si>
  <si>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</si>
  <si>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</si>
  <si>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</si>
  <si>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</si>
  <si>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</si>
  <si>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</si>
  <si>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</si>
  <si>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</si>
  <si>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</si>
  <si>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</si>
  <si>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</si>
  <si>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</si>
  <si>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</si>
  <si>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</si>
  <si>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</si>
  <si>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</si>
  <si>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</si>
  <si>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</si>
  <si>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</si>
  <si>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</si>
  <si>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</si>
  <si>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</si>
  <si>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</si>
  <si>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</si>
  <si>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</si>
  <si>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</si>
  <si>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</si>
  <si>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</si>
  <si>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</si>
  <si>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</si>
  <si>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</si>
  <si>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</si>
  <si>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</si>
  <si>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</si>
  <si>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</si>
  <si>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</si>
  <si>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</si>
  <si>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</si>
  <si>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</si>
  <si>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</si>
  <si>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</si>
  <si>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</si>
  <si>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</si>
  <si>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</si>
  <si>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</si>
  <si>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</si>
  <si>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</si>
  <si>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</si>
  <si>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</si>
  <si>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</si>
  <si>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</si>
  <si>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</si>
  <si>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</si>
  <si>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</si>
  <si>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</si>
  <si>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</si>
  <si>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</si>
  <si>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</si>
  <si>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</si>
  <si>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</si>
  <si>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</si>
  <si>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</si>
  <si>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</si>
  <si>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</si>
  <si>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</si>
  <si>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</si>
  <si>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</si>
  <si>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</si>
  <si>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</si>
  <si>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</si>
  <si>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</si>
  <si>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</si>
  <si>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</si>
  <si>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</si>
  <si>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</si>
  <si>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</si>
  <si>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</si>
  <si>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</si>
  <si>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</si>
  <si>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</si>
  <si>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</si>
  <si>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</si>
  <si>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</si>
  <si>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</si>
  <si>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</si>
  <si>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</si>
  <si>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</si>
  <si>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</si>
  <si>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</si>
  <si>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</si>
  <si>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</si>
  <si>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</si>
  <si>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</si>
  <si>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</si>
  <si>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</si>
  <si>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</si>
  <si>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</si>
  <si>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</si>
  <si>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</si>
  <si>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</si>
  <si>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</si>
  <si>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</si>
  <si>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</si>
  <si>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</si>
  <si>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</si>
  <si>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</si>
  <si>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</si>
  <si>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</si>
  <si>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</si>
  <si>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</si>
  <si>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</si>
  <si>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</si>
  <si>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</si>
  <si>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</si>
  <si>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</si>
  <si>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</si>
  <si>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</si>
  <si>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</si>
  <si>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</si>
  <si>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</si>
  <si>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</si>
  <si>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</si>
  <si>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</si>
  <si>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</si>
  <si>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</si>
  <si>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</si>
  <si>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</si>
  <si>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</si>
  <si>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</si>
  <si>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</si>
  <si>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</si>
  <si>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</si>
  <si>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</si>
  <si>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</si>
  <si>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</si>
  <si>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</si>
  <si>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</si>
  <si>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</si>
  <si>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</si>
  <si>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</si>
  <si>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</si>
  <si>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</si>
  <si>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</si>
  <si>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</si>
  <si>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</si>
  <si>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</si>
  <si>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</si>
  <si>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</si>
  <si>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</si>
  <si>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</si>
  <si>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</si>
  <si>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</si>
  <si>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</si>
  <si>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</si>
  <si>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</si>
  <si>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</si>
  <si>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</si>
  <si>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</si>
  <si>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</si>
  <si>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</si>
  <si>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</si>
  <si>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</si>
  <si>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</si>
  <si>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</si>
  <si>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</si>
  <si>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</si>
  <si>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</si>
  <si>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</si>
  <si>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</si>
  <si>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</si>
  <si>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</si>
  <si>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</si>
  <si>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</si>
  <si>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</si>
  <si>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</si>
  <si>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</si>
  <si>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</si>
  <si>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</si>
  <si>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</si>
  <si>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</si>
  <si>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</si>
  <si>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</si>
  <si>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</si>
  <si>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</si>
  <si>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</si>
  <si>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</si>
  <si>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</si>
  <si>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</si>
  <si>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</si>
  <si>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</si>
  <si>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</si>
  <si>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</si>
  <si>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</si>
  <si>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</si>
  <si>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</si>
  <si>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</si>
  <si>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</si>
  <si>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</si>
  <si>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</si>
  <si>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</si>
  <si>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</si>
  <si>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</si>
  <si>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</si>
  <si>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</si>
  <si>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</si>
  <si>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</si>
  <si>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</si>
  <si>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</si>
  <si>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</si>
  <si>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</si>
  <si>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</si>
  <si>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</si>
  <si>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</si>
  <si>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</si>
  <si>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</si>
  <si>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</si>
  <si>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</si>
  <si>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</si>
  <si>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</si>
  <si>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</si>
  <si>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</si>
  <si>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</si>
  <si>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</si>
  <si>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</si>
  <si>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</si>
  <si>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</si>
  <si>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</si>
  <si>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</si>
  <si>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</si>
  <si>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</si>
  <si>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</si>
  <si>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</si>
  <si>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</si>
  <si>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</si>
  <si>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</si>
  <si>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</si>
  <si>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</si>
  <si>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</si>
  <si>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</si>
  <si>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</si>
  <si>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</si>
  <si>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</si>
  <si>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</si>
  <si>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</si>
  <si>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</si>
  <si>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</si>
  <si>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</si>
  <si>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</si>
  <si>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</si>
  <si>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</si>
  <si>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</si>
  <si>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</si>
  <si>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</si>
  <si>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</si>
  <si>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</si>
  <si>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</si>
  <si>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</si>
  <si>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</si>
  <si>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</si>
  <si>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</si>
  <si>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</si>
  <si>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</si>
  <si>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</si>
  <si>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</si>
  <si>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</si>
  <si>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</si>
  <si>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</si>
  <si>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</si>
  <si>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</si>
  <si>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</si>
  <si>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</si>
  <si>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</si>
  <si>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</si>
  <si>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</si>
  <si>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</si>
  <si>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</si>
  <si>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</si>
  <si>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</si>
  <si>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</si>
  <si>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</si>
  <si>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</si>
  <si>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</si>
  <si>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</si>
  <si>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</si>
  <si>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</si>
  <si>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</si>
  <si>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</si>
  <si>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</si>
  <si>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</si>
  <si>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</si>
  <si>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</si>
  <si>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</si>
  <si>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</si>
  <si>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</si>
  <si>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</si>
  <si>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</si>
  <si>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</si>
  <si>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</si>
  <si>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</si>
  <si>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</si>
  <si>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</si>
  <si>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</si>
  <si>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</si>
  <si>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</si>
  <si>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</si>
  <si>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</si>
  <si>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</si>
  <si>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</si>
  <si>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</si>
  <si>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</si>
  <si>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</si>
  <si>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</si>
  <si>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</si>
  <si>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</si>
  <si>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</si>
  <si>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</si>
  <si>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</si>
  <si>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</si>
  <si>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</si>
  <si>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</si>
  <si>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</si>
  <si>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</si>
  <si>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</si>
  <si>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</si>
  <si>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</si>
  <si>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</si>
  <si>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</si>
  <si>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</si>
  <si>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</si>
  <si>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</si>
  <si>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</si>
  <si>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</si>
  <si>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</si>
  <si>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</si>
  <si>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</si>
  <si>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</si>
  <si>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</si>
  <si>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</si>
  <si>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</si>
  <si>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</si>
  <si>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</si>
  <si>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</si>
  <si>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</si>
  <si>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</si>
  <si>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</si>
  <si>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</si>
  <si>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</si>
  <si>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</si>
  <si>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</si>
  <si>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</si>
  <si>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</si>
  <si>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</si>
  <si>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</si>
  <si>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</si>
  <si>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</si>
  <si>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</si>
  <si>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</si>
  <si>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</si>
  <si>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</si>
  <si>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</si>
  <si>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</si>
  <si>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</si>
  <si>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</si>
  <si>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</si>
  <si>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</si>
  <si>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</si>
  <si>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</si>
  <si>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</si>
  <si>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</si>
  <si>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</si>
  <si>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</si>
  <si>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</si>
  <si>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</si>
  <si>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</si>
  <si>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</si>
  <si>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</si>
  <si>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</si>
  <si>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</si>
  <si>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</si>
  <si>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</si>
  <si>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</si>
  <si>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</si>
  <si>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</si>
  <si>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</si>
  <si>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</si>
  <si>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</si>
  <si>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</si>
  <si>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</si>
  <si>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</si>
  <si>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</si>
  <si>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</si>
  <si>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</si>
  <si>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</si>
  <si>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</si>
  <si>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</si>
  <si>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</si>
  <si>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</si>
  <si>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</si>
  <si>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</si>
  <si>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</si>
  <si>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</si>
  <si>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</si>
  <si>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</si>
  <si>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</si>
  <si>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</si>
  <si>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</si>
  <si>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</si>
  <si>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</si>
  <si>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</si>
  <si>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</si>
  <si>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</si>
  <si>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</si>
  <si>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</si>
  <si>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</si>
  <si>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</si>
  <si>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</si>
  <si>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</si>
  <si>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</si>
  <si>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</si>
  <si>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</si>
  <si>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</si>
  <si>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</si>
  <si>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</si>
  <si>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</si>
  <si>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</si>
  <si>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</si>
  <si>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</si>
  <si>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</si>
  <si>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</si>
  <si>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</si>
  <si>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</si>
  <si>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</si>
  <si>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</si>
  <si>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</si>
  <si>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</si>
  <si>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</si>
  <si>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</si>
  <si>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</si>
  <si>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</si>
  <si>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</si>
  <si>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</si>
  <si>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</si>
  <si>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</si>
  <si>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</si>
  <si>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</si>
  <si>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</si>
  <si>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</si>
  <si>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</si>
  <si>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</si>
  <si>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</si>
  <si>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</si>
  <si>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</si>
  <si>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</si>
  <si>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</si>
  <si>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</si>
  <si>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</si>
  <si>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</si>
  <si>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</si>
  <si>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</si>
  <si>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</si>
  <si>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</si>
  <si>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</si>
  <si>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</si>
  <si>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</si>
  <si>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</si>
  <si>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</si>
  <si>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</si>
  <si>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</si>
  <si>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</si>
  <si>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</si>
  <si>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</si>
  <si>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</si>
  <si>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</si>
  <si>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</si>
  <si>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</si>
  <si>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</si>
  <si>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</si>
  <si>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</si>
  <si>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</si>
  <si>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</si>
  <si>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</si>
  <si>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</si>
  <si>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</si>
  <si>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</si>
  <si>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</si>
  <si>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</si>
  <si>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</si>
  <si>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</si>
  <si>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</si>
  <si>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</si>
  <si>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</si>
  <si>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</si>
  <si>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</si>
  <si>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</si>
  <si>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</si>
  <si>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</si>
  <si>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</si>
  <si>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</si>
  <si>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</si>
  <si>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</si>
  <si>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</si>
  <si>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</si>
  <si>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</si>
  <si>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</si>
  <si>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</si>
  <si>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</si>
  <si>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</si>
  <si>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</si>
  <si>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</si>
  <si>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</si>
  <si>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</si>
  <si>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</si>
  <si>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</si>
  <si>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</si>
  <si>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</si>
  <si>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</si>
  <si>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</si>
  <si>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</si>
  <si>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</si>
  <si>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</si>
  <si>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</si>
  <si>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</si>
  <si>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</si>
  <si>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</si>
  <si>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</si>
  <si>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</si>
  <si>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</si>
  <si>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</si>
  <si>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</si>
  <si>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</si>
  <si>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</si>
  <si>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</si>
  <si>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</si>
  <si>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</si>
  <si>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</si>
  <si>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</si>
  <si>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</si>
  <si>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</si>
  <si>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</si>
  <si>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</si>
  <si>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</si>
  <si>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</si>
  <si>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</si>
  <si>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</si>
  <si>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</si>
  <si>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</si>
  <si>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</si>
  <si>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</si>
  <si>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</si>
  <si>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</si>
  <si>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</si>
  <si>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</si>
  <si>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</si>
  <si>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</si>
  <si>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</si>
  <si>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</si>
  <si>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</si>
  <si>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</si>
  <si>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</si>
  <si>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</si>
  <si>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</si>
  <si>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</si>
  <si>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</si>
  <si>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</si>
  <si>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</si>
  <si>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</si>
  <si>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</si>
  <si>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</si>
  <si>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</si>
  <si>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</si>
  <si>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</si>
  <si>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</si>
  <si>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</si>
  <si>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</si>
  <si>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</si>
  <si>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</si>
  <si>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</si>
  <si>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</si>
  <si>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</si>
  <si>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</si>
  <si>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</si>
  <si>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</si>
  <si>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</si>
  <si>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</si>
  <si>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</si>
  <si>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</si>
  <si>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</si>
  <si>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</si>
  <si>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</si>
  <si>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</si>
  <si>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</si>
  <si>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</si>
  <si>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</si>
  <si>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</si>
  <si>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</si>
  <si>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</si>
  <si>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</si>
  <si>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</si>
  <si>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</si>
  <si>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</si>
  <si>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</si>
  <si>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</si>
  <si>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</si>
  <si>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</si>
  <si>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</si>
  <si>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</si>
  <si>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</si>
  <si>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</si>
  <si>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</si>
  <si>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</si>
  <si>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</si>
  <si>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</si>
  <si>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</si>
  <si>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</si>
  <si>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</si>
  <si>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</si>
  <si>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</si>
  <si>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</si>
  <si>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</si>
  <si>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</si>
  <si>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</si>
  <si>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</si>
  <si>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</si>
  <si>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</si>
  <si>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</si>
  <si>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</si>
  <si>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</si>
  <si>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</si>
  <si>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</si>
  <si>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</si>
  <si>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</si>
  <si>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</si>
  <si>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</si>
  <si>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</si>
  <si>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</si>
  <si>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</si>
  <si>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</si>
  <si>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</si>
  <si>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</si>
  <si>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</si>
  <si>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</si>
  <si>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</si>
  <si>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</si>
  <si>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</si>
  <si>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</si>
  <si>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</si>
  <si>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</si>
  <si>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</si>
  <si>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</si>
  <si>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</si>
  <si>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</si>
  <si>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</si>
  <si>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</si>
  <si>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</si>
  <si>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</si>
  <si>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</si>
  <si>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</si>
  <si>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</si>
  <si>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</si>
  <si>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</si>
  <si>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</si>
  <si>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</si>
  <si>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</si>
  <si>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</si>
  <si>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</si>
  <si>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</si>
  <si>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</si>
  <si>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</si>
  <si>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</si>
  <si>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</si>
  <si>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</si>
  <si>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</si>
  <si>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</si>
  <si>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</si>
  <si>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</si>
  <si>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</si>
  <si>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</si>
  <si>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</si>
  <si>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</si>
  <si>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</si>
  <si>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</si>
  <si>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</si>
  <si>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</si>
  <si>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</si>
  <si>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</si>
  <si>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</si>
  <si>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</si>
  <si>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</si>
  <si>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</si>
  <si>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</si>
  <si>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</si>
  <si>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</si>
  <si>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</si>
  <si>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</si>
  <si>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</si>
  <si>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</si>
  <si>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</si>
  <si>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</si>
  <si>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</si>
  <si>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</si>
  <si>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</si>
  <si>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</si>
  <si>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</si>
  <si>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</si>
  <si>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</si>
  <si>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</si>
  <si>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</si>
  <si>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</si>
  <si>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</si>
  <si>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</si>
  <si>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</si>
  <si>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</si>
  <si>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</si>
  <si>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</si>
  <si>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</si>
  <si>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</si>
  <si>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</si>
  <si>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</si>
  <si>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</si>
  <si>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</si>
  <si>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</si>
  <si>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</si>
  <si>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</si>
  <si>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</si>
  <si>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</si>
  <si>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</si>
  <si>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</si>
  <si>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</si>
  <si>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</si>
  <si>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</si>
  <si>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</si>
  <si>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</si>
  <si>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</si>
  <si>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</si>
  <si>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</si>
  <si>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</si>
  <si>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</si>
  <si>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</si>
  <si>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</si>
  <si>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</si>
  <si>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</si>
  <si>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</si>
  <si>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</si>
  <si>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</si>
  <si>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</si>
  <si>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</si>
  <si>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</si>
  <si>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</si>
  <si>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</si>
  <si>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</si>
  <si>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</si>
  <si>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</si>
  <si>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</si>
  <si>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</si>
  <si>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</si>
  <si>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</si>
  <si>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</si>
  <si>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</si>
  <si>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</si>
  <si>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</si>
  <si>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</si>
  <si>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</si>
  <si>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</si>
  <si>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</si>
  <si>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</si>
  <si>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</si>
  <si>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</si>
  <si>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</si>
  <si>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</si>
  <si>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</si>
  <si>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</si>
  <si>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</si>
  <si>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</si>
  <si>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</si>
  <si>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</si>
  <si>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</si>
  <si>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</si>
  <si>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</si>
  <si>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</si>
  <si>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</si>
  <si>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</si>
  <si>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</si>
  <si>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</si>
  <si>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</si>
  <si>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</si>
  <si>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</si>
  <si>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</si>
  <si>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</si>
  <si>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</si>
  <si>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</si>
  <si>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</si>
  <si>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</si>
  <si>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</si>
  <si>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</si>
  <si>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</si>
  <si>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</si>
  <si>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</si>
  <si>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</si>
  <si>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</si>
  <si>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</si>
  <si>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</si>
  <si>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</si>
  <si>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</si>
  <si>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</si>
  <si>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</si>
  <si>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</si>
  <si>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</si>
  <si>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</si>
  <si>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</si>
  <si>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</si>
  <si>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</si>
  <si>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</si>
  <si>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</si>
  <si>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</si>
  <si>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</si>
  <si>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</si>
  <si>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</si>
  <si>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</si>
  <si>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</si>
  <si>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</si>
  <si>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</si>
  <si>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</si>
  <si>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</si>
  <si>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</si>
  <si>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</si>
  <si>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</si>
  <si>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</si>
  <si>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</si>
  <si>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</si>
  <si>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</si>
  <si>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</si>
  <si>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</si>
  <si>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</si>
  <si>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</si>
  <si>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</si>
  <si>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</si>
  <si>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</si>
  <si>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</si>
  <si>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</si>
  <si>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</si>
  <si>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</si>
  <si>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</si>
  <si>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</si>
  <si>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</si>
  <si>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</si>
  <si>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</si>
  <si>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</si>
  <si>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</si>
  <si>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</si>
  <si>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</si>
  <si>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</si>
  <si>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</si>
  <si>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</si>
  <si>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</si>
  <si>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</si>
  <si>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</si>
  <si>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</si>
  <si>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</si>
  <si>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</si>
  <si>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</si>
  <si>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</si>
  <si>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</si>
  <si>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</si>
  <si>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</si>
  <si>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</si>
  <si>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</si>
  <si>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</si>
  <si>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</si>
  <si>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</si>
  <si>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</si>
  <si>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</si>
  <si>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</si>
  <si>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</si>
  <si>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</si>
  <si>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</si>
  <si>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</si>
  <si>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</si>
  <si>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</si>
  <si>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</si>
  <si>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</si>
  <si>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</si>
  <si>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</si>
  <si>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</si>
  <si>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</si>
  <si>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</si>
  <si>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</si>
  <si>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</si>
  <si>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</si>
  <si>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</si>
  <si>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</si>
  <si>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</si>
  <si>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</si>
  <si>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</si>
  <si>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</si>
  <si>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</si>
  <si>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</si>
  <si>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</si>
  <si>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</si>
  <si>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</si>
  <si>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</si>
  <si>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</si>
  <si>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</si>
  <si>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</si>
  <si>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</si>
  <si>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</si>
  <si>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</si>
  <si>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</si>
  <si>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</si>
  <si>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</si>
  <si>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</si>
  <si>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</si>
  <si>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</si>
  <si>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</si>
  <si>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</si>
  <si>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</si>
  <si>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</si>
  <si>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</si>
  <si>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</si>
  <si>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</si>
  <si>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</si>
  <si>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</si>
  <si>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</si>
  <si>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</si>
  <si>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</si>
  <si>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</si>
  <si>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</si>
  <si>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</si>
  <si>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</si>
  <si>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</si>
  <si>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</si>
  <si>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</si>
  <si>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</si>
  <si>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</si>
  <si>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</si>
  <si>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</si>
  <si>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</si>
  <si>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</si>
  <si>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</si>
  <si>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</si>
  <si>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</si>
  <si>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</si>
  <si>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</si>
  <si>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</si>
  <si>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</si>
  <si>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</si>
  <si>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</si>
  <si>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</si>
  <si>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</si>
  <si>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</si>
  <si>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</si>
  <si>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</si>
  <si>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</si>
  <si>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</si>
  <si>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</si>
  <si>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</si>
  <si>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</si>
  <si>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</si>
  <si>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</si>
  <si>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</si>
  <si>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</si>
  <si>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</si>
  <si>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</si>
  <si>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</si>
  <si>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</si>
  <si>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</si>
  <si>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</si>
  <si>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</si>
  <si>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</si>
  <si>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</si>
  <si>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</si>
  <si>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</si>
  <si>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</si>
  <si>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</si>
  <si>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</si>
  <si>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</si>
  <si>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</si>
  <si>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</si>
  <si>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</si>
  <si>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</si>
  <si>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</si>
  <si>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</si>
  <si>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</si>
  <si>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</si>
  <si>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</si>
  <si>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</si>
  <si>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</si>
  <si>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</si>
  <si>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</si>
  <si>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</si>
  <si>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</si>
  <si>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</si>
  <si>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</si>
  <si>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</si>
  <si>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</si>
  <si>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</si>
  <si>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</si>
  <si>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</si>
  <si>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</si>
  <si>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</si>
  <si>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</si>
  <si>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</si>
  <si>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</si>
  <si>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</si>
  <si>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</si>
  <si>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</si>
  <si>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</si>
  <si>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</si>
  <si>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</si>
  <si>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</si>
  <si>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</si>
  <si>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</si>
  <si>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</si>
  <si>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</si>
  <si>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</si>
  <si>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</si>
  <si>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</si>
  <si>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</si>
  <si>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</si>
  <si>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</si>
  <si>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</si>
  <si>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</si>
  <si>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</si>
  <si>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</si>
  <si>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</si>
  <si>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</si>
  <si>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</si>
  <si>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</si>
  <si>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</si>
  <si>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</si>
  <si>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</si>
  <si>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</si>
  <si>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</si>
  <si>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</si>
  <si>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</si>
  <si>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</si>
  <si>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</si>
  <si>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</si>
  <si>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</si>
  <si>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</si>
  <si>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</si>
  <si>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</si>
  <si>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</si>
  <si>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</si>
  <si>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</si>
  <si>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</si>
  <si>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</si>
  <si>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</si>
  <si>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</si>
  <si>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</si>
  <si>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</si>
  <si>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</si>
  <si>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</si>
  <si>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</si>
  <si>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</si>
  <si>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</si>
  <si>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</si>
  <si>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</si>
  <si>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</si>
  <si>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</si>
  <si>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</si>
  <si>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</si>
  <si>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</si>
  <si>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</si>
  <si>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</si>
  <si>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</si>
  <si>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</si>
  <si>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</si>
  <si>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</si>
  <si>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</si>
  <si>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</si>
  <si>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</si>
  <si>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</si>
  <si>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</si>
  <si>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</si>
  <si>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</si>
  <si>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</si>
  <si>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</si>
  <si>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</si>
  <si>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</si>
  <si>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</si>
  <si>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</si>
  <si>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</si>
  <si>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</si>
  <si>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</si>
  <si>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</si>
  <si>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</si>
  <si>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</si>
  <si>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</si>
  <si>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</si>
  <si>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</si>
  <si>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</si>
  <si>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</si>
  <si>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</si>
  <si>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</si>
  <si>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</si>
  <si>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</si>
  <si>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</si>
  <si>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</si>
  <si>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</si>
  <si>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</si>
  <si>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</si>
  <si>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</si>
  <si>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</si>
  <si>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</si>
  <si>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</si>
  <si>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</si>
  <si>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</si>
  <si>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</si>
  <si>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</si>
  <si>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</si>
  <si>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</si>
  <si>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</si>
  <si>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</si>
  <si>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</si>
  <si>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</si>
  <si>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</si>
  <si>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</si>
  <si>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</si>
  <si>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</si>
  <si>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</si>
  <si>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</si>
  <si>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</si>
  <si>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</si>
  <si>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</si>
  <si>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</si>
  <si>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</si>
  <si>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</si>
  <si>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</si>
  <si>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</si>
  <si>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</si>
  <si>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</si>
  <si>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</si>
  <si>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</si>
  <si>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</si>
  <si>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</si>
  <si>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</si>
  <si>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</si>
  <si>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</si>
  <si>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</si>
  <si>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</si>
  <si>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</si>
  <si>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</si>
  <si>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</si>
  <si>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</si>
  <si>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</si>
  <si>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</si>
  <si>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</si>
  <si>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</si>
  <si>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</si>
  <si>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</si>
  <si>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</si>
  <si>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</si>
  <si>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</si>
  <si>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</si>
  <si>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</si>
  <si>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</si>
  <si>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</si>
  <si>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</si>
  <si>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</si>
  <si>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</si>
  <si>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</si>
  <si>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</si>
  <si>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</si>
  <si>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</si>
  <si>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</si>
  <si>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</si>
  <si>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</si>
  <si>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</si>
  <si>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</si>
  <si>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</si>
  <si>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</si>
  <si>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</si>
  <si>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</si>
  <si>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</si>
  <si>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</si>
  <si>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</si>
  <si>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</si>
  <si>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</si>
  <si>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</si>
  <si>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</si>
  <si>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</si>
  <si>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</si>
  <si>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</si>
  <si>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</si>
  <si>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</si>
  <si>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</si>
  <si>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</si>
  <si>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</si>
  <si>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</si>
  <si>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</si>
  <si>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</si>
  <si>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</si>
  <si>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</si>
  <si>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</si>
  <si>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</si>
  <si>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</si>
  <si>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</si>
  <si>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</si>
  <si>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</si>
  <si>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</si>
  <si>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</si>
  <si>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</si>
  <si>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</si>
  <si>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</si>
  <si>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</si>
  <si>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</si>
  <si>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</si>
  <si>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</si>
  <si>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</si>
  <si>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</si>
  <si>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</si>
  <si>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</si>
  <si>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</si>
  <si>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</si>
  <si>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</si>
  <si>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</si>
  <si>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</si>
  <si>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</si>
  <si>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</si>
  <si>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</si>
  <si>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</si>
  <si>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</si>
  <si>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</si>
  <si>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</si>
  <si>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</si>
  <si>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</si>
  <si>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</si>
  <si>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</si>
  <si>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</si>
  <si>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</si>
  <si>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</si>
  <si>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</si>
  <si>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</si>
  <si>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</si>
  <si>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</si>
  <si>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</si>
  <si>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</si>
  <si>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</si>
  <si>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</si>
  <si>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</si>
  <si>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</si>
  <si>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</si>
  <si>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</si>
  <si>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</si>
  <si>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</si>
  <si>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</si>
  <si>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</si>
  <si>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</si>
  <si>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</si>
  <si>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</si>
  <si>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</si>
  <si>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</si>
  <si>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</si>
  <si>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</si>
  <si>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</si>
  <si>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</si>
  <si>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</si>
  <si>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</si>
  <si>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</si>
  <si>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</si>
  <si>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</si>
  <si>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</si>
  <si>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</si>
  <si>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</si>
  <si>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</si>
  <si>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</si>
  <si>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</si>
  <si>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</si>
  <si>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</si>
  <si>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</si>
  <si>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</si>
  <si>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</si>
  <si>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</si>
  <si>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</si>
  <si>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</si>
  <si>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</si>
  <si>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</si>
  <si>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</si>
  <si>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</si>
  <si>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</si>
  <si>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</si>
  <si>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</si>
  <si>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</si>
  <si>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</si>
  <si>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</si>
  <si>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</si>
  <si>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</si>
  <si>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</si>
  <si>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</si>
  <si>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</si>
  <si>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</si>
  <si>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</si>
  <si>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</si>
  <si>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</si>
  <si>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</si>
  <si>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</si>
  <si>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</si>
  <si>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</si>
  <si>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</si>
  <si>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</si>
  <si>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</si>
  <si>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</si>
  <si>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</si>
  <si>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</si>
  <si>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</si>
  <si>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</si>
  <si>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</si>
  <si>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</si>
  <si>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</si>
  <si>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</si>
  <si>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</si>
  <si>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</si>
  <si>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</si>
  <si>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</si>
  <si>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</si>
  <si>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</si>
  <si>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</si>
  <si>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</si>
  <si>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</si>
  <si>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</si>
  <si>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</si>
  <si>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</si>
  <si>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</si>
  <si>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</si>
  <si>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</si>
  <si>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</si>
  <si>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</si>
  <si>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</si>
  <si>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</si>
  <si>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</si>
  <si>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</si>
  <si>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</si>
  <si>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</si>
  <si>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</si>
  <si>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</si>
  <si>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</si>
  <si>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</si>
  <si>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</si>
  <si>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</si>
  <si>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</si>
  <si>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</si>
  <si>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</si>
  <si>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</si>
  <si>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</si>
  <si>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</si>
  <si>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</si>
  <si>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</si>
  <si>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</si>
  <si>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</si>
  <si>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</si>
  <si>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</si>
  <si>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</si>
  <si>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</si>
  <si>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</si>
  <si>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</si>
  <si>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</si>
  <si>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</si>
  <si>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</si>
  <si>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</si>
  <si>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</si>
  <si>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</si>
  <si>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</si>
  <si>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</si>
  <si>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</si>
  <si>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</si>
  <si>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</si>
  <si>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</si>
  <si>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</si>
  <si>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</si>
  <si>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</si>
  <si>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</si>
  <si>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</si>
  <si>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</si>
  <si>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</si>
  <si>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</si>
  <si>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</si>
  <si>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</si>
  <si>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</si>
  <si>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</si>
  <si>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</si>
  <si>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</si>
  <si>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</si>
  <si>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</si>
  <si>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</si>
  <si>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</si>
  <si>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</si>
  <si>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</si>
  <si>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</si>
  <si>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</si>
  <si>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</si>
  <si>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</si>
  <si>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</si>
  <si>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</si>
  <si>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</si>
  <si>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</si>
  <si>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</si>
  <si>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</si>
  <si>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</si>
  <si>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</si>
  <si>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</si>
  <si>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</si>
  <si>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</si>
  <si>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</si>
  <si>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</si>
  <si>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</si>
  <si>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</si>
  <si>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</si>
  <si>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</si>
  <si>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</si>
  <si>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</si>
  <si>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</si>
  <si>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</si>
  <si>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</si>
  <si>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</si>
  <si>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</si>
  <si>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</si>
  <si>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</si>
  <si>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</si>
  <si>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</si>
  <si>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</si>
  <si>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</si>
  <si>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</si>
  <si>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</si>
  <si>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</si>
  <si>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</si>
  <si>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</si>
  <si>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</si>
  <si>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</si>
  <si>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</si>
  <si>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</si>
  <si>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</si>
  <si>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</si>
  <si>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</si>
  <si>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</si>
  <si>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</si>
  <si>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</si>
  <si>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</si>
  <si>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</si>
  <si>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</si>
  <si>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</si>
  <si>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</si>
  <si>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</si>
  <si>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</si>
  <si>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</si>
  <si>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</si>
  <si>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</si>
  <si>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</si>
  <si>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</si>
  <si>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</si>
  <si>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</si>
  <si>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</si>
  <si>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</si>
  <si>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</si>
  <si>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</si>
  <si>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</si>
  <si>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</si>
  <si>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</si>
  <si>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</si>
  <si>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</si>
  <si>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</si>
  <si>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</si>
  <si>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</si>
  <si>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</si>
  <si>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</si>
  <si>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</si>
  <si>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</si>
  <si>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</si>
  <si>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</si>
  <si>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</si>
  <si>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</si>
  <si>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</si>
  <si>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</si>
  <si>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</si>
  <si>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</si>
  <si>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</si>
  <si>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</si>
  <si>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</si>
  <si>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</si>
  <si>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</si>
  <si>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</si>
  <si>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</si>
  <si>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</si>
  <si>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</si>
  <si>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</si>
  <si>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</si>
  <si>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</si>
  <si>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</si>
  <si>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</si>
  <si>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</si>
  <si>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</si>
  <si>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</si>
  <si>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</si>
  <si>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</si>
  <si>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</si>
  <si>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</si>
  <si>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</si>
  <si>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</si>
  <si>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</si>
  <si>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</si>
  <si>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</si>
  <si>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</si>
  <si>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</si>
  <si>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</si>
  <si>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</si>
  <si>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</si>
  <si>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</si>
  <si>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</si>
  <si>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</si>
  <si>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</si>
  <si>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</si>
  <si>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</si>
  <si>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</si>
  <si>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</si>
  <si>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</si>
  <si>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</si>
  <si>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</si>
  <si>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</si>
  <si>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</si>
  <si>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</si>
  <si>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</si>
  <si>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</si>
  <si>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</si>
  <si>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</si>
  <si>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</si>
  <si>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</si>
  <si>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</si>
  <si>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</si>
  <si>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</si>
  <si>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</si>
  <si>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</si>
  <si>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</si>
  <si>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</si>
  <si>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</si>
  <si>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</si>
  <si>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</si>
  <si>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</si>
  <si>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</si>
  <si>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</si>
  <si>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</si>
  <si>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</si>
  <si>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</si>
  <si>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</si>
  <si>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</si>
  <si>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</si>
  <si>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</si>
  <si>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</si>
  <si>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</si>
  <si>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</si>
  <si>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</si>
  <si>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</si>
  <si>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</si>
  <si>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</si>
  <si>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</si>
  <si>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</si>
  <si>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</si>
  <si>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</si>
  <si>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</si>
  <si>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</si>
  <si>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</si>
  <si>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</si>
  <si>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</si>
  <si>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</si>
  <si>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</si>
  <si>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</si>
  <si>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</si>
  <si>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</si>
  <si>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</si>
  <si>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</si>
  <si>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</si>
  <si>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</si>
  <si>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</si>
  <si>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</si>
  <si>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</si>
  <si>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</si>
  <si>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</si>
  <si>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</si>
  <si>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</si>
  <si>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</si>
  <si>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</si>
  <si>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</si>
  <si>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</si>
  <si>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</si>
  <si>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</si>
  <si>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</si>
  <si>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</si>
  <si>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</si>
  <si>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</si>
  <si>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</si>
  <si>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</si>
  <si>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</si>
  <si>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</si>
  <si>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</si>
  <si>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</si>
  <si>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</si>
  <si>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</si>
  <si>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</si>
  <si>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</si>
  <si>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</si>
  <si>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</si>
  <si>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</si>
  <si>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</si>
  <si>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</si>
  <si>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</si>
  <si>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</si>
  <si>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</si>
  <si>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</si>
  <si>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</si>
  <si>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</si>
  <si>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</si>
  <si>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</si>
  <si>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</si>
  <si>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</si>
  <si>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</si>
  <si>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</si>
  <si>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</si>
  <si>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</si>
  <si>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</si>
  <si>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</si>
  <si>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</si>
  <si>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</si>
  <si>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</si>
  <si>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</si>
  <si>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</si>
  <si>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</si>
  <si>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</si>
  <si>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</si>
  <si>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</si>
  <si>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</si>
  <si>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</si>
  <si>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</si>
  <si>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</si>
  <si>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</si>
  <si>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</si>
  <si>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</si>
  <si>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</si>
  <si>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</si>
  <si>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</si>
  <si>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</si>
  <si>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</si>
  <si>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</si>
  <si>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</si>
  <si>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</si>
  <si>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</si>
  <si>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</si>
  <si>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</si>
  <si>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</si>
  <si>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</si>
  <si>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</si>
  <si>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</si>
  <si>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</si>
  <si>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</si>
  <si>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</si>
  <si>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</si>
  <si>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</si>
  <si>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</si>
  <si>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</si>
  <si>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</si>
  <si>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</si>
  <si>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</si>
  <si>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</si>
  <si>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</si>
  <si>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</si>
  <si>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</si>
  <si>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</si>
  <si>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</si>
  <si>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</si>
  <si>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</si>
  <si>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</si>
  <si>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</si>
  <si>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</si>
  <si>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</si>
  <si>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</si>
  <si>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</si>
  <si>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</si>
  <si>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</si>
  <si>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</si>
  <si>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</si>
  <si>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</si>
  <si>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</si>
  <si>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</si>
  <si>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</si>
  <si>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</si>
  <si>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</si>
  <si>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</si>
  <si>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</si>
  <si>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</si>
  <si>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</si>
  <si>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</si>
  <si>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</si>
  <si>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</si>
  <si>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</si>
  <si>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</si>
  <si>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</si>
  <si>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</si>
  <si>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</si>
  <si>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</si>
  <si>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</si>
  <si>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</si>
  <si>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</si>
  <si>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</si>
  <si>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</si>
  <si>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</si>
  <si>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</si>
  <si>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</si>
  <si>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</si>
  <si>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</si>
  <si>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</si>
  <si>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</si>
  <si>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</si>
  <si>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</si>
  <si>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</si>
  <si>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</si>
  <si>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</si>
  <si>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</si>
  <si>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</si>
  <si>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</si>
  <si>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</si>
  <si>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</si>
  <si>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</si>
  <si>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</si>
  <si>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</si>
  <si>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</si>
  <si>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</si>
  <si>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</si>
  <si>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</si>
  <si>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</si>
  <si>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</si>
  <si>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</si>
  <si>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</si>
  <si>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</si>
  <si>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</si>
  <si>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</si>
  <si>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</si>
  <si>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</si>
  <si>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</si>
  <si>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</si>
  <si>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</si>
  <si>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</si>
  <si>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</si>
  <si>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</si>
  <si>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</si>
  <si>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</si>
  <si>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</si>
  <si>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</si>
  <si>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</si>
  <si>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</si>
  <si>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</si>
  <si>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</si>
  <si>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</si>
  <si>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</si>
  <si>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</si>
  <si>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</si>
  <si>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</si>
  <si>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</si>
  <si>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</si>
  <si>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</si>
  <si>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</si>
  <si>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</si>
  <si>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</si>
  <si>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</si>
  <si>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</si>
  <si>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</si>
  <si>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</si>
  <si>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</si>
  <si>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</si>
  <si>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</si>
  <si>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</si>
  <si>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</si>
  <si>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</si>
  <si>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</si>
  <si>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</si>
  <si>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</si>
  <si>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</si>
  <si>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</si>
  <si>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</si>
  <si>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</si>
  <si>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</si>
  <si>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</si>
  <si>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</si>
  <si>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</si>
  <si>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</si>
  <si>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</si>
  <si>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</si>
  <si>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</si>
  <si>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</si>
  <si>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</si>
  <si>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</si>
  <si>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</si>
  <si>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</si>
  <si>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</si>
  <si>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</si>
  <si>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</si>
  <si>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</si>
  <si>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</si>
  <si>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</si>
  <si>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</si>
  <si>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</si>
  <si>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</si>
  <si>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</si>
  <si>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</si>
  <si>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</si>
  <si>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</si>
  <si>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</si>
  <si>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</si>
  <si>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</si>
  <si>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</si>
  <si>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</si>
  <si>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</si>
  <si>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</si>
  <si>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</si>
  <si>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</si>
  <si>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</si>
  <si>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</si>
  <si>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</si>
  <si>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</si>
  <si>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</si>
  <si>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</si>
  <si>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</si>
  <si>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</si>
  <si>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</si>
  <si>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</si>
  <si>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</si>
  <si>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</si>
  <si>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</si>
  <si>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</si>
  <si>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</si>
  <si>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</si>
  <si>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</si>
  <si>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</si>
  <si>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</si>
  <si>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</si>
  <si>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</si>
  <si>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</si>
  <si>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</si>
  <si>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</si>
  <si>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</si>
  <si>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</si>
  <si>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</si>
  <si>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</si>
  <si>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</si>
  <si>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</si>
  <si>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</si>
  <si>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</si>
  <si>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</si>
  <si>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</si>
  <si>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</si>
  <si>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</si>
  <si>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</si>
  <si>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</si>
  <si>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</si>
  <si>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</si>
  <si>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</si>
  <si>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</si>
  <si>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</si>
  <si>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</si>
  <si>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</si>
  <si>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</si>
  <si>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</si>
  <si>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</si>
  <si>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</si>
  <si>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</si>
  <si>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</si>
  <si>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</si>
  <si>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</si>
  <si>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</si>
  <si>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</si>
  <si>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</si>
  <si>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</si>
  <si>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</si>
  <si>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</si>
  <si>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</si>
  <si>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</si>
  <si>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</si>
  <si>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</si>
  <si>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</si>
  <si>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</si>
  <si>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</si>
  <si>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</si>
  <si>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</si>
  <si>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</si>
  <si>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</si>
  <si>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</si>
  <si>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</si>
  <si>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</si>
  <si>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</si>
  <si>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</si>
  <si>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</si>
  <si>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</si>
  <si>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</si>
  <si>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</si>
  <si>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</si>
  <si>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</si>
  <si>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</si>
  <si>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</si>
  <si>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</si>
  <si>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</si>
  <si>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</si>
  <si>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</si>
  <si>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</si>
  <si>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</si>
  <si>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</si>
  <si>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</si>
  <si>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</si>
  <si>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</si>
  <si>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</si>
  <si>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</si>
  <si>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</si>
  <si>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</si>
  <si>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</si>
  <si>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</si>
  <si>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</si>
  <si>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</si>
  <si>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</si>
  <si>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</si>
  <si>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</si>
  <si>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</si>
  <si>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</si>
  <si>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</si>
  <si>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</si>
  <si>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</si>
  <si>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</si>
  <si>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</si>
  <si>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</si>
  <si>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</si>
  <si>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</si>
  <si>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</si>
  <si>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</si>
  <si>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</si>
  <si>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</si>
  <si>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</si>
  <si>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</si>
  <si>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</si>
  <si>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</si>
  <si>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</si>
  <si>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</si>
  <si>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</si>
  <si>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</si>
  <si>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</si>
  <si>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</si>
  <si>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</si>
  <si>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</si>
  <si>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</si>
  <si>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</si>
  <si>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</si>
  <si>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</si>
  <si>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</si>
  <si>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</si>
  <si>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</si>
  <si>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</si>
  <si>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</si>
  <si>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</si>
  <si>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</si>
  <si>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</si>
  <si>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</si>
  <si>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</si>
  <si>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</si>
  <si>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</si>
  <si>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</si>
  <si>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</si>
  <si>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</si>
  <si>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</si>
  <si>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</si>
  <si>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</si>
  <si>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</si>
  <si>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</si>
  <si>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</si>
  <si>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</si>
  <si>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</si>
  <si>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</si>
  <si>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</si>
  <si>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</si>
  <si>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</si>
  <si>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</si>
  <si>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</si>
  <si>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</si>
  <si>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</si>
  <si>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</si>
  <si>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</si>
  <si>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</si>
  <si>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</si>
  <si>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</si>
  <si>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</si>
  <si>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</si>
  <si>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</si>
  <si>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</si>
  <si>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</si>
  <si>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</si>
  <si>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</si>
  <si>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</si>
  <si>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</si>
  <si>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</si>
  <si>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</si>
  <si>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</si>
  <si>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</si>
  <si>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</si>
  <si>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</si>
  <si>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</si>
  <si>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</si>
  <si>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</si>
  <si>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</si>
  <si>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</si>
  <si>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</si>
  <si>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</si>
  <si>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</si>
  <si>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</si>
  <si>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</si>
  <si>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</si>
  <si>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</si>
  <si>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</si>
  <si>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</si>
  <si>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</si>
  <si>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</si>
  <si>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</si>
  <si>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</si>
  <si>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</si>
  <si>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</si>
  <si>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</si>
  <si>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</si>
  <si>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</si>
  <si>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</si>
  <si>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</si>
  <si>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</si>
  <si>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</si>
  <si>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</si>
  <si>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</si>
  <si>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</si>
  <si>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</si>
  <si>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</si>
  <si>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</si>
  <si>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</si>
  <si>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</si>
  <si>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</si>
  <si>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</si>
  <si>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</si>
  <si>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</si>
  <si>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</si>
  <si>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</si>
  <si>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</si>
  <si>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</si>
  <si>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</si>
  <si>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</si>
  <si>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</si>
  <si>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</si>
  <si>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</si>
  <si>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</si>
  <si>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</si>
  <si>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</si>
  <si>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</si>
  <si>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</si>
  <si>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</si>
  <si>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</si>
  <si>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</si>
  <si>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</si>
  <si>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</si>
  <si>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</si>
  <si>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</si>
  <si>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</si>
  <si>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</si>
  <si>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</si>
  <si>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</si>
  <si>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</si>
  <si>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</si>
  <si>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</si>
  <si>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</si>
  <si>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</si>
  <si>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</si>
  <si>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</si>
  <si>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</si>
  <si>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</si>
  <si>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</si>
  <si>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</si>
  <si>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</si>
  <si>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</si>
  <si>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</si>
  <si>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</si>
  <si>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</si>
  <si>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</si>
  <si>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</si>
  <si>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</si>
  <si>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</si>
  <si>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</si>
  <si>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</si>
  <si>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</si>
  <si>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</si>
  <si>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</si>
  <si>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</si>
  <si>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</si>
  <si>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</si>
  <si>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</si>
  <si>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</si>
  <si>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</si>
  <si>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</si>
  <si>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</si>
  <si>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</si>
  <si>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</si>
  <si>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</si>
  <si>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</si>
  <si>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</si>
  <si>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</si>
  <si>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</si>
  <si>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</si>
  <si>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</si>
  <si>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</si>
  <si>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</si>
  <si>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</si>
  <si>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</si>
  <si>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</si>
  <si>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</si>
  <si>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</si>
  <si>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</si>
  <si>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</si>
  <si>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</si>
  <si>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</si>
  <si>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</si>
  <si>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</si>
  <si>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</si>
  <si>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</si>
  <si>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</si>
  <si>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</si>
  <si>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</si>
  <si>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</si>
  <si>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</si>
  <si>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</si>
  <si>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</si>
  <si>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</si>
  <si>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</si>
  <si>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</si>
  <si>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</si>
  <si>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</si>
  <si>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</si>
  <si>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</si>
  <si>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</si>
  <si>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</si>
  <si>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</si>
  <si>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</si>
  <si>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</si>
  <si>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</si>
  <si>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</si>
  <si>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</si>
  <si>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</si>
  <si>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</si>
  <si>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</si>
  <si>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</si>
  <si>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</si>
  <si>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</si>
  <si>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</si>
  <si>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</si>
  <si>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</si>
  <si>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</si>
  <si>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</si>
  <si>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</si>
  <si>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</si>
  <si>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</si>
  <si>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</si>
  <si>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</si>
  <si>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</si>
  <si>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</si>
  <si>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</si>
  <si>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</si>
  <si>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</si>
  <si>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</si>
  <si>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</si>
  <si>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</si>
  <si>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</si>
  <si>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</si>
  <si>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</si>
  <si>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</si>
  <si>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</si>
  <si>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</si>
  <si>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</si>
  <si>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</si>
  <si>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</si>
  <si>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</si>
  <si>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</si>
  <si>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</si>
  <si>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</si>
  <si>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</si>
  <si>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</si>
  <si>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</si>
  <si>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</si>
  <si>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</si>
  <si>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</si>
  <si>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</si>
  <si>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</si>
  <si>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</si>
  <si>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</si>
  <si>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</si>
  <si>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</si>
  <si>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</si>
  <si>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</si>
  <si>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</si>
  <si>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</si>
  <si>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</si>
  <si>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</si>
  <si>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</si>
  <si>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</si>
  <si>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</si>
  <si>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</si>
  <si>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</si>
  <si>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</si>
  <si>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</si>
  <si>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</si>
  <si>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</si>
  <si>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</si>
  <si>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</si>
  <si>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</si>
  <si>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</si>
  <si>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</si>
  <si>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</si>
  <si>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</si>
  <si>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</si>
  <si>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</si>
  <si>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</si>
  <si>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</si>
  <si>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</si>
  <si>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</si>
  <si>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</si>
  <si>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</si>
  <si>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</si>
  <si>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</si>
  <si>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</si>
  <si>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</si>
  <si>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</si>
  <si>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</si>
  <si>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</si>
  <si>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</si>
  <si>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</si>
  <si>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</si>
  <si>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</si>
  <si>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</si>
  <si>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</si>
  <si>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</si>
  <si>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</si>
  <si>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</si>
  <si>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</si>
  <si>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</si>
  <si>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</si>
  <si>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</si>
  <si>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</si>
  <si>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</si>
  <si>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</si>
  <si>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</si>
  <si>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</si>
  <si>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</si>
  <si>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</si>
  <si>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</si>
  <si>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</si>
  <si>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</si>
  <si>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</si>
  <si>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</si>
  <si>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</si>
  <si>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</si>
  <si>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</si>
  <si>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</si>
  <si>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</si>
  <si>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</si>
  <si>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</si>
  <si>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</si>
  <si>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</si>
  <si>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</si>
  <si>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</si>
  <si>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</si>
  <si>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</si>
  <si>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</si>
  <si>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</si>
  <si>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</si>
  <si>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</si>
  <si>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</si>
  <si>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</si>
  <si>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</si>
  <si>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</si>
  <si>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</si>
  <si>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</si>
  <si>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</si>
  <si>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</si>
  <si>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</si>
  <si>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</si>
  <si>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</si>
  <si>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</si>
  <si>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</si>
  <si>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</si>
  <si>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</si>
  <si>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</si>
  <si>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</si>
  <si>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</si>
  <si>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</si>
  <si>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</si>
  <si>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</si>
  <si>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</si>
  <si>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</si>
  <si>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</si>
  <si>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</si>
  <si>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</si>
  <si>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</si>
  <si>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</si>
  <si>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</si>
  <si>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</si>
  <si>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</si>
  <si>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</si>
  <si>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</si>
  <si>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</si>
  <si>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</si>
  <si>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</si>
  <si>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</si>
  <si>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</si>
  <si>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</si>
  <si>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</si>
  <si>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</si>
  <si>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</si>
  <si>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</si>
  <si>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</si>
  <si>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</si>
  <si>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</si>
  <si>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</si>
  <si>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</si>
  <si>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</si>
  <si>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</si>
  <si>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</si>
  <si>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</si>
  <si>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</si>
  <si>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</si>
  <si>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</si>
  <si>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</si>
  <si>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</si>
  <si>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</si>
  <si>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</si>
  <si>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</si>
  <si>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</si>
  <si>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</si>
  <si>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</si>
  <si>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</si>
  <si>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</si>
  <si>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</si>
  <si>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</si>
  <si>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</si>
  <si>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</si>
  <si>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</si>
  <si>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</si>
  <si>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</si>
  <si>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</si>
  <si>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</si>
  <si>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</si>
  <si>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</si>
  <si>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</si>
  <si>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</si>
  <si>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</si>
  <si>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</si>
  <si>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</si>
  <si>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</si>
  <si>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</si>
  <si>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</si>
  <si>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</si>
  <si>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</si>
  <si>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</si>
  <si>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</si>
  <si>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</si>
  <si>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</si>
  <si>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</si>
  <si>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</si>
  <si>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</si>
  <si>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</si>
  <si>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</si>
  <si>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</si>
  <si>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</si>
  <si>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</si>
  <si>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</si>
  <si>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</si>
  <si>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</si>
  <si>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</si>
  <si>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</si>
  <si>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</si>
  <si>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</si>
  <si>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</si>
  <si>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</si>
  <si>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</si>
  <si>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</si>
  <si>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</si>
  <si>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</si>
  <si>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</si>
  <si>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</si>
  <si>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</si>
  <si>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</si>
  <si>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</si>
  <si>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</si>
  <si>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</si>
  <si>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</si>
  <si>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</si>
  <si>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</si>
  <si>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</si>
  <si>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</si>
  <si>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</si>
  <si>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</si>
  <si>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</si>
  <si>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</si>
  <si>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</si>
  <si>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</si>
  <si>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</si>
  <si>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</si>
  <si>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</si>
  <si>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</si>
  <si>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</si>
  <si>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</si>
  <si>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</si>
  <si>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</si>
  <si>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</si>
  <si>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</si>
  <si>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</si>
  <si>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</si>
  <si>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</si>
  <si>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</si>
  <si>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</si>
  <si>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</si>
  <si>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</si>
  <si>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</si>
  <si>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</si>
  <si>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</si>
  <si>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</si>
  <si>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</si>
  <si>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</si>
  <si>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</si>
  <si>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</si>
  <si>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</si>
  <si>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</si>
  <si>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</si>
  <si>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</si>
  <si>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</si>
  <si>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</si>
  <si>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</si>
  <si>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</si>
  <si>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</si>
  <si>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</si>
  <si>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</si>
  <si>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</si>
  <si>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</si>
  <si>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</si>
  <si>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</si>
  <si>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</si>
  <si>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</si>
  <si>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</si>
  <si>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</si>
  <si>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</si>
  <si>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</si>
  <si>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</si>
  <si>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</si>
  <si>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</si>
  <si>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</si>
  <si>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</si>
  <si>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</si>
  <si>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</si>
  <si>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</si>
  <si>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</si>
  <si>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</si>
  <si>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</si>
  <si>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</si>
  <si>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</si>
  <si>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</si>
  <si>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</si>
  <si>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</si>
  <si>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</si>
  <si>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</si>
  <si>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</si>
  <si>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</si>
  <si>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</si>
  <si>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</si>
  <si>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</si>
  <si>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</si>
  <si>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</si>
  <si>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</si>
  <si>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</si>
  <si>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</si>
  <si>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</si>
  <si>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</si>
  <si>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</si>
  <si>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</si>
  <si>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</si>
  <si>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</si>
  <si>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</si>
  <si>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</si>
  <si>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</si>
  <si>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</si>
  <si>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</si>
  <si>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</si>
  <si>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</si>
  <si>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</si>
  <si>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</si>
  <si>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</si>
  <si>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</si>
  <si>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</si>
  <si>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</si>
  <si>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</si>
  <si>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</si>
  <si>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</si>
  <si>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</si>
  <si>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</si>
  <si>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</si>
  <si>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</si>
  <si>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</si>
  <si>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</si>
  <si>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</si>
  <si>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</si>
  <si>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</si>
  <si>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</si>
  <si>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</si>
  <si>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</si>
  <si>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</si>
  <si>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</si>
  <si>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</si>
  <si>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</si>
  <si>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</si>
  <si>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</si>
  <si>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</si>
  <si>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</si>
  <si>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</si>
  <si>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</si>
  <si>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</si>
  <si>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</si>
  <si>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</si>
  <si>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</si>
  <si>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</si>
  <si>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</si>
  <si>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</si>
  <si>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</si>
  <si>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</si>
  <si>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</si>
  <si>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</si>
  <si>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</si>
  <si>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</si>
  <si>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</si>
  <si>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</si>
  <si>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</si>
  <si>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</si>
  <si>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</si>
  <si>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</si>
  <si>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</si>
  <si>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</si>
  <si>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</si>
  <si>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</si>
  <si>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</si>
  <si>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</si>
  <si>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</si>
  <si>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</si>
  <si>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</si>
  <si>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</si>
  <si>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</si>
  <si>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</si>
  <si>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</si>
  <si>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</si>
  <si>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</si>
  <si>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</si>
  <si>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</si>
  <si>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</si>
  <si>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</si>
  <si>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</si>
  <si>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</si>
  <si>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</si>
  <si>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</si>
  <si>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</si>
  <si>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</si>
  <si>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</si>
  <si>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</si>
  <si>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</si>
  <si>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</si>
  <si>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</si>
  <si>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</si>
  <si>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</si>
  <si>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</si>
  <si>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</si>
  <si>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</si>
  <si>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</si>
  <si>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</si>
  <si>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</si>
  <si>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</si>
  <si>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</si>
  <si>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</si>
  <si>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</si>
  <si>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</si>
  <si>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</si>
  <si>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</si>
  <si>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</si>
  <si>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</si>
  <si>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</si>
  <si>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</si>
  <si>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</si>
  <si>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</si>
  <si>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</si>
  <si>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</si>
  <si>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</si>
  <si>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</si>
  <si>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</si>
  <si>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</si>
  <si>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</si>
  <si>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</si>
  <si>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</si>
  <si>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</si>
  <si>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</si>
  <si>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</si>
  <si>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</si>
  <si>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</si>
  <si>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</si>
  <si>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</si>
  <si>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</si>
  <si>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</si>
  <si>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</si>
  <si>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</si>
  <si>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</si>
  <si>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</si>
  <si>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</si>
  <si>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</si>
  <si>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</si>
  <si>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</si>
  <si>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</si>
  <si>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</si>
  <si>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</si>
  <si>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</si>
  <si>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</si>
  <si>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</si>
  <si>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</si>
  <si>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</si>
  <si>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</si>
  <si>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</si>
  <si>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</si>
  <si>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</si>
  <si>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</si>
  <si>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</si>
  <si>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</si>
  <si>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</si>
  <si>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</si>
  <si>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</si>
  <si>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</si>
  <si>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</si>
  <si>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</si>
  <si>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</si>
  <si>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</si>
  <si>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</si>
  <si>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</si>
  <si>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</si>
  <si>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</si>
  <si>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</si>
  <si>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</si>
  <si>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</si>
  <si>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</si>
  <si>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</si>
  <si>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</si>
  <si>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</si>
  <si>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</si>
  <si>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</si>
  <si>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</si>
  <si>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</si>
  <si>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</si>
  <si>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</si>
  <si>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</si>
  <si>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</si>
  <si>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</si>
  <si>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</si>
  <si>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</si>
  <si>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</si>
  <si>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</si>
  <si>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</si>
  <si>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</si>
  <si>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</si>
  <si>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</si>
  <si>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</si>
  <si>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</si>
  <si>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</si>
  <si>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</si>
  <si>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</si>
  <si>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</si>
  <si>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</si>
  <si>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</si>
  <si>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</si>
  <si>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</si>
  <si>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</si>
  <si>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</si>
  <si>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</si>
  <si>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</si>
  <si>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</si>
  <si>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</si>
  <si>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</si>
  <si>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</si>
  <si>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</si>
  <si>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</si>
  <si>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</si>
  <si>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</si>
  <si>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</si>
  <si>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</si>
  <si>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</si>
  <si>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</si>
  <si>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</si>
  <si>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</si>
  <si>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</si>
  <si>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</si>
  <si>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</si>
  <si>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</si>
  <si>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</si>
  <si>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</si>
  <si>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</si>
  <si>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</si>
  <si>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</si>
  <si>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</si>
  <si>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</si>
  <si>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</si>
  <si>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</si>
  <si>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</si>
  <si>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</si>
  <si>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</si>
  <si>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</si>
  <si>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</si>
  <si>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</si>
  <si>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</si>
  <si>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</si>
  <si>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</si>
  <si>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</si>
  <si>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</si>
  <si>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</si>
  <si>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</si>
  <si>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</si>
  <si>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</si>
  <si>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</si>
  <si>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</si>
  <si>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</si>
  <si>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</si>
  <si>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</si>
  <si>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</si>
  <si>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</si>
  <si>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</si>
  <si>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</si>
  <si>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</si>
  <si>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</si>
  <si>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</si>
  <si>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</si>
  <si>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</si>
  <si>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</si>
  <si>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</si>
  <si>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</si>
  <si>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</si>
  <si>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</si>
  <si>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</si>
  <si>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</si>
  <si>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</si>
  <si>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</si>
  <si>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</si>
  <si>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</si>
  <si>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</si>
  <si>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</si>
  <si>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</si>
  <si>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</si>
  <si>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</si>
  <si>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</si>
  <si>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</si>
  <si>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</si>
  <si>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</si>
  <si>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</si>
  <si>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</si>
  <si>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</si>
  <si>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</si>
  <si>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</si>
  <si>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</si>
  <si>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</si>
  <si>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</si>
  <si>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</si>
  <si>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</si>
  <si>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</si>
  <si>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</si>
  <si>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</si>
  <si>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</si>
  <si>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</si>
  <si>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</si>
  <si>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</si>
  <si>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</si>
  <si>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</si>
  <si>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</si>
  <si>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</si>
  <si>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</si>
  <si>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</si>
  <si>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</si>
  <si>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</si>
  <si>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</si>
  <si>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</si>
  <si>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</si>
  <si>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</si>
  <si>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</si>
  <si>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</si>
  <si>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</si>
  <si>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</si>
  <si>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</si>
  <si>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</si>
  <si>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</si>
  <si>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</si>
  <si>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</si>
  <si>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</si>
  <si>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</si>
  <si>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</si>
  <si>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</si>
  <si>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</si>
  <si>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</si>
  <si>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</si>
  <si>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</si>
  <si>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</si>
  <si>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</si>
  <si>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</si>
  <si>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</si>
  <si>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</si>
  <si>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</si>
  <si>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</si>
  <si>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</si>
  <si>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</si>
  <si>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</si>
  <si>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</si>
  <si>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</si>
  <si>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</si>
  <si>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</si>
  <si>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</si>
  <si>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</si>
  <si>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</si>
  <si>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</si>
  <si>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</si>
  <si>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</si>
  <si>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</si>
  <si>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</si>
  <si>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</si>
  <si>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</si>
  <si>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</si>
  <si>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</si>
  <si>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</si>
  <si>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</si>
  <si>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</si>
  <si>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</si>
  <si>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</si>
  <si>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</si>
  <si>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</si>
  <si>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</si>
  <si>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</si>
  <si>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</si>
  <si>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</si>
  <si>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</si>
  <si>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</si>
  <si>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</si>
  <si>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</si>
  <si>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</si>
  <si>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</si>
  <si>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</si>
  <si>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</si>
  <si>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</si>
  <si>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</si>
  <si>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</si>
  <si>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</si>
  <si>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</si>
  <si>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</si>
  <si>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</si>
  <si>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</si>
  <si>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</si>
  <si>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</si>
  <si>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</si>
  <si>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</si>
  <si>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</si>
  <si>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</si>
  <si>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</si>
  <si>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</si>
  <si>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</si>
  <si>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</si>
  <si>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</si>
  <si>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</si>
  <si>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</si>
  <si>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</si>
  <si>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</si>
  <si>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</si>
  <si>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</si>
  <si>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</si>
  <si>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</si>
  <si>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</si>
  <si>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</si>
  <si>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</si>
  <si>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</si>
  <si>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</si>
  <si>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</si>
  <si>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</si>
  <si>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</si>
  <si>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</si>
  <si>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</si>
  <si>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</si>
  <si>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</si>
  <si>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</si>
  <si>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</si>
  <si>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</si>
  <si>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</si>
  <si>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</si>
  <si>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</si>
  <si>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</si>
  <si>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</si>
  <si>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</si>
  <si>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</si>
  <si>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</si>
  <si>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</si>
  <si>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</si>
  <si>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</si>
  <si>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</si>
  <si>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</si>
  <si>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</si>
  <si>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</si>
  <si>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</si>
  <si>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</si>
  <si>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</si>
  <si>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</si>
  <si>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</si>
  <si>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</si>
  <si>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</si>
  <si>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</si>
  <si>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</si>
  <si>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</si>
  <si>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</si>
  <si>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</si>
  <si>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</si>
  <si>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</si>
  <si>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</si>
  <si>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</si>
  <si>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</si>
  <si>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</si>
  <si>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</si>
  <si>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</si>
  <si>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</si>
  <si>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</si>
  <si>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</si>
  <si>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</si>
  <si>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</si>
  <si>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</si>
  <si>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</si>
  <si>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</si>
  <si>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</si>
  <si>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</si>
  <si>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</si>
  <si>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</si>
  <si>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</si>
  <si>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</si>
  <si>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</si>
  <si>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</si>
  <si>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</si>
  <si>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</si>
  <si>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</si>
  <si>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</si>
  <si>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</si>
  <si>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</si>
  <si>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</si>
  <si>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</si>
  <si>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</si>
  <si>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</si>
  <si>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</si>
  <si>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</si>
  <si>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</si>
  <si>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</si>
  <si>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</si>
  <si>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</si>
  <si>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</si>
  <si>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</si>
  <si>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</si>
  <si>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</si>
  <si>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</si>
  <si>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</si>
  <si>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</si>
  <si>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</si>
  <si>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</si>
  <si>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</si>
  <si>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</si>
  <si>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</si>
  <si>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</si>
  <si>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</si>
  <si>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</si>
  <si>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</si>
  <si>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</si>
  <si>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</si>
  <si>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</si>
  <si>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</si>
  <si>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</si>
  <si>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</si>
  <si>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</si>
  <si>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</si>
  <si>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</si>
  <si>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</si>
  <si>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</si>
  <si>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</si>
  <si>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</si>
  <si>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</si>
  <si>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</si>
  <si>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</si>
  <si>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</si>
  <si>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</si>
  <si>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</si>
  <si>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</si>
  <si>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</si>
  <si>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</si>
  <si>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</si>
  <si>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</si>
  <si>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</si>
  <si>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</si>
  <si>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</si>
  <si>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</si>
  <si>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</si>
  <si>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</si>
  <si>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</si>
  <si>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</si>
  <si>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</si>
  <si>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</si>
  <si>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</si>
  <si>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</si>
  <si>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</si>
  <si>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</si>
  <si>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</si>
  <si>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</si>
  <si>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</si>
  <si>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</si>
  <si>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</si>
  <si>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</si>
  <si>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</si>
  <si>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</si>
  <si>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</si>
  <si>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</si>
  <si>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</si>
  <si>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</si>
  <si>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</si>
  <si>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</si>
  <si>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</si>
  <si>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</si>
  <si>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</si>
  <si>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</si>
  <si>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</si>
  <si>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</si>
  <si>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</si>
  <si>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</si>
  <si>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</si>
  <si>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</si>
  <si>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</si>
  <si>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</si>
  <si>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</si>
  <si>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</si>
  <si>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</si>
  <si>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</si>
  <si>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</si>
  <si>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</si>
  <si>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</si>
  <si>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</si>
  <si>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</si>
  <si>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</si>
  <si>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</si>
  <si>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</si>
  <si>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</si>
  <si>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</si>
  <si>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</si>
  <si>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</si>
  <si>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</si>
  <si>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</si>
  <si>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</si>
  <si>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</si>
  <si>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</si>
  <si>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</si>
  <si>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</si>
  <si>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</si>
  <si>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</si>
  <si>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</si>
  <si>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</si>
  <si>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</si>
  <si>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</si>
  <si>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</si>
  <si>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</si>
  <si>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</si>
  <si>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</si>
  <si>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</si>
  <si>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</si>
  <si>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</si>
  <si>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</si>
  <si>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</si>
  <si>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</si>
  <si>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</si>
  <si>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</si>
  <si>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</si>
  <si>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</si>
  <si>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</si>
  <si>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</si>
  <si>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</si>
  <si>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</si>
  <si>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</si>
  <si>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</si>
  <si>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</si>
  <si>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</si>
  <si>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</si>
  <si>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</si>
  <si>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</si>
  <si>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</si>
  <si>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</si>
  <si>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</si>
  <si>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</si>
  <si>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</si>
  <si>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</si>
  <si>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</si>
  <si>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</si>
  <si>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</si>
  <si>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</si>
  <si>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</si>
  <si>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</si>
  <si>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</si>
  <si>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</si>
  <si>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</si>
  <si>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</si>
  <si>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</si>
  <si>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</si>
  <si>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</si>
  <si>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</si>
  <si>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</si>
  <si>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</si>
  <si>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</si>
  <si>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</si>
  <si>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</si>
  <si>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</si>
  <si>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</si>
  <si>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</si>
  <si>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</si>
  <si>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</si>
  <si>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</si>
  <si>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</si>
  <si>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</si>
  <si>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</si>
  <si>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</si>
  <si>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</si>
  <si>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</si>
  <si>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</si>
  <si>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</si>
  <si>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</si>
  <si>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</si>
  <si>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</si>
  <si>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</si>
  <si>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</si>
  <si>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</si>
  <si>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</si>
  <si>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</si>
  <si>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</si>
  <si>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</si>
  <si>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</si>
  <si>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</si>
  <si>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</si>
  <si>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</si>
  <si>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</si>
  <si>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</si>
  <si>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</si>
  <si>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</si>
  <si>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</si>
  <si>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</si>
  <si>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</si>
  <si>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</si>
  <si>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</si>
  <si>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</si>
  <si>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</si>
  <si>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</si>
  <si>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</si>
  <si>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</si>
  <si>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</si>
  <si>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</si>
  <si>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</si>
  <si>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</si>
  <si>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</si>
  <si>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</si>
  <si>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</si>
  <si>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</si>
  <si>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</si>
  <si>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</si>
  <si>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</si>
  <si>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</si>
  <si>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</si>
  <si>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</si>
  <si>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</si>
  <si>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</si>
  <si>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</si>
  <si>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</si>
  <si>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</si>
  <si>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</si>
  <si>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</si>
  <si>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</si>
  <si>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</si>
  <si>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</si>
  <si>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</si>
  <si>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</si>
  <si>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</si>
  <si>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</si>
  <si>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</si>
  <si>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</si>
  <si>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</si>
  <si>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</si>
  <si>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</si>
  <si>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</si>
  <si>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</si>
  <si>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</si>
  <si>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</si>
  <si>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</si>
  <si>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</si>
  <si>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</si>
  <si>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</si>
  <si>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</si>
  <si>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</si>
  <si>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</si>
  <si>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</si>
  <si>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</si>
  <si>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</si>
  <si>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</si>
  <si>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</si>
  <si>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</si>
  <si>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</si>
  <si>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</si>
  <si>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</si>
  <si>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</si>
  <si>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</si>
  <si>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</si>
  <si>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</si>
  <si>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</si>
  <si>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</si>
  <si>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</si>
  <si>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</si>
  <si>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</si>
  <si>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</si>
  <si>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</si>
  <si>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</si>
  <si>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</si>
  <si>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</si>
  <si>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</si>
  <si>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</si>
  <si>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</si>
  <si>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</si>
  <si>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</si>
  <si>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</si>
  <si>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</si>
  <si>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</si>
  <si>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</si>
  <si>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</si>
  <si>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</si>
  <si>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</si>
  <si>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</si>
  <si>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</si>
  <si>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</si>
  <si>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</si>
  <si>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</si>
  <si>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</si>
  <si>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</si>
  <si>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</si>
  <si>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</si>
  <si>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</si>
  <si>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</si>
  <si>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</si>
  <si>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</si>
  <si>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</si>
  <si>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</si>
  <si>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</si>
  <si>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</si>
  <si>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</si>
  <si>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</si>
  <si>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</si>
  <si>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</si>
  <si>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</si>
  <si>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</si>
  <si>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</si>
  <si>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</si>
  <si>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</si>
  <si>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</si>
  <si>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</si>
  <si>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</si>
  <si>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</si>
  <si>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</si>
  <si>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</si>
  <si>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</si>
  <si>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</si>
  <si>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</si>
  <si>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</si>
  <si>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</si>
  <si>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</si>
  <si>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</si>
  <si>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</si>
  <si>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</si>
  <si>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</si>
  <si>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</si>
  <si>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</si>
  <si>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</si>
  <si>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</si>
  <si>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</si>
  <si>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</si>
  <si>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</si>
  <si>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</si>
  <si>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</si>
  <si>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</si>
  <si>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</si>
  <si>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</si>
  <si>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</si>
  <si>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</si>
  <si>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</si>
  <si>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</si>
  <si>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</si>
  <si>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</si>
  <si>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</si>
  <si>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</si>
  <si>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</si>
  <si>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</si>
  <si>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</si>
  <si>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</si>
  <si>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</si>
  <si>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</si>
  <si>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</si>
  <si>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</si>
  <si>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</si>
  <si>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</si>
  <si>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</si>
  <si>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</si>
  <si>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</si>
  <si>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</si>
  <si>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</si>
  <si>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</si>
  <si>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</si>
  <si>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</si>
  <si>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</si>
  <si>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</si>
  <si>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</si>
  <si>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</si>
  <si>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</si>
  <si>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</si>
  <si>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</si>
  <si>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</si>
  <si>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</si>
  <si>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</si>
  <si>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</si>
  <si>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</si>
  <si>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</si>
  <si>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</si>
  <si>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</si>
  <si>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</si>
  <si>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</si>
  <si>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</si>
  <si>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</si>
  <si>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</si>
  <si>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</si>
  <si>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</si>
  <si>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</si>
  <si>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</si>
  <si>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</si>
  <si>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</si>
  <si>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</si>
  <si>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</si>
  <si>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</si>
  <si>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</si>
  <si>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</si>
  <si>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</si>
  <si>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</si>
  <si>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</si>
  <si>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</si>
  <si>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</si>
  <si>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</si>
  <si>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</si>
  <si>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</si>
  <si>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</si>
  <si>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</si>
  <si>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</si>
  <si>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</si>
  <si>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</si>
  <si>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</si>
  <si>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</si>
  <si>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</si>
  <si>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</si>
  <si>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</si>
  <si>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</si>
  <si>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</si>
  <si>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</si>
  <si>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</si>
  <si>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</si>
  <si>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</si>
  <si>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</si>
  <si>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</si>
  <si>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</si>
  <si>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</si>
  <si>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</si>
  <si>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</si>
  <si>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</si>
  <si>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</si>
  <si>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</si>
  <si>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</si>
  <si>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</si>
  <si>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</si>
  <si>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</si>
  <si>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</si>
  <si>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</si>
  <si>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</si>
  <si>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</si>
  <si>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</si>
  <si>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</si>
  <si>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</si>
  <si>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</si>
  <si>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</si>
  <si>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</si>
  <si>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</si>
  <si>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</si>
  <si>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</si>
  <si>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</si>
  <si>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</si>
  <si>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</si>
  <si>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</si>
  <si>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</si>
  <si>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</si>
  <si>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</si>
  <si>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</si>
  <si>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</si>
  <si>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</si>
  <si>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</si>
  <si>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</si>
  <si>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</si>
  <si>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</si>
  <si>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</si>
  <si>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</si>
  <si>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</si>
  <si>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</si>
  <si>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</si>
  <si>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</si>
  <si>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</si>
  <si>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</si>
  <si>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</si>
  <si>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</si>
  <si>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</si>
  <si>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</si>
  <si>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</si>
  <si>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</si>
  <si>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</si>
  <si>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</si>
  <si>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</si>
  <si>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</si>
  <si>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</si>
  <si>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</si>
  <si>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</si>
  <si>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</si>
  <si>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</si>
  <si>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</si>
  <si>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</si>
  <si>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</si>
  <si>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</si>
  <si>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</si>
  <si>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</si>
  <si>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</si>
  <si>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</si>
  <si>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</si>
  <si>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</si>
  <si>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</si>
  <si>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</si>
  <si>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</si>
  <si>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</si>
  <si>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</si>
  <si>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</si>
  <si>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</si>
  <si>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</si>
  <si>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</si>
  <si>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</si>
  <si>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</si>
  <si>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</si>
  <si>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</si>
  <si>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</si>
  <si>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</si>
  <si>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</si>
  <si>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</si>
  <si>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</si>
  <si>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</si>
  <si>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</si>
  <si>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</si>
  <si>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</si>
  <si>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</si>
  <si>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</si>
  <si>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</si>
  <si>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</si>
  <si>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</si>
  <si>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</si>
  <si>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</si>
  <si>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</si>
  <si>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</si>
  <si>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</si>
  <si>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</si>
  <si>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</si>
  <si>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</si>
  <si>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</si>
  <si>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</si>
  <si>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</si>
  <si>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</si>
  <si>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</si>
  <si>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</si>
  <si>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</si>
  <si>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</si>
  <si>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</si>
  <si>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</si>
  <si>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</si>
  <si>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</si>
  <si>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</si>
  <si>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</si>
  <si>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</si>
  <si>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</si>
  <si>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</si>
  <si>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</si>
  <si>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</si>
  <si>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</si>
  <si>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</si>
  <si>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</si>
  <si>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</si>
  <si>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</si>
  <si>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</si>
  <si>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</si>
  <si>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</si>
  <si>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</si>
  <si>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</si>
  <si>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</si>
  <si>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</si>
  <si>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</si>
  <si>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</si>
  <si>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</si>
  <si>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</si>
  <si>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</si>
  <si>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</si>
  <si>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</si>
  <si>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</si>
  <si>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</si>
  <si>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</si>
  <si>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</si>
  <si>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</si>
  <si>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</si>
  <si>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</si>
  <si>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</si>
  <si>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</si>
  <si>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</si>
  <si>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</si>
  <si>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</si>
  <si>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</si>
  <si>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</si>
  <si>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</si>
  <si>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</si>
  <si>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</si>
  <si>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</si>
  <si>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</si>
  <si>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</si>
  <si>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</si>
  <si>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</si>
  <si>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</si>
  <si>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</si>
  <si>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</si>
  <si>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</si>
  <si>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</si>
  <si>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</si>
  <si>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</si>
  <si>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</si>
  <si>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</si>
  <si>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</si>
  <si>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</si>
  <si>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</si>
  <si>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</si>
  <si>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</si>
  <si>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</si>
  <si>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</si>
  <si>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</si>
  <si>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</si>
  <si>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</si>
  <si>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</si>
  <si>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</si>
  <si>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</si>
  <si>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</si>
  <si>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</si>
  <si>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</si>
  <si>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</si>
  <si>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</si>
  <si>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</si>
  <si>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</si>
  <si>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</si>
  <si>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</si>
  <si>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</si>
  <si>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</si>
  <si>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</si>
  <si>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</si>
  <si>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</si>
  <si>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</si>
  <si>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</si>
  <si>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</si>
  <si>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</si>
  <si>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</si>
  <si>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</si>
  <si>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</si>
  <si>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</si>
  <si>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</si>
  <si>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</si>
  <si>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</si>
  <si>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</si>
  <si>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</si>
  <si>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</si>
  <si>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</si>
  <si>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</si>
  <si>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</si>
  <si>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</si>
  <si>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</si>
  <si>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</si>
  <si>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</si>
  <si>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</si>
  <si>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</si>
  <si>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</si>
  <si>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</si>
  <si>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</si>
  <si>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</si>
  <si>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</si>
  <si>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</si>
  <si>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</si>
  <si>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</si>
  <si>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</si>
  <si>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</si>
  <si>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</si>
  <si>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</si>
  <si>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</si>
  <si>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</si>
  <si>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</si>
  <si>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</si>
  <si>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</si>
  <si>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</si>
  <si>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</si>
  <si>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</si>
  <si>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</si>
  <si>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</si>
  <si>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</si>
  <si>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</si>
  <si>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</si>
  <si>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</si>
  <si>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</si>
  <si>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</si>
  <si>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</si>
  <si>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</si>
  <si>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</si>
  <si>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</si>
  <si>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</si>
  <si>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</si>
  <si>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</si>
  <si>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</si>
  <si>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</si>
  <si>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</si>
  <si>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</si>
  <si>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</si>
  <si>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</si>
  <si>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</si>
  <si>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</si>
  <si>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</si>
  <si>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</si>
  <si>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</si>
  <si>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</si>
  <si>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</si>
  <si>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</si>
  <si>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</si>
  <si>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</si>
  <si>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</si>
  <si>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</si>
  <si>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</si>
  <si>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</si>
  <si>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</si>
  <si>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</si>
  <si>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</si>
  <si>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</si>
  <si>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</si>
  <si>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</si>
  <si>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</si>
  <si>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</si>
  <si>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</si>
  <si>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</si>
  <si>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</si>
  <si>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</si>
  <si>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</si>
  <si>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</si>
  <si>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</si>
  <si>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</si>
  <si>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</si>
  <si>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</si>
  <si>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</si>
  <si>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</si>
  <si>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</si>
  <si>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</si>
  <si>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</si>
  <si>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</si>
  <si>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</si>
  <si>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</si>
  <si>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</si>
  <si>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</si>
  <si>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</si>
  <si>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</si>
  <si>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</si>
  <si>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</si>
  <si>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</si>
  <si>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</si>
  <si>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</si>
  <si>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</si>
  <si>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</si>
  <si>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</si>
  <si>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</si>
  <si>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</si>
  <si>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</si>
  <si>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</si>
  <si>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</si>
  <si>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</si>
  <si>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</si>
  <si>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</si>
  <si>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</si>
  <si>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</si>
  <si>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</si>
  <si>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</si>
  <si>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</si>
  <si>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</si>
  <si>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</si>
  <si>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</si>
  <si>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</si>
  <si>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</si>
  <si>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</si>
  <si>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</si>
  <si>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</si>
  <si>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</si>
  <si>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</si>
  <si>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</si>
  <si>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</si>
  <si>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</si>
  <si>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</si>
  <si>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</si>
  <si>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</si>
  <si>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</si>
  <si>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</si>
  <si>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</si>
  <si>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</si>
  <si>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</si>
  <si>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</si>
  <si>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</si>
  <si>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</si>
  <si>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</si>
  <si>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</si>
  <si>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</si>
  <si>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</si>
  <si>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</si>
  <si>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</si>
  <si>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</si>
  <si>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</si>
  <si>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</si>
  <si>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</si>
  <si>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</si>
  <si>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</si>
  <si>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</si>
  <si>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</si>
  <si>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</si>
  <si>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</si>
  <si>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</si>
  <si>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</si>
  <si>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</si>
  <si>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</si>
  <si>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</si>
  <si>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</si>
  <si>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</si>
  <si>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</si>
  <si>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</si>
  <si>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</si>
  <si>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</si>
  <si>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</si>
  <si>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</si>
  <si>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</si>
  <si>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</si>
  <si>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</si>
  <si>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</si>
  <si>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</si>
  <si>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</si>
  <si>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</si>
  <si>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</si>
  <si>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</si>
  <si>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</si>
  <si>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</si>
  <si>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</si>
  <si>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</si>
  <si>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</si>
  <si>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</si>
  <si>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</si>
  <si>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</si>
  <si>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</si>
  <si>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</si>
  <si>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</si>
  <si>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</si>
  <si>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</si>
  <si>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</si>
  <si>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</si>
  <si>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</si>
  <si>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</si>
  <si>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</si>
  <si>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</si>
  <si>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</si>
  <si>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</si>
  <si>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</si>
  <si>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</si>
  <si>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</si>
  <si>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</si>
  <si>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</si>
  <si>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</si>
  <si>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</si>
  <si>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</si>
  <si>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</si>
  <si>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</si>
  <si>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</si>
  <si>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</si>
  <si>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</si>
  <si>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</si>
  <si>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</si>
  <si>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</si>
  <si>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</si>
  <si>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</si>
  <si>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</si>
  <si>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</si>
  <si>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</si>
  <si>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</si>
  <si>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</si>
  <si>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</si>
  <si>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</si>
  <si>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</si>
  <si>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</si>
  <si>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</si>
  <si>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</si>
  <si>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</si>
  <si>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</si>
  <si>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</si>
  <si>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</si>
  <si>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</si>
  <si>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</si>
  <si>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</si>
  <si>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</si>
  <si>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</si>
  <si>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</si>
  <si>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</si>
  <si>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</si>
  <si>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</si>
  <si>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</si>
  <si>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</si>
  <si>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</si>
  <si>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</si>
  <si>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</si>
  <si>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</si>
  <si>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</si>
  <si>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</si>
  <si>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</si>
  <si>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</si>
  <si>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</si>
  <si>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</si>
  <si>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</si>
  <si>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</si>
  <si>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</si>
  <si>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</si>
  <si>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</si>
  <si>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</si>
  <si>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</si>
  <si>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</si>
  <si>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</si>
  <si>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</si>
  <si>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</si>
  <si>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</si>
  <si>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</si>
  <si>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</si>
  <si>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</si>
  <si>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</si>
  <si>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</si>
  <si>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</si>
  <si>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</si>
  <si>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</si>
  <si>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</si>
  <si>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</si>
  <si>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</si>
  <si>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</si>
  <si>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</si>
  <si>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</si>
  <si>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</si>
  <si>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</si>
  <si>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</si>
  <si>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</si>
  <si>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</si>
  <si>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</si>
  <si>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</si>
  <si>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</si>
  <si>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</si>
  <si>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</si>
  <si>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</si>
  <si>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</si>
  <si>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</si>
  <si>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</si>
  <si>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</si>
  <si>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</si>
  <si>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</si>
  <si>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</si>
  <si>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</si>
  <si>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</si>
  <si>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</si>
  <si>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</si>
  <si>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</si>
  <si>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</si>
  <si>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</si>
  <si>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</si>
  <si>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</si>
  <si>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</si>
  <si>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</si>
  <si>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</si>
  <si>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</si>
  <si>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</si>
  <si>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</si>
  <si>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</si>
  <si>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</si>
  <si>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</si>
  <si>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</si>
  <si>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</si>
  <si>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</si>
  <si>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</si>
  <si>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</si>
  <si>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</si>
  <si>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</si>
  <si>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</si>
  <si>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</si>
  <si>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</si>
  <si>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</si>
  <si>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</si>
  <si>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</si>
  <si>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</si>
  <si>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</si>
  <si>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</si>
  <si>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</si>
  <si>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</si>
  <si>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</si>
  <si>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</si>
  <si>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</si>
  <si>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</si>
  <si>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</si>
  <si>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</si>
  <si>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</si>
  <si>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</si>
  <si>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</si>
  <si>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</si>
  <si>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</si>
  <si>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</si>
  <si>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</si>
  <si>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</si>
  <si>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</si>
  <si>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</si>
  <si>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</si>
  <si>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</si>
  <si>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</si>
  <si>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</si>
  <si>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</si>
  <si>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</si>
  <si>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</si>
  <si>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</si>
  <si>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</si>
  <si>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</si>
  <si>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</si>
  <si>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</si>
  <si>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</si>
  <si>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</si>
  <si>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</si>
  <si>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</si>
  <si>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</si>
  <si>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</si>
  <si>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</si>
  <si>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</si>
  <si>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</si>
  <si>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</si>
  <si>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</si>
  <si>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</si>
  <si>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</si>
  <si>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</si>
  <si>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</si>
  <si>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</si>
  <si>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</si>
  <si>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</si>
  <si>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</si>
  <si>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</si>
  <si>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</si>
  <si>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</si>
  <si>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2022PA-005</t>
  </si>
  <si>
    <t>Arbours at Town Branch, LLC</t>
  </si>
  <si>
    <t>Sam Johnston</t>
  </si>
  <si>
    <t>Member</t>
  </si>
  <si>
    <t>242 Inverness Center Drive</t>
  </si>
  <si>
    <t>Birmingham</t>
  </si>
  <si>
    <t>Sam@arbourvalley.com</t>
  </si>
  <si>
    <t>Arbour Valley Development</t>
  </si>
  <si>
    <t>Taylor Price</t>
  </si>
  <si>
    <t>Taylor@arbourvalley.com</t>
  </si>
  <si>
    <t>Arbours at Town Branch</t>
  </si>
  <si>
    <t>City Limits</t>
  </si>
  <si>
    <t>HFOP</t>
  </si>
  <si>
    <t>Agree</t>
  </si>
  <si>
    <t>N/Ap</t>
  </si>
  <si>
    <t>N/ap</t>
  </si>
  <si>
    <t>Yes - W&amp;D hookups installed in each unit</t>
  </si>
  <si>
    <t>Room</t>
  </si>
  <si>
    <t>Gazebo</t>
  </si>
  <si>
    <t>On-site laundry</t>
  </si>
  <si>
    <t>N/a</t>
  </si>
  <si>
    <t>Georgia Power</t>
  </si>
  <si>
    <t>City of Villa Rica</t>
  </si>
  <si>
    <t>Purchase Contract</t>
  </si>
  <si>
    <t>Geotechnical and Environmental Consultants, Inc</t>
  </si>
  <si>
    <t>Value Tech Realty Services, Inc.</t>
  </si>
  <si>
    <t>2018-553</t>
  </si>
  <si>
    <t>Arbours at Villa Rica</t>
  </si>
  <si>
    <t>Terracon</t>
  </si>
  <si>
    <t>ServisFirst</t>
  </si>
  <si>
    <t>Raymond James</t>
  </si>
  <si>
    <t>Amortizing</t>
  </si>
  <si>
    <t>Arbour Valley Development, LLC</t>
  </si>
  <si>
    <t>DDA/QCT</t>
  </si>
  <si>
    <t>Low-Rise Elevator</t>
  </si>
  <si>
    <t>Direct of Operations</t>
  </si>
  <si>
    <t>4 Months</t>
  </si>
  <si>
    <t>2010-066</t>
  </si>
  <si>
    <t>2012-012</t>
  </si>
  <si>
    <t>2019-025</t>
  </si>
  <si>
    <t>Conner Senior</t>
  </si>
  <si>
    <t>Conner Senior Village Ph II</t>
  </si>
  <si>
    <t>Legacy Walton Trail</t>
  </si>
  <si>
    <t xml:space="preserve">No HOME funds are being used for the proposed project. </t>
  </si>
  <si>
    <t xml:space="preserve">The property will be all electric with electricity provided by Georgia Power. An availablity of service letter is included under tab 11. </t>
  </si>
  <si>
    <t xml:space="preserve">This project will meet all acessaqbility requirments as outlined by DCA and the current Architectual and Acessability manuals. A DCA approved acessability consultant will be retained by the applicant. </t>
  </si>
  <si>
    <t xml:space="preserve">Not Applicable. </t>
  </si>
  <si>
    <t xml:space="preserve">Not Applicable - New Construction </t>
  </si>
  <si>
    <t xml:space="preserve">This project will be in compliance with all DCA architectual requirments in order to build a project that will be financially stable. The highest construction quality materials will be used as permitted by the budget. </t>
  </si>
  <si>
    <t xml:space="preserve">Not applicable. </t>
  </si>
  <si>
    <t>Not Applicable</t>
  </si>
  <si>
    <t xml:space="preserve">Please see the Desireable/Undesireable Certification form along with supplamentary maps and photos in Tab 27. As detailed in the Revitalization Plan, Tab 30, this neighboorhood is within the Target Area for the City of Villa Rica's CRP with roadway, utilities, and infrastructure improvments already underway. </t>
  </si>
  <si>
    <t>20,   24 - 26,  28- 29</t>
  </si>
  <si>
    <t xml:space="preserve">9, 12, 25, 27, 32 - 33 </t>
  </si>
  <si>
    <t>36 - 39</t>
  </si>
  <si>
    <t xml:space="preserve">6,  8,  25 </t>
  </si>
  <si>
    <t xml:space="preserve">The City of Villa Rica Community Revitalization Plan 2018- 2038 sets forth an outline of current infrastruction, action items, and time frames to accomplish goals within the Target Area, in which the project is located. The plan specifically includes data indicating a need for additional affordable senior housing and outlines goals for updating and redeveloping the Target Area to meet this need. The City of Villa Rica hosted multiple public meetings, generated and promoted an online questionnaire for community input, and hosted an Open House at the Public Libarary before completion of the CRP. </t>
  </si>
  <si>
    <t xml:space="preserve">Applicant is not seeking scoring points in this section. </t>
  </si>
  <si>
    <t>Applicant is not seeking scoring points in this section.</t>
  </si>
  <si>
    <t>The most recent 9% award in the city of Villa Rica was in 2019, 2019-052 Legacy Walton Trail (90 units).</t>
  </si>
  <si>
    <t xml:space="preserve">Not seeking points in this section. </t>
  </si>
  <si>
    <t xml:space="preserve">Applicant is not seeking points in this section. </t>
  </si>
  <si>
    <t xml:space="preserve">Applicant is not seeking scoring in this section. </t>
  </si>
  <si>
    <t xml:space="preserve">The Arbours at Town Branch project is financially sustainable based  on the requirments stated in the 2022 QAP. </t>
  </si>
  <si>
    <t>Applicant agrees to identify the needs of the community and provide the required services for seniors.</t>
  </si>
  <si>
    <t xml:space="preserve">The market in Villa Rica is ideal for for an HFOP project with the increase in the aging population within Carroll County. The proposed project meets all market feasiblity factors as specified in the 2022 QAP. </t>
  </si>
  <si>
    <t xml:space="preserve">The project meets all of DCA's appraisal requirments as specified in the 2022 QAP. </t>
  </si>
  <si>
    <t xml:space="preserve">The site plan has been developed in accordance with the requirments of zoning. The site zoning allows for multifamily. </t>
  </si>
  <si>
    <t xml:space="preserve">The City of Villa Rica has sufficient public water &amp; sewer capacity to serve the development. </t>
  </si>
  <si>
    <t xml:space="preserve">The deveopment received its qualification letter from DCA on 4/22/22. </t>
  </si>
  <si>
    <t>Not Applicable.</t>
  </si>
  <si>
    <t xml:space="preserve">Not Applicable. This is a new construction development. </t>
  </si>
  <si>
    <t xml:space="preserve">Applicant agrees to affirmatively furthering Fair Housing. </t>
  </si>
  <si>
    <t xml:space="preserve">Applicant agrees to optimal utilization of resources. </t>
  </si>
  <si>
    <t>https://www.carrollcountymd.gov/government/directory/public-works/carroll-transit-system/</t>
  </si>
  <si>
    <t>TBD (only if Option A)</t>
  </si>
  <si>
    <t>On-call transportation is available to the site.</t>
  </si>
  <si>
    <t xml:space="preserve">Construction sources reflect the amount of funding that will be available at the benchmarks provided by the Equity Investor. </t>
  </si>
  <si>
    <t>Hard Costs are based on recent project of similar construction type.</t>
  </si>
  <si>
    <t xml:space="preserve">The utility allowances are based on DCA issued Utility Allowance Schedule for this development type. </t>
  </si>
  <si>
    <t xml:space="preserve">Real estate taxes are based on an income approach. June 1, 2022, appraisal estimates $51,200 in ad valorem taxes.                                                                                                                        Applicant insures its existing portfolio of properties with a master insurance policy; the average insurance cost for non-costal properties is approximately $380/unit; assumed $425/unit for Arbours at Town Branch to take anticipated increases in insurance premiums into account. </t>
  </si>
  <si>
    <t xml:space="preserve">The proposed project is a rental apartment community with Senior tenancy. </t>
  </si>
  <si>
    <t xml:space="preserve">The contract includes options to extend site control until April 30, 2023. </t>
  </si>
  <si>
    <t xml:space="preserve">This site has adequate frontage for access off Anderson Road. </t>
  </si>
  <si>
    <t xml:space="preserve">All amenities, including those requirded for an HFOP, will be provided as outlined by the DCA amenitites Guidebook.  Mangement is aware of all services and amenites offered at this project. </t>
  </si>
  <si>
    <t xml:space="preserve">The Conceptual Site Plan has been provided in accordance with DCA required amenities. To the best of our knowledge we have listed everything required by DCA.     Satellite map images  have been included with site bounaries.                                                                                                                                                                                                                     </t>
  </si>
  <si>
    <t xml:space="preserve">This project will be built according the all required standards outlined in the QAP and Architectual manual. The development team will ensure the the property is built to DCA's energy standards as well as those required by an EarthCraft Multi-family community.  </t>
  </si>
  <si>
    <t>Applicant commits to accept resident services coordination from an entity certified as a 3rd party Resident Services Coordinator Contractor by CORES or other DCA-approved program.</t>
  </si>
  <si>
    <t>Geotechincal and Enviromental Consultants,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</si>
</sst>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1</v>
    <v>88</v>
    <v>1</v>
  </rv>
</rvData>
</file>

<file path=xl/richData/rdrichvaluestructure.xml><?xml version="1.0" encoding="utf-8"?>
<rvStructures xmlns="http://schemas.microsoft.com/office/spreadsheetml/2017/richdata" count="1">
  <s t="_error">
    <k n="colOffset" t="i"/>
    <k n="errorType" t="i"/>
    <k n="propagated" t="b"/>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Arbours at Town Branch</v>
      </c>
    </row>
    <row r="3" spans="1:6" ht="15" customHeight="1">
      <c r="A3" s="849" t="str">
        <f>CONCATENATE('Part I-Project Identification'!F30,", ", 'Part I-Project Identification'!J30," County")</f>
        <v>Villa Rica, Carroll County</v>
      </c>
    </row>
    <row r="4" spans="1:6" ht="12" customHeight="1">
      <c r="A4" s="1426"/>
    </row>
    <row r="5" spans="1:6" ht="72" customHeight="1">
      <c r="A5" s="3296" t="s">
        <v>6076</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1" zoomScaleNormal="100" workbookViewId="0">
      <selection activeCell="K255" sqref="K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Arbours at Town Branch, Villa Rica, Carroll County</v>
      </c>
      <c r="B2" s="3973"/>
      <c r="C2" s="3973"/>
      <c r="D2" s="3973"/>
      <c r="E2" s="3973"/>
      <c r="F2" s="3973"/>
      <c r="G2" s="3973"/>
      <c r="H2" s="3973"/>
      <c r="I2" s="3973"/>
      <c r="J2" s="3973"/>
      <c r="K2" s="3973"/>
      <c r="L2" s="3973"/>
      <c r="M2" s="3973"/>
      <c r="N2" s="3973"/>
      <c r="O2" s="3973"/>
      <c r="P2" s="3973"/>
      <c r="Q2" s="3974"/>
      <c r="T2" s="1820" t="str">
        <f>A2</f>
        <v>PART FOUR - PROJECTED REVENUES &amp; EXPENSES  -  2022-0 Arbours at Town Branch, Villa Rica, Carroll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977" t="str">
        <f>'Part I-Project Identification'!$O$32</f>
        <v>Atlanta-Sandy Springs-Marietta</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3684</v>
      </c>
      <c r="Y5" s="3861" t="s">
        <v>3685</v>
      </c>
      <c r="Z5" s="3861" t="s">
        <v>3686</v>
      </c>
      <c r="AA5" s="3861" t="s">
        <v>3687</v>
      </c>
      <c r="AB5" s="3861" t="s">
        <v>3688</v>
      </c>
      <c r="AC5" s="3861" t="s">
        <v>3689</v>
      </c>
      <c r="AD5" s="3861" t="s">
        <v>3690</v>
      </c>
      <c r="AE5" s="3861" t="s">
        <v>3691</v>
      </c>
      <c r="AF5" s="3861" t="s">
        <v>3692</v>
      </c>
      <c r="AG5" s="3861" t="s">
        <v>3693</v>
      </c>
      <c r="AH5" s="3861" t="s">
        <v>861</v>
      </c>
      <c r="AI5" s="3861" t="s">
        <v>705</v>
      </c>
      <c r="AJ5" s="3861" t="s">
        <v>706</v>
      </c>
      <c r="AK5" s="3861" t="s">
        <v>707</v>
      </c>
      <c r="AL5" s="3861" t="s">
        <v>708</v>
      </c>
      <c r="AM5" s="3861" t="s">
        <v>862</v>
      </c>
      <c r="AN5" s="3861" t="s">
        <v>2132</v>
      </c>
      <c r="AO5" s="3861" t="s">
        <v>2133</v>
      </c>
      <c r="AP5" s="3861" t="s">
        <v>2134</v>
      </c>
      <c r="AQ5" s="3861" t="s">
        <v>2135</v>
      </c>
      <c r="AR5" s="3861" t="s">
        <v>3695</v>
      </c>
      <c r="AS5" s="3861" t="s">
        <v>3696</v>
      </c>
      <c r="AT5" s="3861" t="s">
        <v>3697</v>
      </c>
      <c r="AU5" s="3861" t="s">
        <v>3698</v>
      </c>
      <c r="AV5" s="3861" t="s">
        <v>3694</v>
      </c>
      <c r="AW5" s="3861" t="s">
        <v>863</v>
      </c>
      <c r="AX5" s="3861" t="s">
        <v>2136</v>
      </c>
      <c r="AY5" s="3861" t="s">
        <v>2137</v>
      </c>
      <c r="AZ5" s="3861" t="s">
        <v>2138</v>
      </c>
      <c r="BA5" s="3861" t="s">
        <v>2139</v>
      </c>
      <c r="BB5" s="3861" t="s">
        <v>3699</v>
      </c>
      <c r="BC5" s="3861" t="s">
        <v>3700</v>
      </c>
      <c r="BD5" s="3861" t="s">
        <v>3701</v>
      </c>
      <c r="BE5" s="3861" t="s">
        <v>3702</v>
      </c>
      <c r="BF5" s="3861" t="s">
        <v>3703</v>
      </c>
      <c r="BG5" s="3861" t="s">
        <v>123</v>
      </c>
      <c r="BH5" s="3861" t="s">
        <v>2140</v>
      </c>
      <c r="BI5" s="3861" t="s">
        <v>2141</v>
      </c>
      <c r="BJ5" s="3861" t="s">
        <v>2142</v>
      </c>
      <c r="BK5" s="3861" t="s">
        <v>1081</v>
      </c>
      <c r="BL5" s="3861" t="s">
        <v>3704</v>
      </c>
      <c r="BM5" s="3861" t="s">
        <v>3705</v>
      </c>
      <c r="BN5" s="3861" t="s">
        <v>3706</v>
      </c>
      <c r="BO5" s="3861" t="s">
        <v>3707</v>
      </c>
      <c r="BP5" s="3861" t="s">
        <v>3708</v>
      </c>
      <c r="BQ5" s="3861" t="s">
        <v>517</v>
      </c>
      <c r="BR5" s="3861" t="s">
        <v>518</v>
      </c>
      <c r="BS5" s="3861" t="s">
        <v>535</v>
      </c>
      <c r="BT5" s="3861" t="s">
        <v>536</v>
      </c>
      <c r="BU5" s="3861" t="s">
        <v>537</v>
      </c>
      <c r="BV5" s="3861" t="s">
        <v>3709</v>
      </c>
      <c r="BW5" s="3861" t="s">
        <v>3710</v>
      </c>
      <c r="BX5" s="3861" t="s">
        <v>3711</v>
      </c>
      <c r="BY5" s="3861" t="s">
        <v>3712</v>
      </c>
      <c r="BZ5" s="3861" t="s">
        <v>3713</v>
      </c>
      <c r="CA5" s="3861" t="s">
        <v>538</v>
      </c>
      <c r="CB5" s="3861" t="s">
        <v>539</v>
      </c>
      <c r="CC5" s="3861" t="s">
        <v>540</v>
      </c>
      <c r="CD5" s="3861" t="s">
        <v>541</v>
      </c>
      <c r="CE5" s="3861" t="s">
        <v>542</v>
      </c>
      <c r="CF5" s="3861" t="s">
        <v>543</v>
      </c>
      <c r="CG5" s="3861" t="s">
        <v>544</v>
      </c>
      <c r="CH5" s="3861" t="s">
        <v>872</v>
      </c>
      <c r="CI5" s="3861" t="s">
        <v>873</v>
      </c>
      <c r="CJ5" s="3861" t="s">
        <v>874</v>
      </c>
      <c r="CK5" s="3861" t="s">
        <v>3719</v>
      </c>
      <c r="CL5" s="3861" t="s">
        <v>3720</v>
      </c>
      <c r="CM5" s="3861" t="s">
        <v>3721</v>
      </c>
      <c r="CN5" s="3861" t="s">
        <v>3722</v>
      </c>
      <c r="CO5" s="3861" t="s">
        <v>3723</v>
      </c>
      <c r="CP5" s="3861" t="s">
        <v>3714</v>
      </c>
      <c r="CQ5" s="3861" t="s">
        <v>3715</v>
      </c>
      <c r="CR5" s="3861" t="s">
        <v>3716</v>
      </c>
      <c r="CS5" s="3861" t="s">
        <v>3717</v>
      </c>
      <c r="CT5" s="3861" t="s">
        <v>3718</v>
      </c>
      <c r="CU5" s="3861" t="s">
        <v>3724</v>
      </c>
      <c r="CV5" s="3861" t="s">
        <v>3725</v>
      </c>
      <c r="CW5" s="3861" t="s">
        <v>3726</v>
      </c>
      <c r="CX5" s="3861" t="s">
        <v>3727</v>
      </c>
      <c r="CY5" s="3861" t="s">
        <v>3728</v>
      </c>
      <c r="CZ5" s="3861" t="s">
        <v>466</v>
      </c>
      <c r="DA5" s="3861" t="s">
        <v>467</v>
      </c>
      <c r="DB5" s="3861" t="s">
        <v>468</v>
      </c>
      <c r="DC5" s="3861" t="s">
        <v>469</v>
      </c>
      <c r="DD5" s="3861" t="s">
        <v>470</v>
      </c>
      <c r="DE5" s="3861" t="s">
        <v>3729</v>
      </c>
      <c r="DF5" s="3861" t="s">
        <v>3730</v>
      </c>
      <c r="DG5" s="3861" t="s">
        <v>3731</v>
      </c>
      <c r="DH5" s="3861" t="s">
        <v>3732</v>
      </c>
      <c r="DI5" s="3861" t="s">
        <v>3733</v>
      </c>
      <c r="DJ5" s="3861" t="s">
        <v>822</v>
      </c>
      <c r="DK5" s="3861" t="s">
        <v>823</v>
      </c>
      <c r="DL5" s="3861" t="s">
        <v>824</v>
      </c>
      <c r="DM5" s="3861" t="s">
        <v>825</v>
      </c>
      <c r="DN5" s="3861" t="s">
        <v>826</v>
      </c>
      <c r="DO5" s="3861" t="s">
        <v>827</v>
      </c>
      <c r="DP5" s="3861" t="s">
        <v>828</v>
      </c>
      <c r="DQ5" s="3861" t="s">
        <v>829</v>
      </c>
      <c r="DR5" s="3861" t="s">
        <v>830</v>
      </c>
      <c r="DS5" s="3861" t="s">
        <v>831</v>
      </c>
      <c r="DT5" s="3861" t="s">
        <v>3734</v>
      </c>
      <c r="DU5" s="3861" t="s">
        <v>3735</v>
      </c>
      <c r="DV5" s="3861" t="s">
        <v>3736</v>
      </c>
      <c r="DW5" s="3861" t="s">
        <v>3737</v>
      </c>
      <c r="DX5" s="3861" t="s">
        <v>3738</v>
      </c>
      <c r="DY5" s="3861" t="s">
        <v>3739</v>
      </c>
      <c r="DZ5" s="3861" t="s">
        <v>3740</v>
      </c>
      <c r="EA5" s="3861" t="s">
        <v>3741</v>
      </c>
      <c r="EB5" s="3861" t="s">
        <v>3742</v>
      </c>
      <c r="EC5" s="3861" t="s">
        <v>3743</v>
      </c>
      <c r="ED5" s="3861" t="s">
        <v>2236</v>
      </c>
      <c r="EE5" s="3861" t="s">
        <v>2237</v>
      </c>
      <c r="EF5" s="3861" t="s">
        <v>2238</v>
      </c>
      <c r="EG5" s="3861" t="s">
        <v>2239</v>
      </c>
      <c r="EH5" s="3861" t="s">
        <v>2240</v>
      </c>
      <c r="EI5" s="3861" t="s">
        <v>3744</v>
      </c>
      <c r="EJ5" s="3861" t="s">
        <v>3745</v>
      </c>
      <c r="EK5" s="3861" t="s">
        <v>3746</v>
      </c>
      <c r="EL5" s="3861" t="s">
        <v>3747</v>
      </c>
      <c r="EM5" s="3861" t="s">
        <v>3748</v>
      </c>
      <c r="EN5" s="3861" t="s">
        <v>3749</v>
      </c>
      <c r="EO5" s="3861" t="s">
        <v>3750</v>
      </c>
      <c r="EP5" s="3861" t="s">
        <v>3751</v>
      </c>
      <c r="EQ5" s="3861" t="s">
        <v>3752</v>
      </c>
      <c r="ER5" s="3861" t="s">
        <v>3753</v>
      </c>
      <c r="ES5" s="3861" t="s">
        <v>111</v>
      </c>
      <c r="ET5" s="3861" t="s">
        <v>1084</v>
      </c>
      <c r="EU5" s="3861" t="s">
        <v>1085</v>
      </c>
      <c r="EV5" s="3861" t="s">
        <v>1140</v>
      </c>
      <c r="EW5" s="3861" t="s">
        <v>1141</v>
      </c>
      <c r="EX5" s="3861" t="s">
        <v>126</v>
      </c>
      <c r="EY5" s="3861" t="s">
        <v>1142</v>
      </c>
      <c r="EZ5" s="3861" t="s">
        <v>1143</v>
      </c>
      <c r="FA5" s="3861" t="s">
        <v>1144</v>
      </c>
      <c r="FB5" s="3861" t="s">
        <v>1145</v>
      </c>
      <c r="FC5" s="3861" t="s">
        <v>3754</v>
      </c>
      <c r="FD5" s="3861" t="s">
        <v>3755</v>
      </c>
      <c r="FE5" s="3861" t="s">
        <v>3756</v>
      </c>
      <c r="FF5" s="3861" t="s">
        <v>3757</v>
      </c>
      <c r="FG5" s="3861" t="s">
        <v>3758</v>
      </c>
      <c r="FH5" s="3861" t="s">
        <v>125</v>
      </c>
      <c r="FI5" s="3861" t="s">
        <v>853</v>
      </c>
      <c r="FJ5" s="3861" t="s">
        <v>854</v>
      </c>
      <c r="FK5" s="3861" t="s">
        <v>855</v>
      </c>
      <c r="FL5" s="3861" t="s">
        <v>856</v>
      </c>
      <c r="FM5" s="3861" t="s">
        <v>3759</v>
      </c>
      <c r="FN5" s="3861" t="s">
        <v>3760</v>
      </c>
      <c r="FO5" s="3861" t="s">
        <v>3761</v>
      </c>
      <c r="FP5" s="3861" t="s">
        <v>3762</v>
      </c>
      <c r="FQ5" s="3861" t="s">
        <v>3763</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6099</v>
      </c>
      <c r="D6" s="1929"/>
      <c r="E6" s="1929"/>
      <c r="F6" s="1929"/>
      <c r="G6" s="1530" t="s">
        <v>194</v>
      </c>
      <c r="H6" s="3975" t="s">
        <v>6101</v>
      </c>
      <c r="I6" s="3976"/>
      <c r="J6" s="3976"/>
      <c r="K6" s="1054" t="s">
        <v>3138</v>
      </c>
      <c r="L6" s="3863" t="str">
        <f>'Part I-Project Identification'!$A$6</f>
        <v>May 12 2022 Core Application</v>
      </c>
      <c r="M6" s="3863"/>
      <c r="N6" s="3863"/>
      <c r="O6" s="2257" t="s">
        <v>6081</v>
      </c>
      <c r="P6" s="1915"/>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6288</v>
      </c>
      <c r="MQ6" s="3861" t="s">
        <v>6289</v>
      </c>
      <c r="MR6" s="3861" t="s">
        <v>6290</v>
      </c>
      <c r="MS6" s="3861" t="s">
        <v>6291</v>
      </c>
      <c r="MT6" s="386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6100</v>
      </c>
      <c r="E7" s="4"/>
      <c r="G7" s="1575" t="s">
        <v>2654</v>
      </c>
      <c r="I7" s="3887" t="s">
        <v>4075</v>
      </c>
      <c r="J7" s="1054" t="s">
        <v>742</v>
      </c>
      <c r="K7" s="1054" t="s">
        <v>3185</v>
      </c>
      <c r="L7" s="3863"/>
      <c r="M7" s="3863"/>
      <c r="N7" s="3863"/>
      <c r="O7" s="2258" t="s">
        <v>6080</v>
      </c>
      <c r="P7" s="1971"/>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3766</v>
      </c>
      <c r="C8" s="1"/>
      <c r="E8" s="1"/>
      <c r="F8" s="1"/>
      <c r="I8" s="3887"/>
      <c r="J8" s="1054" t="s">
        <v>743</v>
      </c>
      <c r="K8" s="1054" t="s">
        <v>3186</v>
      </c>
      <c r="L8" s="850"/>
      <c r="M8" s="850"/>
      <c r="N8" s="2256" t="s">
        <v>6485</v>
      </c>
      <c r="O8" s="3889"/>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3767</v>
      </c>
      <c r="C9" s="1054" t="s">
        <v>165</v>
      </c>
      <c r="D9" s="1054" t="s">
        <v>510</v>
      </c>
      <c r="E9" s="1054" t="s">
        <v>1383</v>
      </c>
      <c r="F9" s="1054" t="s">
        <v>1383</v>
      </c>
      <c r="G9" s="3887" t="s">
        <v>6096</v>
      </c>
      <c r="H9" s="1928" t="s">
        <v>3304</v>
      </c>
      <c r="I9" s="3887"/>
      <c r="J9" s="3883" t="s">
        <v>6090</v>
      </c>
      <c r="K9" s="1054" t="s">
        <v>2218</v>
      </c>
      <c r="L9" s="3892" t="s">
        <v>139</v>
      </c>
      <c r="M9" s="3893"/>
      <c r="N9" s="1054" t="s">
        <v>2185</v>
      </c>
      <c r="O9" s="1054" t="s">
        <v>6488</v>
      </c>
      <c r="P9" s="3885" t="s">
        <v>6252</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6293</v>
      </c>
      <c r="IZ9" s="3861" t="s">
        <v>6293</v>
      </c>
      <c r="JA9" s="3861" t="s">
        <v>6293</v>
      </c>
      <c r="JB9" s="3861" t="s">
        <v>6293</v>
      </c>
      <c r="JC9" s="3861" t="s">
        <v>6293</v>
      </c>
      <c r="JD9" s="3861" t="s">
        <v>6294</v>
      </c>
      <c r="JE9" s="3861" t="s">
        <v>6294</v>
      </c>
      <c r="JF9" s="3861" t="s">
        <v>6294</v>
      </c>
      <c r="JG9" s="3861" t="s">
        <v>6294</v>
      </c>
      <c r="JH9" s="3861" t="s">
        <v>6294</v>
      </c>
      <c r="JI9" s="3861" t="s">
        <v>6296</v>
      </c>
      <c r="JJ9" s="3861" t="s">
        <v>6296</v>
      </c>
      <c r="JK9" s="3861" t="s">
        <v>6296</v>
      </c>
      <c r="JL9" s="3861" t="s">
        <v>6296</v>
      </c>
      <c r="JM9" s="3861" t="s">
        <v>6296</v>
      </c>
      <c r="JN9" s="3861" t="s">
        <v>6297</v>
      </c>
      <c r="JO9" s="3861" t="s">
        <v>6297</v>
      </c>
      <c r="JP9" s="3861" t="s">
        <v>6297</v>
      </c>
      <c r="JQ9" s="3861" t="s">
        <v>6297</v>
      </c>
      <c r="JR9" s="3861" t="s">
        <v>6297</v>
      </c>
      <c r="JS9" s="3861" t="s">
        <v>6298</v>
      </c>
      <c r="JT9" s="3861" t="s">
        <v>6298</v>
      </c>
      <c r="JU9" s="3861" t="s">
        <v>6298</v>
      </c>
      <c r="JV9" s="3861" t="s">
        <v>6298</v>
      </c>
      <c r="JW9" s="3861" t="s">
        <v>6298</v>
      </c>
      <c r="JX9" s="3861" t="s">
        <v>6489</v>
      </c>
      <c r="JY9" s="3861" t="s">
        <v>6489</v>
      </c>
      <c r="JZ9" s="3861" t="s">
        <v>6489</v>
      </c>
      <c r="KA9" s="3861" t="s">
        <v>6489</v>
      </c>
      <c r="KB9" s="3861" t="s">
        <v>6489</v>
      </c>
      <c r="KC9" s="3861" t="s">
        <v>6658</v>
      </c>
      <c r="KD9" s="3861" t="s">
        <v>6658</v>
      </c>
      <c r="KE9" s="3861" t="s">
        <v>6658</v>
      </c>
      <c r="KF9" s="3861" t="s">
        <v>6658</v>
      </c>
      <c r="KG9" s="3861" t="s">
        <v>6658</v>
      </c>
      <c r="KH9" s="3861" t="s">
        <v>6659</v>
      </c>
      <c r="KI9" s="3861" t="s">
        <v>6659</v>
      </c>
      <c r="KJ9" s="3861" t="s">
        <v>6659</v>
      </c>
      <c r="KK9" s="3861" t="s">
        <v>6659</v>
      </c>
      <c r="KL9" s="3861" t="s">
        <v>6659</v>
      </c>
      <c r="KM9" s="3861" t="s">
        <v>6300</v>
      </c>
      <c r="KN9" s="3861" t="s">
        <v>6300</v>
      </c>
      <c r="KO9" s="3861" t="s">
        <v>6300</v>
      </c>
      <c r="KP9" s="3861" t="s">
        <v>6300</v>
      </c>
      <c r="KQ9" s="3861" t="s">
        <v>6300</v>
      </c>
      <c r="KR9" s="3861" t="s">
        <v>6490</v>
      </c>
      <c r="KS9" s="3861" t="s">
        <v>6490</v>
      </c>
      <c r="KT9" s="3861" t="s">
        <v>6490</v>
      </c>
      <c r="KU9" s="3861" t="s">
        <v>6490</v>
      </c>
      <c r="KV9" s="3861" t="s">
        <v>6490</v>
      </c>
      <c r="KW9" s="3861" t="s">
        <v>6660</v>
      </c>
      <c r="KX9" s="3861" t="s">
        <v>6660</v>
      </c>
      <c r="KY9" s="3861" t="s">
        <v>6660</v>
      </c>
      <c r="KZ9" s="3861" t="s">
        <v>6660</v>
      </c>
      <c r="LA9" s="3861" t="s">
        <v>6660</v>
      </c>
      <c r="LB9" s="3861" t="s">
        <v>6661</v>
      </c>
      <c r="LC9" s="3861" t="s">
        <v>6661</v>
      </c>
      <c r="LD9" s="3861" t="s">
        <v>6661</v>
      </c>
      <c r="LE9" s="3861" t="s">
        <v>6661</v>
      </c>
      <c r="LF9" s="3861" t="s">
        <v>6661</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3936</v>
      </c>
      <c r="C10" s="1054" t="s">
        <v>164</v>
      </c>
      <c r="D10" s="1054" t="s">
        <v>166</v>
      </c>
      <c r="E10" s="1054" t="s">
        <v>1384</v>
      </c>
      <c r="F10" s="1054" t="s">
        <v>1204</v>
      </c>
      <c r="G10" s="3888"/>
      <c r="H10" s="1054" t="s">
        <v>6097</v>
      </c>
      <c r="I10" s="3888"/>
      <c r="J10" s="3884"/>
      <c r="K10" s="470" t="s">
        <v>334</v>
      </c>
      <c r="L10" s="1054" t="s">
        <v>1433</v>
      </c>
      <c r="M10" s="1054" t="s">
        <v>504</v>
      </c>
      <c r="N10" s="1054" t="s">
        <v>1383</v>
      </c>
      <c r="O10" s="1054" t="s">
        <v>6502</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40</v>
      </c>
      <c r="C18" s="1388">
        <v>1</v>
      </c>
      <c r="D18" s="2304">
        <v>1</v>
      </c>
      <c r="E18" s="1389">
        <v>2</v>
      </c>
      <c r="F18" s="1389">
        <v>888</v>
      </c>
      <c r="G18" s="1389">
        <v>723</v>
      </c>
      <c r="H18" s="1389">
        <f>615+108</f>
        <v>723</v>
      </c>
      <c r="I18" s="1389">
        <v>0</v>
      </c>
      <c r="J18" s="1405">
        <f>IF(C18="",0,HLOOKUP(C18,'Part IV-Utility Allowances'!$I$11:$M$22,12))</f>
        <v>108</v>
      </c>
      <c r="K18" s="1406"/>
      <c r="L18" s="1407">
        <f t="shared" si="1"/>
        <v>615</v>
      </c>
      <c r="M18" s="1407">
        <f t="shared" si="2"/>
        <v>1230</v>
      </c>
      <c r="N18" s="1408" t="s">
        <v>2654</v>
      </c>
      <c r="O18" s="2224" t="s">
        <v>6944</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f t="shared" si="24"/>
        <v>2</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f t="shared" si="139"/>
        <v>1776</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2</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1</v>
      </c>
      <c r="D19" s="2302">
        <v>1</v>
      </c>
      <c r="E19" s="168">
        <v>3</v>
      </c>
      <c r="F19" s="168">
        <v>888</v>
      </c>
      <c r="G19" s="168">
        <v>904</v>
      </c>
      <c r="H19" s="168">
        <f>796+108</f>
        <v>904</v>
      </c>
      <c r="I19" s="168">
        <v>0</v>
      </c>
      <c r="J19" s="959">
        <f>IF(C19="",0,HLOOKUP(C19,'Part IV-Utility Allowances'!$I$11:$M$22,12))</f>
        <v>108</v>
      </c>
      <c r="K19" s="826"/>
      <c r="L19" s="601">
        <f t="shared" si="1"/>
        <v>796</v>
      </c>
      <c r="M19" s="601">
        <f t="shared" si="2"/>
        <v>2388</v>
      </c>
      <c r="N19" s="890" t="s">
        <v>2654</v>
      </c>
      <c r="O19" s="2222" t="s">
        <v>6944</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f t="shared" si="19"/>
        <v>3</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f t="shared" si="134"/>
        <v>2664</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3</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3</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3</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3</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60</v>
      </c>
      <c r="C20" s="167">
        <v>1</v>
      </c>
      <c r="D20" s="2302">
        <v>1</v>
      </c>
      <c r="E20" s="168">
        <v>17</v>
      </c>
      <c r="F20" s="168">
        <v>888</v>
      </c>
      <c r="G20" s="168">
        <v>1085</v>
      </c>
      <c r="H20" s="168">
        <f>900+108</f>
        <v>1008</v>
      </c>
      <c r="I20" s="168">
        <v>0</v>
      </c>
      <c r="J20" s="959">
        <f>IF(C20="",0,HLOOKUP(C20,'Part IV-Utility Allowances'!$I$11:$M$22,12))</f>
        <v>108</v>
      </c>
      <c r="K20" s="826"/>
      <c r="L20" s="601">
        <f t="shared" si="1"/>
        <v>900</v>
      </c>
      <c r="M20" s="601">
        <f t="shared" si="2"/>
        <v>15300</v>
      </c>
      <c r="N20" s="890" t="s">
        <v>2654</v>
      </c>
      <c r="O20" s="2222" t="s">
        <v>6944</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17</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15096</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17</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17</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f t="shared" si="264"/>
        <v>17</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17</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70</v>
      </c>
      <c r="C21" s="167">
        <v>1</v>
      </c>
      <c r="D21" s="2302">
        <v>1</v>
      </c>
      <c r="E21" s="168">
        <v>2</v>
      </c>
      <c r="F21" s="168">
        <v>888</v>
      </c>
      <c r="G21" s="168">
        <v>1266</v>
      </c>
      <c r="H21" s="168">
        <f>1100+108</f>
        <v>1208</v>
      </c>
      <c r="I21" s="168">
        <v>0</v>
      </c>
      <c r="J21" s="959">
        <f>IF(C21="",0,HLOOKUP(C21,'Part IV-Utility Allowances'!$I$11:$M$22,12))</f>
        <v>108</v>
      </c>
      <c r="K21" s="826"/>
      <c r="L21" s="601">
        <f t="shared" si="1"/>
        <v>1100</v>
      </c>
      <c r="M21" s="601">
        <f t="shared" si="2"/>
        <v>2200</v>
      </c>
      <c r="N21" s="890" t="s">
        <v>2654</v>
      </c>
      <c r="O21" s="2222" t="s">
        <v>6944</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f t="shared" si="9"/>
        <v>2</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f t="shared" si="124"/>
        <v>1776</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2</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2</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f t="shared" si="264"/>
        <v>2</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2</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40</v>
      </c>
      <c r="C22" s="167">
        <v>2</v>
      </c>
      <c r="D22" s="2302">
        <v>2</v>
      </c>
      <c r="E22" s="168">
        <v>3</v>
      </c>
      <c r="F22" s="168">
        <v>1236</v>
      </c>
      <c r="G22" s="168">
        <v>868</v>
      </c>
      <c r="H22" s="168">
        <f>132+736</f>
        <v>868</v>
      </c>
      <c r="I22" s="168">
        <v>0</v>
      </c>
      <c r="J22" s="959">
        <f>IF(C22="",0,HLOOKUP(C22,'Part IV-Utility Allowances'!$I$11:$M$22,12))</f>
        <v>132</v>
      </c>
      <c r="K22" s="826"/>
      <c r="L22" s="601">
        <f t="shared" si="1"/>
        <v>736</v>
      </c>
      <c r="M22" s="601">
        <f t="shared" si="2"/>
        <v>2208</v>
      </c>
      <c r="N22" s="890" t="s">
        <v>2654</v>
      </c>
      <c r="O22" s="2222" t="s">
        <v>6944</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f t="shared" si="25"/>
        <v>3</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f t="shared" si="140"/>
        <v>3708</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3</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3</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3</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50</v>
      </c>
      <c r="C23" s="167">
        <v>2</v>
      </c>
      <c r="D23" s="2302">
        <v>2</v>
      </c>
      <c r="E23" s="168">
        <v>5</v>
      </c>
      <c r="F23" s="168">
        <v>1236</v>
      </c>
      <c r="G23" s="168">
        <v>1085</v>
      </c>
      <c r="H23" s="168">
        <f>132+953</f>
        <v>1085</v>
      </c>
      <c r="I23" s="168">
        <v>0</v>
      </c>
      <c r="J23" s="959">
        <f>IF(C23="",0,HLOOKUP(C23,'Part IV-Utility Allowances'!$I$11:$M$22,12))</f>
        <v>132</v>
      </c>
      <c r="K23" s="826"/>
      <c r="L23" s="601">
        <f t="shared" si="1"/>
        <v>953</v>
      </c>
      <c r="M23" s="601">
        <f t="shared" si="2"/>
        <v>4765</v>
      </c>
      <c r="N23" s="890" t="s">
        <v>2654</v>
      </c>
      <c r="O23" s="2222" t="s">
        <v>6944</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f t="shared" si="20"/>
        <v>5</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f t="shared" si="135"/>
        <v>6180</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5</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5</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f t="shared" si="265"/>
        <v>5</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5</v>
      </c>
      <c r="MN23" s="2299">
        <f t="shared" si="336"/>
        <v>0</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v>60</v>
      </c>
      <c r="C24" s="167">
        <v>2</v>
      </c>
      <c r="D24" s="2302">
        <v>2</v>
      </c>
      <c r="E24" s="168">
        <v>29</v>
      </c>
      <c r="F24" s="168">
        <v>1236</v>
      </c>
      <c r="G24" s="168">
        <v>1302</v>
      </c>
      <c r="H24" s="168">
        <f>132+1100</f>
        <v>1232</v>
      </c>
      <c r="I24" s="168">
        <v>0</v>
      </c>
      <c r="J24" s="959">
        <f>IF(C24="",0,HLOOKUP(C24,'Part IV-Utility Allowances'!$I$11:$M$22,12))</f>
        <v>132</v>
      </c>
      <c r="K24" s="826"/>
      <c r="L24" s="601">
        <f t="shared" si="1"/>
        <v>1100</v>
      </c>
      <c r="M24" s="601">
        <f t="shared" si="2"/>
        <v>31900</v>
      </c>
      <c r="N24" s="890" t="s">
        <v>2654</v>
      </c>
      <c r="O24" s="2222" t="s">
        <v>6944</v>
      </c>
      <c r="P24" s="890" t="s">
        <v>2121</v>
      </c>
      <c r="Q24" s="169" t="s">
        <v>2654</v>
      </c>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f t="shared" si="15"/>
        <v>29</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f t="shared" si="130"/>
        <v>35844</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f t="shared" si="170"/>
        <v>29</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f t="shared" si="215"/>
        <v>29</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f t="shared" si="265"/>
        <v>29</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29</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v>70</v>
      </c>
      <c r="C25" s="167">
        <v>2</v>
      </c>
      <c r="D25" s="2302">
        <v>2</v>
      </c>
      <c r="E25" s="168">
        <v>3</v>
      </c>
      <c r="F25" s="168">
        <v>1236</v>
      </c>
      <c r="G25" s="168">
        <v>1519</v>
      </c>
      <c r="H25" s="168">
        <f>132+1300</f>
        <v>1432</v>
      </c>
      <c r="I25" s="168">
        <v>0</v>
      </c>
      <c r="J25" s="959">
        <f>IF(C25="",0,HLOOKUP(C25,'Part IV-Utility Allowances'!$I$11:$M$22,12))</f>
        <v>132</v>
      </c>
      <c r="K25" s="826"/>
      <c r="L25" s="601">
        <f t="shared" si="1"/>
        <v>1300</v>
      </c>
      <c r="M25" s="601">
        <f t="shared" si="2"/>
        <v>3900</v>
      </c>
      <c r="N25" s="890" t="s">
        <v>2654</v>
      </c>
      <c r="O25" s="2222" t="s">
        <v>6944</v>
      </c>
      <c r="P25" s="890" t="s">
        <v>2121</v>
      </c>
      <c r="Q25" s="169" t="s">
        <v>2654</v>
      </c>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f t="shared" si="10"/>
        <v>3</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3708</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3</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3</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f t="shared" si="265"/>
        <v>3</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3</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13" t="s">
        <v>3771</v>
      </c>
      <c r="C49" s="3914"/>
      <c r="D49" s="139" t="s">
        <v>955</v>
      </c>
      <c r="E49" s="1418">
        <f>SUM(E11:E48)</f>
        <v>64</v>
      </c>
      <c r="F49" s="1416">
        <f>(E11*F11+E12*F12+E13*F13+E14*F14+E15*F15+E16*F16+E17*F17+E18*F18+E19*F19+E20*F20+E21*F21+E22*F22+E23*F23+E24*F24+E25*F25+E26*F26+E27*F27+E28*F28+E29*F29+E30*F30+E31*F31+E32*F32+E33*F33+E34*F34+E35*F35+E36*F36+E37*F37+E38*F38+E39*F39+E40*F40+E41*F41+E42*F42+E43*F43+E44*F44+E45*F45+E46*F46+E47*F47+E48*F48)</f>
        <v>70752</v>
      </c>
      <c r="H49" s="3960" t="s">
        <v>3768</v>
      </c>
      <c r="I49" s="1419" t="s">
        <v>3769</v>
      </c>
      <c r="J49" s="1420" t="str">
        <f>IF(P67=0,"",IF(SUM(P58:P62)/P67&gt;=0.4,"Pass","Fail"))</f>
        <v>Pass</v>
      </c>
      <c r="K49" s="585"/>
      <c r="L49" s="894" t="s">
        <v>1226</v>
      </c>
      <c r="M49" s="124">
        <f>SUM(M11:M48)</f>
        <v>63891</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2</v>
      </c>
      <c r="AE49" s="2300">
        <f t="shared" si="339"/>
        <v>3</v>
      </c>
      <c r="AF49" s="2300">
        <f t="shared" si="339"/>
        <v>0</v>
      </c>
      <c r="AG49" s="2300">
        <f t="shared" si="339"/>
        <v>0</v>
      </c>
      <c r="AH49" s="2300">
        <f t="shared" si="339"/>
        <v>0</v>
      </c>
      <c r="AI49" s="2300">
        <f t="shared" si="339"/>
        <v>17</v>
      </c>
      <c r="AJ49" s="2300">
        <f t="shared" si="339"/>
        <v>29</v>
      </c>
      <c r="AK49" s="2300">
        <f t="shared" si="339"/>
        <v>0</v>
      </c>
      <c r="AL49" s="2300">
        <f t="shared" si="339"/>
        <v>0</v>
      </c>
      <c r="AM49" s="2300">
        <f>SUM(AM11:AM48)</f>
        <v>0</v>
      </c>
      <c r="AN49" s="2300">
        <f>SUM(AN11:AN48)</f>
        <v>3</v>
      </c>
      <c r="AO49" s="2300">
        <f>SUM(AO11:AO48)</f>
        <v>5</v>
      </c>
      <c r="AP49" s="2300">
        <f>SUM(AP11:AP48)</f>
        <v>0</v>
      </c>
      <c r="AQ49" s="2300">
        <f>SUM(AQ11:AQ48)</f>
        <v>0</v>
      </c>
      <c r="AR49" s="2300">
        <f t="shared" si="338"/>
        <v>0</v>
      </c>
      <c r="AS49" s="2300">
        <f t="shared" si="338"/>
        <v>2</v>
      </c>
      <c r="AT49" s="2300">
        <f t="shared" si="338"/>
        <v>3</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1776</v>
      </c>
      <c r="EP49" s="2300">
        <f t="shared" si="342"/>
        <v>3708</v>
      </c>
      <c r="EQ49" s="2300">
        <f t="shared" si="342"/>
        <v>0</v>
      </c>
      <c r="ER49" s="2300">
        <f t="shared" si="342"/>
        <v>0</v>
      </c>
      <c r="ES49" s="2300">
        <f t="shared" si="342"/>
        <v>0</v>
      </c>
      <c r="ET49" s="2300">
        <f t="shared" si="342"/>
        <v>15096</v>
      </c>
      <c r="EU49" s="2300">
        <f t="shared" si="342"/>
        <v>35844</v>
      </c>
      <c r="EV49" s="2300">
        <f t="shared" si="342"/>
        <v>0</v>
      </c>
      <c r="EW49" s="2300">
        <f t="shared" si="342"/>
        <v>0</v>
      </c>
      <c r="EX49" s="2300">
        <f t="shared" si="338"/>
        <v>0</v>
      </c>
      <c r="EY49" s="2300">
        <f t="shared" si="338"/>
        <v>2664</v>
      </c>
      <c r="EZ49" s="2300">
        <f t="shared" si="338"/>
        <v>6180</v>
      </c>
      <c r="FA49" s="2300">
        <f t="shared" si="338"/>
        <v>0</v>
      </c>
      <c r="FB49" s="2300">
        <f t="shared" ref="FB49:HW49" si="343">SUM(FB11:FB48)</f>
        <v>0</v>
      </c>
      <c r="FC49" s="2300">
        <f>SUM(FC11:FC48)</f>
        <v>0</v>
      </c>
      <c r="FD49" s="2300">
        <f>SUM(FD11:FD48)</f>
        <v>1776</v>
      </c>
      <c r="FE49" s="2300">
        <f>SUM(FE11:FE48)</f>
        <v>3708</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24</v>
      </c>
      <c r="GI49" s="2300">
        <f t="shared" si="343"/>
        <v>40</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24</v>
      </c>
      <c r="IB49" s="2300">
        <f t="shared" si="344"/>
        <v>40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24</v>
      </c>
      <c r="JZ49" s="2300">
        <f t="shared" si="345"/>
        <v>40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24</v>
      </c>
      <c r="MM49" s="2300">
        <f t="shared" si="350"/>
        <v>40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57.96875</v>
      </c>
      <c r="C50" s="3896"/>
      <c r="D50" s="1383" t="s">
        <v>3678</v>
      </c>
      <c r="E50" s="1415">
        <f>SUM(E18:E48)</f>
        <v>64</v>
      </c>
      <c r="F50" s="1417">
        <f>(E18*F18+E19*F19+E20*F20+E21*F21+E22*F22+E23*F23+E24*F24+E25*F25+E26*F26+E27*F27+E28*F28+E29*F29+E30*F30+E31*F31+E32*F32+E33*F33+E34*F34+E35*F35+E36*F36+E37*F37+E38*F38+E39*F39+E40*F40+E41*F41+E42*F42+E43*F43+E44*F44+E45*F45+E46*F46+E47*F47+E48*F48)</f>
        <v>70752</v>
      </c>
      <c r="H50" s="3961"/>
      <c r="I50" s="1421" t="s">
        <v>3770</v>
      </c>
      <c r="J50" s="1422" t="str">
        <f>IF(P67=0,"",IF(SUM(P59:P62)/P67&gt;=0.2,"Pass","Fail"))</f>
        <v>Pass</v>
      </c>
      <c r="K50" s="585"/>
      <c r="L50" s="139" t="s">
        <v>757</v>
      </c>
      <c r="M50" s="124">
        <f>M49*12</f>
        <v>766692</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6651</v>
      </c>
      <c r="O53" s="3901" t="s">
        <v>3817</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962" t="s">
        <v>6930</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4080</v>
      </c>
      <c r="B56" s="397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3680</v>
      </c>
      <c r="I57" s="36"/>
      <c r="J57" s="83"/>
      <c r="K57" s="1432">
        <f>AC49</f>
        <v>0</v>
      </c>
      <c r="L57" s="1433">
        <f>AD49</f>
        <v>2</v>
      </c>
      <c r="M57" s="1433">
        <f>AE49</f>
        <v>3</v>
      </c>
      <c r="N57" s="1433">
        <f>AF49</f>
        <v>0</v>
      </c>
      <c r="O57" s="1434">
        <f>AG49</f>
        <v>0</v>
      </c>
      <c r="P57" s="946">
        <f t="shared" si="351"/>
        <v>5</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17</v>
      </c>
      <c r="M58" s="1433">
        <f>AJ49</f>
        <v>29</v>
      </c>
      <c r="N58" s="1433">
        <f>AK49</f>
        <v>0</v>
      </c>
      <c r="O58" s="1434">
        <f>AL49</f>
        <v>0</v>
      </c>
      <c r="P58" s="946">
        <f t="shared" si="351"/>
        <v>46</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3</v>
      </c>
      <c r="M59" s="1454">
        <f>AO49</f>
        <v>5</v>
      </c>
      <c r="N59" s="1454">
        <f>AP49</f>
        <v>0</v>
      </c>
      <c r="O59" s="1455">
        <f>AQ49</f>
        <v>0</v>
      </c>
      <c r="P59" s="606">
        <f t="shared" si="351"/>
        <v>8</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3681</v>
      </c>
      <c r="I60" s="52"/>
      <c r="J60" s="1169"/>
      <c r="K60" s="1432">
        <f>AR49</f>
        <v>0</v>
      </c>
      <c r="L60" s="1433">
        <f>AS49</f>
        <v>2</v>
      </c>
      <c r="M60" s="1433">
        <f>AT49</f>
        <v>3</v>
      </c>
      <c r="N60" s="1433">
        <f>AU49</f>
        <v>0</v>
      </c>
      <c r="O60" s="1434">
        <f>AV49</f>
        <v>0</v>
      </c>
      <c r="P60" s="946">
        <f t="shared" si="351"/>
        <v>5</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3682</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3683</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3765</v>
      </c>
      <c r="D63" s="1"/>
      <c r="E63" s="1"/>
      <c r="F63" s="1"/>
      <c r="G63" s="83"/>
      <c r="H63" s="90"/>
      <c r="I63" s="55"/>
      <c r="J63" s="83"/>
      <c r="K63" s="1397">
        <f>SUM(K56:K62)</f>
        <v>0</v>
      </c>
      <c r="L63" s="1397">
        <f>SUM(L56:L62)</f>
        <v>24</v>
      </c>
      <c r="M63" s="1397">
        <f>SUM(M56:M62)</f>
        <v>40</v>
      </c>
      <c r="N63" s="1397">
        <f>SUM(N56:N62)</f>
        <v>0</v>
      </c>
      <c r="O63" s="1397">
        <f>SUM(O56:O62)</f>
        <v>0</v>
      </c>
      <c r="P63" s="1397">
        <f t="shared" si="351"/>
        <v>64</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0</v>
      </c>
      <c r="M64" s="947">
        <f>BI49</f>
        <v>0</v>
      </c>
      <c r="N64" s="947">
        <f>BJ49</f>
        <v>0</v>
      </c>
      <c r="O64" s="947">
        <f>BK49</f>
        <v>0</v>
      </c>
      <c r="P64" s="947">
        <f t="shared" si="351"/>
        <v>0</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24</v>
      </c>
      <c r="M65" s="1404">
        <f>SUM(M63:M64)</f>
        <v>40</v>
      </c>
      <c r="N65" s="1404">
        <f>SUM(N63:N64)</f>
        <v>0</v>
      </c>
      <c r="O65" s="1404">
        <f>SUM(O63:O64)</f>
        <v>0</v>
      </c>
      <c r="P65" s="1404">
        <f t="shared" si="351"/>
        <v>64</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24</v>
      </c>
      <c r="M67" s="1396">
        <f>SUM(M65:M66)</f>
        <v>40</v>
      </c>
      <c r="N67" s="1396">
        <f>SUM(N65:N66)</f>
        <v>0</v>
      </c>
      <c r="O67" s="1396">
        <f>SUM(O65:O66)</f>
        <v>0</v>
      </c>
      <c r="P67" s="1396">
        <f t="shared" si="351"/>
        <v>64</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3774</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4073</v>
      </c>
      <c r="E73" s="3862"/>
      <c r="F73" s="3862"/>
      <c r="G73" s="8"/>
      <c r="H73" s="1836" t="s">
        <v>3680</v>
      </c>
      <c r="I73" s="1790"/>
      <c r="J73" s="1"/>
      <c r="K73" s="1830" t="str">
        <f t="shared" ref="K73:P73" si="354">IF(OR(K57=0,K67=0),"",K57/K67)</f>
        <v/>
      </c>
      <c r="L73" s="1831">
        <f t="shared" si="354"/>
        <v>8.3333333333333329E-2</v>
      </c>
      <c r="M73" s="1831">
        <f t="shared" si="354"/>
        <v>7.4999999999999997E-2</v>
      </c>
      <c r="N73" s="1831" t="str">
        <f t="shared" si="354"/>
        <v/>
      </c>
      <c r="O73" s="1831" t="str">
        <f t="shared" si="354"/>
        <v/>
      </c>
      <c r="P73" s="1832">
        <f t="shared" si="354"/>
        <v>7.8125E-2</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6492</v>
      </c>
      <c r="I74" s="1790"/>
      <c r="J74" s="1"/>
      <c r="K74" s="1921" t="str">
        <f>IF(OR(K57=0,P73="",K67=0),"",P73*K67)</f>
        <v/>
      </c>
      <c r="L74" s="1921">
        <f>IF(OR(L57=0,P73="",L67=0),"",P73*L67)</f>
        <v>1.875</v>
      </c>
      <c r="M74" s="1921">
        <f>IF(OR(M57=0,P73="",M67=0),"",P73*M67)</f>
        <v>3.125</v>
      </c>
      <c r="N74" s="1921" t="str">
        <f>IF(OR(N57=0,P73="",N67=0),"",P73*N67)</f>
        <v/>
      </c>
      <c r="O74" s="1921" t="str">
        <f>IF(OR(O57=0,P73="",O67=0),"",P73*O67)</f>
        <v/>
      </c>
      <c r="P74" s="1922">
        <f>IF(OR(P73="",P67=0),"",P73*P67)</f>
        <v>5</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6493</v>
      </c>
      <c r="I75" s="1792"/>
      <c r="J75" s="1"/>
      <c r="K75" s="1923" t="str">
        <f t="shared" ref="K75:P75" si="355">IF(OR(K74="",K57=0),"", K57-K74)</f>
        <v/>
      </c>
      <c r="L75" s="1923">
        <f t="shared" si="355"/>
        <v>0.125</v>
      </c>
      <c r="M75" s="1923">
        <f t="shared" si="355"/>
        <v>-0.125</v>
      </c>
      <c r="N75" s="1923" t="str">
        <f t="shared" si="355"/>
        <v/>
      </c>
      <c r="O75" s="1923" t="str">
        <f t="shared" si="355"/>
        <v/>
      </c>
      <c r="P75" s="1923">
        <f t="shared" si="355"/>
        <v>0</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2"/>
      <c r="E76" s="3862"/>
      <c r="F76" s="3862"/>
      <c r="G76" s="8"/>
      <c r="H76" s="1836" t="s">
        <v>1082</v>
      </c>
      <c r="I76" s="1790"/>
      <c r="J76" s="1"/>
      <c r="K76" s="1830" t="str">
        <f t="shared" ref="K76:P76" si="356">IF(OR(K58=0,K67=0),"",K58/K67)</f>
        <v/>
      </c>
      <c r="L76" s="1831">
        <f t="shared" si="356"/>
        <v>0.70833333333333337</v>
      </c>
      <c r="M76" s="1831">
        <f t="shared" si="356"/>
        <v>0.72499999999999998</v>
      </c>
      <c r="N76" s="1831" t="str">
        <f t="shared" si="356"/>
        <v/>
      </c>
      <c r="O76" s="1831" t="str">
        <f t="shared" si="356"/>
        <v/>
      </c>
      <c r="P76" s="1832">
        <f t="shared" si="356"/>
        <v>0.71875</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6492</v>
      </c>
      <c r="I77" s="1790"/>
      <c r="J77" s="1"/>
      <c r="K77" s="1921" t="str">
        <f>IF(OR(K58=0,P76="",K67=0),"",P76*K67)</f>
        <v/>
      </c>
      <c r="L77" s="1921">
        <f>IF(OR(L58=0,P76="",L67=0),"",P76*L67)</f>
        <v>17.25</v>
      </c>
      <c r="M77" s="1921">
        <f>IF(OR(M58=0,P76="",M67=0),"",P76*M67)</f>
        <v>28.75</v>
      </c>
      <c r="N77" s="1921" t="str">
        <f>IF(OR(N58=0,P76="",N67=0),"",P76*N67)</f>
        <v/>
      </c>
      <c r="O77" s="1921" t="str">
        <f>IF(OR(O58=0,P76="",O67=0),"",P76*O67)</f>
        <v/>
      </c>
      <c r="P77" s="1922">
        <f>IF(OR(P76="",P67=0),"",P76*P67)</f>
        <v>46</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6493</v>
      </c>
      <c r="I78" s="1792"/>
      <c r="J78" s="1"/>
      <c r="K78" s="1923" t="str">
        <f t="shared" ref="K78:P78" si="357">IF(OR(K77="",K58=0),"", K58-K77)</f>
        <v/>
      </c>
      <c r="L78" s="1923">
        <f t="shared" si="357"/>
        <v>-0.25</v>
      </c>
      <c r="M78" s="1923">
        <f t="shared" si="357"/>
        <v>0.25</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0.125</v>
      </c>
      <c r="M79" s="1831">
        <f t="shared" si="358"/>
        <v>0.125</v>
      </c>
      <c r="N79" s="1831" t="str">
        <f t="shared" si="358"/>
        <v/>
      </c>
      <c r="O79" s="1831" t="str">
        <f t="shared" si="358"/>
        <v/>
      </c>
      <c r="P79" s="1832">
        <f t="shared" si="358"/>
        <v>0.125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3</v>
      </c>
      <c r="M80" s="1921">
        <f>IF(OR(M59=0,P79="",M67=0),"",P79*M67)</f>
        <v>5</v>
      </c>
      <c r="N80" s="1921" t="str">
        <f>IF(OR(N59=0,P79="",N67=0),"",P79*N67)</f>
        <v/>
      </c>
      <c r="O80" s="1921" t="str">
        <f>IF(OR(O59=0,P79="",O67=0),"",P79*O67)</f>
        <v/>
      </c>
      <c r="P80" s="1922">
        <f>IF(OR(P79="",P67=0),"",P79*P67)</f>
        <v>8</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v>
      </c>
      <c r="M81" s="1923">
        <f t="shared" si="359"/>
        <v>0</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f t="shared" si="360"/>
        <v>8.3333333333333329E-2</v>
      </c>
      <c r="M82" s="1831">
        <f t="shared" si="360"/>
        <v>7.4999999999999997E-2</v>
      </c>
      <c r="N82" s="1831" t="str">
        <f t="shared" si="360"/>
        <v/>
      </c>
      <c r="O82" s="1831" t="str">
        <f t="shared" si="360"/>
        <v/>
      </c>
      <c r="P82" s="1832">
        <f t="shared" si="360"/>
        <v>7.8125E-2</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f>IF(OR(L60=0,P82="",L67=0),"",P82*L67)</f>
        <v>1.875</v>
      </c>
      <c r="M83" s="1921">
        <f>IF(OR(M60=0,P82="",M67=0),"",P82*M67)</f>
        <v>3.125</v>
      </c>
      <c r="N83" s="1921" t="str">
        <f>IF(OR(N60=0,P82="",N67=0),"",P82*N67)</f>
        <v/>
      </c>
      <c r="O83" s="1921" t="str">
        <f>IF(OR(O60=0,P82="",O67=0),"",P82*O67)</f>
        <v/>
      </c>
      <c r="P83" s="1922">
        <f>IF(OR(P82="",P67=0),"",P82*P67)</f>
        <v>5</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f t="shared" si="361"/>
        <v>0.125</v>
      </c>
      <c r="M84" s="1923">
        <f t="shared" si="361"/>
        <v>-0.125</v>
      </c>
      <c r="N84" s="1923" t="str">
        <f t="shared" si="361"/>
        <v/>
      </c>
      <c r="O84" s="1923" t="str">
        <f t="shared" si="361"/>
        <v/>
      </c>
      <c r="P84" s="1923">
        <f t="shared" si="361"/>
        <v>0</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97" t="str">
        <f>$O$53</f>
        <v>Income Averaging</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24</v>
      </c>
      <c r="M113" s="1430">
        <f>GI49</f>
        <v>40</v>
      </c>
      <c r="N113" s="1430">
        <f>GJ49</f>
        <v>0</v>
      </c>
      <c r="O113" s="1431">
        <f>GK49</f>
        <v>0</v>
      </c>
      <c r="P113" s="950">
        <f t="shared" ref="P113:P123" si="368">SUM(K113:O113)</f>
        <v>64</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0</v>
      </c>
      <c r="M114" s="1436">
        <f>GN49</f>
        <v>0</v>
      </c>
      <c r="N114" s="1436">
        <f>GO49</f>
        <v>0</v>
      </c>
      <c r="O114" s="1437">
        <f>GP49</f>
        <v>0</v>
      </c>
      <c r="P114" s="947">
        <f t="shared" si="368"/>
        <v>0</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24</v>
      </c>
      <c r="M115" s="1398">
        <f>SUM(M113:M114)+GS49</f>
        <v>40</v>
      </c>
      <c r="N115" s="1398">
        <f>SUM(N113:N114)+GT49</f>
        <v>0</v>
      </c>
      <c r="O115" s="1398">
        <f>SUM(O113:O114)+GU49</f>
        <v>0</v>
      </c>
      <c r="P115" s="1398">
        <f t="shared" si="368"/>
        <v>64</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8"/>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6497</v>
      </c>
      <c r="D127" s="3880"/>
      <c r="E127" s="1165" t="s">
        <v>36</v>
      </c>
      <c r="F127" s="973"/>
      <c r="G127" s="1166"/>
      <c r="H127" s="1839"/>
      <c r="I127" s="1167"/>
      <c r="J127" s="1168"/>
      <c r="K127" s="1450">
        <f t="shared" ref="K127:P127" si="369">SUM(K128:K135)</f>
        <v>0</v>
      </c>
      <c r="L127" s="1451">
        <f t="shared" si="369"/>
        <v>24</v>
      </c>
      <c r="M127" s="1451">
        <f t="shared" si="369"/>
        <v>40</v>
      </c>
      <c r="N127" s="1451">
        <f t="shared" si="369"/>
        <v>0</v>
      </c>
      <c r="O127" s="1452">
        <f t="shared" si="369"/>
        <v>0</v>
      </c>
      <c r="P127" s="1401">
        <f t="shared" si="369"/>
        <v>64</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6484</v>
      </c>
      <c r="I130" s="878"/>
      <c r="J130" s="1169"/>
      <c r="K130" s="1432">
        <f>JX49</f>
        <v>0</v>
      </c>
      <c r="L130" s="1433">
        <f>JY49</f>
        <v>24</v>
      </c>
      <c r="M130" s="1433">
        <f>JZ49</f>
        <v>40</v>
      </c>
      <c r="N130" s="1433">
        <f>KA49</f>
        <v>0</v>
      </c>
      <c r="O130" s="1434">
        <f>KB49</f>
        <v>0</v>
      </c>
      <c r="P130" s="946">
        <f t="shared" ref="P130:P135" si="371">SUM(K130:O130)</f>
        <v>64</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6301</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6491</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6486</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6487</v>
      </c>
      <c r="F138" s="1"/>
      <c r="G138" s="83"/>
      <c r="H138" s="1785"/>
      <c r="I138" s="40"/>
      <c r="J138" s="83"/>
      <c r="K138" s="1456">
        <f>JI49</f>
        <v>0</v>
      </c>
      <c r="L138" s="1457">
        <f>JJ49</f>
        <v>0</v>
      </c>
      <c r="M138" s="1457">
        <f>JK49</f>
        <v>0</v>
      </c>
      <c r="N138" s="1457">
        <f>JL49</f>
        <v>0</v>
      </c>
      <c r="O138" s="1458">
        <f>JM49</f>
        <v>0</v>
      </c>
      <c r="P138" s="2227">
        <f t="shared" si="370"/>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6295</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7" t="str">
        <f>$O$53</f>
        <v>Income Averaging</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6498</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24</v>
      </c>
      <c r="M153" s="1466">
        <f t="shared" si="377"/>
        <v>40</v>
      </c>
      <c r="N153" s="1466">
        <f t="shared" si="377"/>
        <v>0</v>
      </c>
      <c r="O153" s="1467">
        <f t="shared" si="377"/>
        <v>0</v>
      </c>
      <c r="P153" s="2227">
        <f t="shared" si="373"/>
        <v>64</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1776</v>
      </c>
      <c r="M158" s="1469">
        <f>EP49</f>
        <v>3708</v>
      </c>
      <c r="N158" s="1469">
        <f>EQ49</f>
        <v>0</v>
      </c>
      <c r="O158" s="1470">
        <f>ER49</f>
        <v>0</v>
      </c>
      <c r="P158" s="1393">
        <f t="shared" si="379"/>
        <v>5484</v>
      </c>
      <c r="Q158" s="1626">
        <f t="shared" si="380"/>
        <v>1096.8</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15096</v>
      </c>
      <c r="M159" s="1469">
        <f>EU49</f>
        <v>35844</v>
      </c>
      <c r="N159" s="1469">
        <f>EV49</f>
        <v>0</v>
      </c>
      <c r="O159" s="1470">
        <f>EW49</f>
        <v>0</v>
      </c>
      <c r="P159" s="1393">
        <f t="shared" si="379"/>
        <v>50940</v>
      </c>
      <c r="Q159" s="1626">
        <f t="shared" si="380"/>
        <v>1107.391304347826</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2664</v>
      </c>
      <c r="M160" s="1550">
        <f>EZ49</f>
        <v>6180</v>
      </c>
      <c r="N160" s="1550">
        <f>FA49</f>
        <v>0</v>
      </c>
      <c r="O160" s="1551">
        <f>FB49</f>
        <v>0</v>
      </c>
      <c r="P160" s="1552">
        <f t="shared" si="379"/>
        <v>8844</v>
      </c>
      <c r="Q160" s="1626">
        <f t="shared" si="380"/>
        <v>1105.5</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1776</v>
      </c>
      <c r="M161" s="1469">
        <f>FE49</f>
        <v>3708</v>
      </c>
      <c r="N161" s="1469">
        <f>FF49</f>
        <v>0</v>
      </c>
      <c r="O161" s="1470">
        <f>FG49</f>
        <v>0</v>
      </c>
      <c r="P161" s="1393">
        <f t="shared" si="379"/>
        <v>5484</v>
      </c>
      <c r="Q161" s="1626">
        <f t="shared" si="380"/>
        <v>1096.8</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21312</v>
      </c>
      <c r="M164" s="2229">
        <f>SUM(M157:M163)</f>
        <v>49440</v>
      </c>
      <c r="N164" s="2229">
        <f>SUM(N157:N163)</f>
        <v>0</v>
      </c>
      <c r="O164" s="2229">
        <f>SUM(O157:O163)</f>
        <v>0</v>
      </c>
      <c r="P164" s="2229">
        <f>SUM(K164:O164)</f>
        <v>70752</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21312</v>
      </c>
      <c r="M166" s="2228">
        <f>SUM(M164:M165)</f>
        <v>49440</v>
      </c>
      <c r="N166" s="2228">
        <f>SUM(N164:N165)</f>
        <v>0</v>
      </c>
      <c r="O166" s="2228">
        <f>SUM(O164:O165)</f>
        <v>0</v>
      </c>
      <c r="P166" s="2228">
        <f>SUM(K166:O166)</f>
        <v>70752</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21312</v>
      </c>
      <c r="M168" s="1399">
        <f>SUM(M166:M167)</f>
        <v>49440</v>
      </c>
      <c r="N168" s="1399">
        <f>SUM(N166:N167)</f>
        <v>0</v>
      </c>
      <c r="O168" s="1399">
        <f>SUM(O166:O167)</f>
        <v>0</v>
      </c>
      <c r="P168" s="1399">
        <f>SUM(K168:O168)</f>
        <v>70752</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888</v>
      </c>
      <c r="M171" s="1625">
        <f>IF(OR(M67="",M67=0),"",M168/M67)</f>
        <v>1236</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6652</v>
      </c>
      <c r="K174" s="3966"/>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70752</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15333.84</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36364</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60300</v>
      </c>
      <c r="G221" s="3932"/>
      <c r="H221" s="1"/>
      <c r="I221" s="1" t="s">
        <v>1301</v>
      </c>
      <c r="K221" s="1"/>
      <c r="L221" s="3931"/>
      <c r="M221" s="3932"/>
      <c r="N221" s="1"/>
      <c r="O221" s="418">
        <f>+Q220/(P67*0.93)</f>
        <v>610.95430107526875</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54400</v>
      </c>
      <c r="G222" s="3907"/>
      <c r="H222" s="1"/>
      <c r="I222" s="1" t="s">
        <v>1302</v>
      </c>
      <c r="K222" s="1"/>
      <c r="L222" s="3934"/>
      <c r="M222" s="3935"/>
      <c r="N222" s="1"/>
      <c r="O222" s="418">
        <f>+Q220/(P67*0.93)/12</f>
        <v>50.91285842293906</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6641</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114700</v>
      </c>
      <c r="G227" s="3939"/>
      <c r="H227" s="1"/>
      <c r="I227" s="1" t="s">
        <v>1498</v>
      </c>
      <c r="K227" s="1"/>
      <c r="L227" s="3918">
        <v>1600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11520</v>
      </c>
      <c r="M228" s="3921"/>
      <c r="N228" s="3933" t="str">
        <f>IF(Q230="","",IF(Q228&lt;Q230, "WARNING! OE below required minimum.",""))</f>
        <v/>
      </c>
      <c r="O228" s="10" t="s">
        <v>2030</v>
      </c>
      <c r="P228" s="5"/>
      <c r="Q228" s="427">
        <f>F227+F236+F247+L223+L231+L241+L247+Q220</f>
        <v>330934</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4800</v>
      </c>
      <c r="M229" s="3921"/>
      <c r="N229" s="3933"/>
      <c r="O229" s="66" t="s">
        <v>2488</v>
      </c>
      <c r="P229" s="418">
        <f>+Q228/P67</f>
        <v>5170.84375</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13390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240000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c r="G231" s="3907"/>
      <c r="H231" s="1"/>
      <c r="I231" s="10"/>
      <c r="K231" s="11" t="s">
        <v>184</v>
      </c>
      <c r="L231" s="3940">
        <f>SUM(L227:L230)</f>
        <v>17920</v>
      </c>
      <c r="M231" s="3941"/>
      <c r="N231" s="3933"/>
      <c r="O231" s="3946" t="s">
        <v>6731</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c r="G234" s="3907"/>
      <c r="H234" s="1"/>
      <c r="I234" s="10" t="s">
        <v>1298</v>
      </c>
      <c r="K234" s="1036" t="s">
        <v>3888</v>
      </c>
      <c r="O234" s="1658" t="s">
        <v>3088</v>
      </c>
      <c r="P234" s="10"/>
      <c r="Q234" s="1176">
        <v>16000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18.75</v>
      </c>
      <c r="L235" s="3918">
        <v>14400</v>
      </c>
      <c r="M235" s="3919"/>
      <c r="N235" s="3950" t="str">
        <f>IF(Q234&lt;Q243, "WARNING! RR proposed is below the DCA required minimum.","")</f>
        <v/>
      </c>
      <c r="O235" s="978" t="s">
        <v>3887</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13390</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18.75</v>
      </c>
      <c r="L237" s="3920">
        <v>14400</v>
      </c>
      <c r="M237" s="3921"/>
      <c r="N237" s="3951"/>
      <c r="O237" s="972" t="s">
        <v>2465</v>
      </c>
      <c r="P237" s="853" t="s">
        <v>3286</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11.666666666666666</v>
      </c>
      <c r="L238" s="3920">
        <v>8960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c r="G239" s="3956"/>
      <c r="H239" s="1"/>
      <c r="I239" s="94" t="s">
        <v>6691</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c r="G240" s="3943"/>
      <c r="H240" s="1"/>
      <c r="I240" s="3927" t="s">
        <v>46</v>
      </c>
      <c r="J240" s="3928"/>
      <c r="K240" s="477">
        <f>L240/12/P67</f>
        <v>0</v>
      </c>
      <c r="L240" s="3936"/>
      <c r="M240" s="3937"/>
      <c r="N240" s="3951"/>
      <c r="O240" s="508" t="s">
        <v>3053</v>
      </c>
      <c r="P240" s="858" t="str">
        <f>CONCATENATE(SUM(MK49:MO49)," units x $",'DCA Underwriting Assumptions'!$Q$29," =")</f>
        <v>64 units x $250 =</v>
      </c>
      <c r="Q240" s="647">
        <f>SUM(MK49:MO49)*'DCA Underwriting Assumptions'!$Q$29</f>
        <v>16000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14400</v>
      </c>
      <c r="G241" s="3943"/>
      <c r="H241" s="1"/>
      <c r="K241" s="11" t="s">
        <v>184</v>
      </c>
      <c r="L241" s="3940">
        <f>SUM(L235:L240)</f>
        <v>37760</v>
      </c>
      <c r="M241" s="3941"/>
      <c r="N241" s="3951"/>
      <c r="O241" s="648" t="s">
        <v>6504</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16000</v>
      </c>
      <c r="G243" s="3907"/>
      <c r="H243" s="1"/>
      <c r="I243" s="10" t="s">
        <v>1299</v>
      </c>
      <c r="O243" s="975" t="s">
        <v>2468</v>
      </c>
      <c r="P243" s="976">
        <f>SUM(MF49:MJ49)+SUM(MK49:MO49)+SUM(MP49:MT49)+P125</f>
        <v>64</v>
      </c>
      <c r="Q243" s="977">
        <f>SUM(Q239:Q242)</f>
        <v>16000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v>2000</v>
      </c>
      <c r="G244" s="3907"/>
      <c r="H244" s="1"/>
      <c r="I244" s="94" t="s">
        <v>3934</v>
      </c>
      <c r="K244" s="1"/>
      <c r="L244" s="3918">
        <v>51200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c r="G245" s="3907"/>
      <c r="H245" s="1"/>
      <c r="I245" s="1" t="s">
        <v>140</v>
      </c>
      <c r="K245" s="1"/>
      <c r="L245" s="3920">
        <v>27200</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32400</v>
      </c>
      <c r="G247" s="3949"/>
      <c r="H247" s="1"/>
      <c r="K247" s="11" t="s">
        <v>184</v>
      </c>
      <c r="L247" s="3940">
        <f>SUM(L243:L246)</f>
        <v>78400</v>
      </c>
      <c r="M247" s="3947"/>
      <c r="N247" s="1"/>
      <c r="O247" s="10" t="s">
        <v>2031</v>
      </c>
      <c r="P247" s="1"/>
      <c r="Q247" s="427">
        <f>Q228+Q234</f>
        <v>346934</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7"/>
      <c r="L251" s="3868"/>
      <c r="M251" s="1619" t="s">
        <v>3905</v>
      </c>
      <c r="N251" s="1548"/>
      <c r="O251" s="10" t="s">
        <v>3880</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6657</v>
      </c>
      <c r="O255" s="13"/>
      <c r="NP255" s="2260"/>
    </row>
    <row r="256" spans="1:493" ht="409.5" customHeight="1">
      <c r="A256" s="3945" t="s">
        <v>6990</v>
      </c>
      <c r="B256" s="3945"/>
      <c r="C256" s="3945"/>
      <c r="D256" s="3945"/>
      <c r="E256" s="3945"/>
      <c r="F256" s="3945"/>
      <c r="G256" s="3945"/>
      <c r="H256" s="3945"/>
      <c r="I256" s="3945"/>
      <c r="J256" s="3945"/>
      <c r="K256" s="3945"/>
      <c r="L256" s="3945"/>
      <c r="M256" s="3945"/>
      <c r="N256" s="3944"/>
      <c r="O256" s="3944"/>
      <c r="P256" s="3944"/>
      <c r="Q256" s="3944"/>
      <c r="R256" s="3352"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Arbours at Town Branch, Villa Rica, Carroll County</v>
      </c>
      <c r="B2" s="3985"/>
      <c r="C2" s="3985"/>
      <c r="D2" s="3985"/>
      <c r="E2" s="3985"/>
      <c r="F2" s="3985"/>
      <c r="G2" s="3985"/>
      <c r="H2" s="3985"/>
      <c r="I2" s="3985"/>
      <c r="J2" s="3985"/>
      <c r="K2" s="3986"/>
      <c r="L2" s="10"/>
      <c r="M2" s="10"/>
      <c r="N2" s="3987" t="str">
        <f>A2</f>
        <v>PART SIX - OPERATING PRO FORMA  -  2022-0 Arbours at Town Branch, Villa Rica, Carroll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3406</v>
      </c>
      <c r="E6" s="3881"/>
      <c r="F6" s="3881"/>
      <c r="G6" s="80">
        <v>5000</v>
      </c>
      <c r="H6" s="97" t="s">
        <v>1768</v>
      </c>
      <c r="K6" s="102">
        <f>IF(($B$15+$B$16+$B$17+$B$18)=0,"",B31/($B$15+$B$16+$B$17+$B$18))</f>
        <v>-6.8748931442233485E-3</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4.9999722859307573E-2</v>
      </c>
      <c r="N8" s="3864"/>
      <c r="O8" s="3866"/>
      <c r="AA8" s="2263">
        <v>8</v>
      </c>
    </row>
    <row r="9" spans="1:27" ht="13.35" customHeight="1">
      <c r="A9" s="16" t="s">
        <v>2034</v>
      </c>
      <c r="B9" s="241">
        <v>7.0000000000000007E-2</v>
      </c>
      <c r="C9" s="1534" t="str">
        <f>IF(B9&lt;0.07, "Must be &gt;= 7%!","")</f>
        <v/>
      </c>
      <c r="D9" s="78" t="s">
        <v>2308</v>
      </c>
      <c r="G9" s="1554" t="s">
        <v>2654</v>
      </c>
      <c r="H9" s="175" t="s">
        <v>1356</v>
      </c>
      <c r="K9" s="1556"/>
      <c r="N9" s="3864"/>
      <c r="O9" s="3866"/>
      <c r="AA9" s="2263">
        <v>9</v>
      </c>
    </row>
    <row r="10" spans="1:27">
      <c r="A10" s="16" t="s">
        <v>1337</v>
      </c>
      <c r="B10" s="77">
        <v>0.02</v>
      </c>
      <c r="D10" s="78" t="s">
        <v>1598</v>
      </c>
      <c r="G10" s="1555" t="s">
        <v>2651</v>
      </c>
      <c r="H10" s="175" t="s">
        <v>2175</v>
      </c>
      <c r="K10" s="1557">
        <v>0.05</v>
      </c>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766692</v>
      </c>
      <c r="C15" s="19">
        <f t="shared" ref="C15:K15" si="1">$B$15*(1+$B$6)^(C14-1)</f>
        <v>782025.84</v>
      </c>
      <c r="D15" s="19">
        <f t="shared" si="1"/>
        <v>797666.35679999995</v>
      </c>
      <c r="E15" s="19">
        <f t="shared" si="1"/>
        <v>813619.68393599999</v>
      </c>
      <c r="F15" s="19">
        <f t="shared" si="1"/>
        <v>829892.07761471998</v>
      </c>
      <c r="G15" s="19">
        <f t="shared" si="1"/>
        <v>846489.91916701442</v>
      </c>
      <c r="H15" s="19">
        <f t="shared" si="1"/>
        <v>863419.71755035478</v>
      </c>
      <c r="I15" s="19">
        <f t="shared" si="1"/>
        <v>880688.11190136161</v>
      </c>
      <c r="J15" s="19">
        <f t="shared" si="1"/>
        <v>898301.87413938891</v>
      </c>
      <c r="K15" s="20">
        <f t="shared" si="1"/>
        <v>916267.91162217676</v>
      </c>
      <c r="N15" s="3870"/>
      <c r="O15" s="3872"/>
      <c r="S15" s="3980" t="s">
        <v>3411</v>
      </c>
      <c r="Z15" s="2259" t="s">
        <v>6468</v>
      </c>
      <c r="AA15" s="2263">
        <v>15</v>
      </c>
    </row>
    <row r="16" spans="1:27" ht="13.35" customHeight="1">
      <c r="A16" s="21" t="s">
        <v>953</v>
      </c>
      <c r="B16" s="22">
        <f>MIN(B15*B10,'Part V-Revenues &amp; Expenses'!$H$179)</f>
        <v>15333.84</v>
      </c>
      <c r="C16" s="22">
        <f t="shared" ref="C16:K16" si="2">$B$16*(1+$B$6)^(C14-1)</f>
        <v>15640.516800000001</v>
      </c>
      <c r="D16" s="22">
        <f t="shared" si="2"/>
        <v>15953.327136</v>
      </c>
      <c r="E16" s="22">
        <f t="shared" si="2"/>
        <v>16272.393678719998</v>
      </c>
      <c r="F16" s="22">
        <f t="shared" si="2"/>
        <v>16597.841552294401</v>
      </c>
      <c r="G16" s="22">
        <f t="shared" si="2"/>
        <v>16929.798383340287</v>
      </c>
      <c r="H16" s="22">
        <f t="shared" si="2"/>
        <v>17268.394351007097</v>
      </c>
      <c r="I16" s="22">
        <f t="shared" si="2"/>
        <v>17613.762238027233</v>
      </c>
      <c r="J16" s="22">
        <f t="shared" si="2"/>
        <v>17966.037482787779</v>
      </c>
      <c r="K16" s="23">
        <f t="shared" si="2"/>
        <v>18325.358232443534</v>
      </c>
      <c r="N16" s="3864"/>
      <c r="O16" s="3866"/>
      <c r="S16" s="3981"/>
      <c r="Z16" s="2259" t="s">
        <v>6468</v>
      </c>
      <c r="AA16" s="2263">
        <v>16</v>
      </c>
    </row>
    <row r="17" spans="1:27" ht="13.35" customHeight="1">
      <c r="A17" s="21" t="s">
        <v>2217</v>
      </c>
      <c r="B17" s="22">
        <f t="shared" ref="B17:K17" si="3">-(B15+B16)*$B$9</f>
        <v>-54741.808800000006</v>
      </c>
      <c r="C17" s="22">
        <f t="shared" si="3"/>
        <v>-55836.644976000003</v>
      </c>
      <c r="D17" s="22">
        <f t="shared" si="3"/>
        <v>-56953.377875520004</v>
      </c>
      <c r="E17" s="22">
        <f t="shared" si="3"/>
        <v>-58092.445433030407</v>
      </c>
      <c r="F17" s="22">
        <f t="shared" si="3"/>
        <v>-59254.294341691013</v>
      </c>
      <c r="G17" s="22">
        <f t="shared" si="3"/>
        <v>-60439.380228524831</v>
      </c>
      <c r="H17" s="22">
        <f t="shared" si="3"/>
        <v>-61648.167833095336</v>
      </c>
      <c r="I17" s="22">
        <f t="shared" si="3"/>
        <v>-62881.131189757223</v>
      </c>
      <c r="J17" s="22">
        <f t="shared" si="3"/>
        <v>-64138.753813552372</v>
      </c>
      <c r="K17" s="23">
        <f t="shared" si="3"/>
        <v>-65421.528889823428</v>
      </c>
      <c r="N17" s="3864"/>
      <c r="O17" s="3866"/>
      <c r="Q17" s="3983" t="s">
        <v>3301</v>
      </c>
      <c r="R17" s="3983" t="s">
        <v>3410</v>
      </c>
      <c r="S17" s="3981"/>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6468</v>
      </c>
      <c r="AA19" s="2261">
        <v>19</v>
      </c>
    </row>
    <row r="20" spans="1:27" ht="13.35" customHeight="1">
      <c r="A20" s="447" t="s">
        <v>3842</v>
      </c>
      <c r="B20" s="22">
        <f>SUM(B15:B19)</f>
        <v>727284.03119999997</v>
      </c>
      <c r="C20" s="22">
        <f t="shared" ref="C20:K20" si="4">SUM(C15:C19)</f>
        <v>741829.711824</v>
      </c>
      <c r="D20" s="22">
        <f t="shared" si="4"/>
        <v>756666.30606047995</v>
      </c>
      <c r="E20" s="22">
        <f t="shared" si="4"/>
        <v>771799.63218168961</v>
      </c>
      <c r="F20" s="22">
        <f t="shared" si="4"/>
        <v>787235.62482532347</v>
      </c>
      <c r="G20" s="22">
        <f t="shared" si="4"/>
        <v>802980.33732182987</v>
      </c>
      <c r="H20" s="22">
        <f t="shared" si="4"/>
        <v>819039.94406826654</v>
      </c>
      <c r="I20" s="22">
        <f t="shared" si="4"/>
        <v>835420.74294963153</v>
      </c>
      <c r="J20" s="22">
        <f t="shared" si="4"/>
        <v>852129.15780862432</v>
      </c>
      <c r="K20" s="23">
        <f t="shared" si="4"/>
        <v>869171.74096479686</v>
      </c>
      <c r="N20" s="3864"/>
      <c r="O20" s="3866"/>
      <c r="Z20" s="2259" t="s">
        <v>6468</v>
      </c>
      <c r="AA20" s="2262">
        <v>20</v>
      </c>
    </row>
    <row r="21" spans="1:27" ht="13.35" customHeight="1">
      <c r="A21" s="21" t="s">
        <v>572</v>
      </c>
      <c r="B21" s="22">
        <f>-('Part V-Revenues &amp; Expenses'!$Q$228-'Part V-Revenues &amp; Expenses'!$Q$220)</f>
        <v>-294570</v>
      </c>
      <c r="C21" s="22">
        <f t="shared" ref="C21:K21" si="5">$B$21*(1+$B$7)^(C14-1)</f>
        <v>-303407.10000000003</v>
      </c>
      <c r="D21" s="22">
        <f t="shared" si="5"/>
        <v>-312509.31299999997</v>
      </c>
      <c r="E21" s="22">
        <f t="shared" si="5"/>
        <v>-321884.59239000001</v>
      </c>
      <c r="F21" s="22">
        <f t="shared" si="5"/>
        <v>-331541.13016169996</v>
      </c>
      <c r="G21" s="22">
        <f t="shared" si="5"/>
        <v>-341487.36406655097</v>
      </c>
      <c r="H21" s="22">
        <f t="shared" si="5"/>
        <v>-351731.98498854751</v>
      </c>
      <c r="I21" s="22">
        <f t="shared" si="5"/>
        <v>-362283.94453820394</v>
      </c>
      <c r="J21" s="22">
        <f t="shared" si="5"/>
        <v>-373152.46287435002</v>
      </c>
      <c r="K21" s="23">
        <f t="shared" si="5"/>
        <v>-384347.03676058055</v>
      </c>
      <c r="N21" s="3864"/>
      <c r="O21" s="3866"/>
      <c r="Q21" s="62">
        <v>1</v>
      </c>
      <c r="R21" s="1105">
        <f>-B32</f>
        <v>58067.893289163476</v>
      </c>
      <c r="S21" s="1105">
        <f>B33+R21</f>
        <v>58067.893289163476</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-36364</v>
      </c>
      <c r="C22" s="22">
        <f>IF(AND('Part VI-Pro Forma'!$G$9="Yes",'Part VI-Pro Forma'!$G$10="Yes"),"Choose One!",IF('Part VI-Pro Forma'!$G$9="Yes",ROUND((-$K$9*(1+'Part VI-Pro Forma'!$B$7)^('Part VI-Pro Forma'!C14-1)),),IF('Part VI-Pro Forma'!$G$10="Yes",ROUND((-(SUM(C15:C18)*'Part VI-Pro Forma'!$K$10)),),"Choose mgt fee")))</f>
        <v>-37091</v>
      </c>
      <c r="D22" s="22">
        <f>IF(AND('Part VI-Pro Forma'!$G$9="Yes",'Part VI-Pro Forma'!$G$10="Yes"),"Choose One!",IF('Part VI-Pro Forma'!$G$9="Yes",ROUND((-$K$9*(1+'Part VI-Pro Forma'!$B$7)^('Part VI-Pro Forma'!D14-1)),),IF('Part VI-Pro Forma'!$G$10="Yes",ROUND((-(SUM(D15:D18)*'Part VI-Pro Forma'!$K$10)),),"Choose mgt fee")))</f>
        <v>-37833</v>
      </c>
      <c r="E22" s="22">
        <f>IF(AND('Part VI-Pro Forma'!$G$9="Yes",'Part VI-Pro Forma'!$G$10="Yes"),"Choose One!",IF('Part VI-Pro Forma'!$G$9="Yes",ROUND((-$K$9*(1+'Part VI-Pro Forma'!$B$7)^('Part VI-Pro Forma'!E14-1)),),IF('Part VI-Pro Forma'!$G$10="Yes",ROUND((-(SUM(E15:E18)*'Part VI-Pro Forma'!$K$10)),),"Choose mgt fee")))</f>
        <v>-38590</v>
      </c>
      <c r="F22" s="22">
        <f>IF(AND('Part VI-Pro Forma'!$G$9="Yes",'Part VI-Pro Forma'!$G$10="Yes"),"Choose One!",IF('Part VI-Pro Forma'!$G$9="Yes",ROUND((-$K$9*(1+'Part VI-Pro Forma'!$B$7)^('Part VI-Pro Forma'!F14-1)),),IF('Part VI-Pro Forma'!$G$10="Yes",ROUND((-(SUM(F15:F18)*'Part VI-Pro Forma'!$K$10)),),"Choose mgt fee")))</f>
        <v>-39362</v>
      </c>
      <c r="G22" s="22">
        <f>IF(AND('Part VI-Pro Forma'!$G$9="Yes",'Part VI-Pro Forma'!$G$10="Yes"),"Choose One!",IF('Part VI-Pro Forma'!$G$9="Yes",ROUND((-$K$9*(1+'Part VI-Pro Forma'!$B$7)^('Part VI-Pro Forma'!G14-1)),),IF('Part VI-Pro Forma'!$G$10="Yes",ROUND((-(SUM(G15:G18)*'Part VI-Pro Forma'!$K$10)),),"Choose mgt fee")))</f>
        <v>-40149</v>
      </c>
      <c r="H22" s="22">
        <f>IF(AND('Part VI-Pro Forma'!$G$9="Yes",'Part VI-Pro Forma'!$G$10="Yes"),"Choose One!",IF('Part VI-Pro Forma'!$G$9="Yes",ROUND((-$K$9*(1+'Part VI-Pro Forma'!$B$7)^('Part VI-Pro Forma'!H14-1)),),IF('Part VI-Pro Forma'!$G$10="Yes",ROUND((-(SUM(H15:H18)*'Part VI-Pro Forma'!$K$10)),),"Choose mgt fee")))</f>
        <v>-40952</v>
      </c>
      <c r="I22" s="22">
        <f>IF(AND('Part VI-Pro Forma'!$G$9="Yes",'Part VI-Pro Forma'!$G$10="Yes"),"Choose One!",IF('Part VI-Pro Forma'!$G$9="Yes",ROUND((-$K$9*(1+'Part VI-Pro Forma'!$B$7)^('Part VI-Pro Forma'!I14-1)),),IF('Part VI-Pro Forma'!$G$10="Yes",ROUND((-(SUM(I15:I18)*'Part VI-Pro Forma'!$K$10)),),"Choose mgt fee")))</f>
        <v>-41771</v>
      </c>
      <c r="J22" s="22">
        <f>IF(AND('Part VI-Pro Forma'!$G$9="Yes",'Part VI-Pro Forma'!$G$10="Yes"),"Choose One!",IF('Part VI-Pro Forma'!$G$9="Yes",ROUND((-$K$9*(1+'Part VI-Pro Forma'!$B$7)^('Part VI-Pro Forma'!J14-1)),),IF('Part VI-Pro Forma'!$G$10="Yes",ROUND((-(SUM(J15:J18)*'Part VI-Pro Forma'!$K$10)),),"Choose mgt fee")))</f>
        <v>-42606</v>
      </c>
      <c r="K22" s="23">
        <f>IF(AND('Part VI-Pro Forma'!$G$9="Yes",'Part VI-Pro Forma'!$G$10="Yes"),"Choose One!",IF('Part VI-Pro Forma'!$G$9="Yes",ROUND((-$K$9*(1+'Part VI-Pro Forma'!$B$7)^('Part VI-Pro Forma'!K14-1)),),IF('Part VI-Pro Forma'!$G$10="Yes",ROUND((-(SUM(K15:K18)*'Part VI-Pro Forma'!$K$10)),),"Choose mgt fee")))</f>
        <v>-43459</v>
      </c>
      <c r="N22" s="3864"/>
      <c r="O22" s="3866"/>
      <c r="Q22" s="62">
        <v>2</v>
      </c>
      <c r="R22" s="1105">
        <f>-SUM(B32:C32)</f>
        <v>120637.36720232695</v>
      </c>
      <c r="S22" s="1105">
        <f>SUM(B33:C33)+R22</f>
        <v>120637.36720232695</v>
      </c>
      <c r="Z22" s="2259" t="s">
        <v>6468</v>
      </c>
      <c r="AA22" s="2263">
        <v>22</v>
      </c>
    </row>
    <row r="23" spans="1:27" ht="13.35" customHeight="1">
      <c r="A23" s="21" t="s">
        <v>1129</v>
      </c>
      <c r="B23" s="22">
        <f>-('Part V-Revenues &amp; Expenses'!$Q$234)</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64"/>
      <c r="O23" s="3866"/>
      <c r="Q23" s="62">
        <v>3</v>
      </c>
      <c r="R23" s="1105">
        <f>-SUM(B32:D32)</f>
        <v>187704.82235197042</v>
      </c>
      <c r="S23" s="1105">
        <f>SUM(B33:D33)+R23</f>
        <v>187704.82235197042</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259264.09223282355</v>
      </c>
      <c r="S24" s="1105">
        <f>SUM(B33:E33)+R24</f>
        <v>259264.09223282355</v>
      </c>
      <c r="Z24" s="2259" t="s">
        <v>6468</v>
      </c>
      <c r="AA24" s="2261">
        <v>24</v>
      </c>
    </row>
    <row r="25" spans="1:27" ht="13.35" customHeight="1">
      <c r="A25" s="21" t="s">
        <v>1130</v>
      </c>
      <c r="B25" s="22">
        <f>SUM(B20:B24)</f>
        <v>380350.03119999997</v>
      </c>
      <c r="C25" s="22">
        <f t="shared" ref="C25:J25" si="7">SUM(C20:C24)</f>
        <v>384851.61182399996</v>
      </c>
      <c r="D25" s="22">
        <f t="shared" si="7"/>
        <v>389349.59306047997</v>
      </c>
      <c r="E25" s="22">
        <f t="shared" si="7"/>
        <v>393841.40779168962</v>
      </c>
      <c r="F25" s="22">
        <f t="shared" si="7"/>
        <v>398324.35370362352</v>
      </c>
      <c r="G25" s="22">
        <f t="shared" si="7"/>
        <v>402795.5880664789</v>
      </c>
      <c r="H25" s="22">
        <f t="shared" si="7"/>
        <v>407251.12233525503</v>
      </c>
      <c r="I25" s="22">
        <f t="shared" si="7"/>
        <v>411687.81656462967</v>
      </c>
      <c r="J25" s="22">
        <f t="shared" si="7"/>
        <v>416102.37363207247</v>
      </c>
      <c r="K25" s="1538">
        <f>SUM(K20:K24)</f>
        <v>420489.33326294838</v>
      </c>
      <c r="N25" s="3864"/>
      <c r="O25" s="3866"/>
      <c r="Q25" s="958">
        <v>5</v>
      </c>
      <c r="R25" s="1105">
        <f>-SUM(B32:F32)</f>
        <v>335306.30802561057</v>
      </c>
      <c r="S25" s="1105">
        <f>SUM(B33:F33)+R25</f>
        <v>335306.30802561057</v>
      </c>
      <c r="Z25" s="2259" t="s">
        <v>6468</v>
      </c>
      <c r="AA25" s="2262">
        <v>25</v>
      </c>
    </row>
    <row r="26" spans="1:27" ht="13.35" customHeight="1">
      <c r="A26" s="447" t="s">
        <v>1487</v>
      </c>
      <c r="B26" s="448">
        <f>IF('Part II-Sources of Funds'!$P$40="", 0,-'Part II-Sources of Funds'!$P$40)</f>
        <v>-317282.13791083649</v>
      </c>
      <c r="C26" s="448">
        <f>IF('Part II-Sources of Funds'!$P$40="", 0,-'Part II-Sources of Funds'!$P$40)</f>
        <v>-317282.13791083649</v>
      </c>
      <c r="D26" s="448">
        <f>IF('Part II-Sources of Funds'!$P$40="", 0,-'Part II-Sources of Funds'!$P$40)</f>
        <v>-317282.13791083649</v>
      </c>
      <c r="E26" s="448">
        <f>IF('Part II-Sources of Funds'!$P$40="", 0,-'Part II-Sources of Funds'!$P$40)</f>
        <v>-317282.13791083649</v>
      </c>
      <c r="F26" s="448">
        <f>IF('Part II-Sources of Funds'!$P$40="", 0,-'Part II-Sources of Funds'!$P$40)</f>
        <v>-317282.13791083649</v>
      </c>
      <c r="G26" s="448">
        <f>IF('Part II-Sources of Funds'!$P$40="", 0,-'Part II-Sources of Funds'!$P$40)</f>
        <v>-317282.13791083649</v>
      </c>
      <c r="H26" s="448">
        <f>IF('Part II-Sources of Funds'!$P$40="", 0,-'Part II-Sources of Funds'!$P$40)</f>
        <v>-317282.13791083649</v>
      </c>
      <c r="I26" s="448">
        <f>IF('Part II-Sources of Funds'!$P$40="", 0,-'Part II-Sources of Funds'!$P$40)</f>
        <v>-317282.13791083649</v>
      </c>
      <c r="J26" s="448">
        <f>IF('Part II-Sources of Funds'!$P$40="", 0,-'Part II-Sources of Funds'!$P$40)</f>
        <v>-317282.13791083649</v>
      </c>
      <c r="K26" s="448">
        <f>IF('Part II-Sources of Funds'!$P$40="", 0,-'Part II-Sources of Funds'!$P$40)</f>
        <v>-317282.13791083649</v>
      </c>
      <c r="N26" s="3864"/>
      <c r="O26" s="3866"/>
      <c r="Q26" s="958">
        <v>6</v>
      </c>
      <c r="R26" s="1105">
        <f>-SUM(B32:G32)</f>
        <v>415819.75818125298</v>
      </c>
      <c r="S26" s="1105">
        <f>SUM(B33:G33)+R26</f>
        <v>415819.75818125298</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500788.74260567152</v>
      </c>
      <c r="S27" s="1105">
        <f>SUM(B33:H33)+R27</f>
        <v>500788.74260567152</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590194.4212594647</v>
      </c>
      <c r="S28" s="1105">
        <f>SUM(B33:I33)+R28</f>
        <v>590194.4212594647</v>
      </c>
      <c r="Z28" s="2259" t="s">
        <v>6468</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684014.65698070067</v>
      </c>
      <c r="S29" s="1105">
        <f>SUM(B33:J33)+R29</f>
        <v>684014.65698070067</v>
      </c>
      <c r="Z29" s="2259" t="s">
        <v>6468</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705620.65698070067</v>
      </c>
      <c r="S30" s="1105">
        <f>SUM(B33:K33)+R30</f>
        <v>782221.8523328125</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4"/>
      <c r="O31" s="3866"/>
      <c r="Q31" s="958">
        <v>11</v>
      </c>
      <c r="R31" s="1105">
        <f>-SUM(B32:K32)-B64</f>
        <v>705620.65698070067</v>
      </c>
      <c r="S31" s="1105">
        <f>SUM(B33:K33)+B65+R31</f>
        <v>884786.78027316509</v>
      </c>
      <c r="Z31" s="2259" t="s">
        <v>6468</v>
      </c>
      <c r="AA31" s="2263">
        <v>31</v>
      </c>
    </row>
    <row r="32" spans="1:27" ht="13.35" customHeight="1">
      <c r="A32" s="447" t="s">
        <v>3364</v>
      </c>
      <c r="B32" s="234">
        <f>(B25+B26+B31)*-1</f>
        <v>-58067.893289163476</v>
      </c>
      <c r="C32" s="234">
        <f t="shared" ref="C32:G32" si="9">(C25+C26+C31)*-1</f>
        <v>-62569.473913163471</v>
      </c>
      <c r="D32" s="234">
        <f t="shared" si="9"/>
        <v>-67067.455149643472</v>
      </c>
      <c r="E32" s="234">
        <f t="shared" si="9"/>
        <v>-71559.269880853128</v>
      </c>
      <c r="F32" s="234">
        <f t="shared" si="9"/>
        <v>-76042.215792787028</v>
      </c>
      <c r="G32" s="234">
        <f t="shared" si="9"/>
        <v>-80513.450155642407</v>
      </c>
      <c r="H32" s="234">
        <f>(H25+H26+H31)*-1</f>
        <v>-84968.984424418537</v>
      </c>
      <c r="I32" s="234">
        <f t="shared" ref="I32" si="10">(I25+I26+I31)*-1</f>
        <v>-89405.678653793177</v>
      </c>
      <c r="J32" s="234">
        <f>(J25+J26+J31)*-1</f>
        <v>-93820.235721235978</v>
      </c>
      <c r="K32" s="234">
        <v>-21606</v>
      </c>
      <c r="N32" s="3864"/>
      <c r="O32" s="3866"/>
      <c r="Q32" s="958">
        <v>12</v>
      </c>
      <c r="R32" s="1105">
        <f>-SUM(B32:K32) - SUM(B64:C64)</f>
        <v>705620.65698070067</v>
      </c>
      <c r="S32" s="1105">
        <f>SUM(B33:K33) + SUM(B65:C65)+R32</f>
        <v>991675.40843121207</v>
      </c>
      <c r="Z32" s="2259" t="s">
        <v>6468</v>
      </c>
      <c r="AA32" s="2263">
        <v>32</v>
      </c>
    </row>
    <row r="33" spans="1:27" ht="13.35" customHeight="1">
      <c r="A33" s="21" t="s">
        <v>1097</v>
      </c>
      <c r="B33" s="22">
        <f t="shared" ref="B33:K33" si="11">SUM(B25:B32)</f>
        <v>0</v>
      </c>
      <c r="C33" s="22">
        <f t="shared" si="11"/>
        <v>0</v>
      </c>
      <c r="D33" s="22">
        <f t="shared" si="11"/>
        <v>0</v>
      </c>
      <c r="E33" s="22">
        <f t="shared" si="11"/>
        <v>0</v>
      </c>
      <c r="F33" s="22">
        <f t="shared" si="11"/>
        <v>0</v>
      </c>
      <c r="G33" s="22">
        <f t="shared" si="11"/>
        <v>0</v>
      </c>
      <c r="H33" s="22">
        <f t="shared" si="11"/>
        <v>0</v>
      </c>
      <c r="I33" s="22">
        <f t="shared" si="11"/>
        <v>0</v>
      </c>
      <c r="J33" s="22">
        <f t="shared" si="11"/>
        <v>0</v>
      </c>
      <c r="K33" s="23">
        <f t="shared" si="11"/>
        <v>76601.195352111885</v>
      </c>
      <c r="N33" s="3864"/>
      <c r="O33" s="3866"/>
      <c r="Q33" s="958">
        <v>13</v>
      </c>
      <c r="R33" s="1105">
        <f>-SUM(B32:K32) - SUM(B64:D64)</f>
        <v>705620.65698070067</v>
      </c>
      <c r="S33" s="1105">
        <f>SUM(B33:K33) + SUM(B65:D65)+R33</f>
        <v>1102847.7167783279</v>
      </c>
      <c r="Z33" s="2259" t="s">
        <v>6468</v>
      </c>
      <c r="AA33" s="2261">
        <v>33</v>
      </c>
    </row>
    <row r="34" spans="1:27" ht="13.35" customHeight="1">
      <c r="A34" s="21" t="str">
        <f>IF('Part II-Sources of Funds'!$E$40 = "Neither", "", "DCR Mortgage A")</f>
        <v>DCR Mortgage A</v>
      </c>
      <c r="B34" s="24">
        <f t="shared" ref="B34:K34" si="12">IF(B26=0,"",-B25/B26)</f>
        <v>1.1987754296678592</v>
      </c>
      <c r="C34" s="24">
        <f t="shared" si="12"/>
        <v>1.212963371837062</v>
      </c>
      <c r="D34" s="24">
        <f t="shared" si="12"/>
        <v>1.2271399695683345</v>
      </c>
      <c r="E34" s="24">
        <f t="shared" si="12"/>
        <v>1.241297131899584</v>
      </c>
      <c r="F34" s="24">
        <f t="shared" si="12"/>
        <v>1.255426341761356</v>
      </c>
      <c r="G34" s="24">
        <f t="shared" si="12"/>
        <v>1.2695186395260412</v>
      </c>
      <c r="H34" s="24">
        <f t="shared" si="12"/>
        <v>1.2835614542212328</v>
      </c>
      <c r="I34" s="24">
        <f t="shared" si="12"/>
        <v>1.2975448894646673</v>
      </c>
      <c r="J34" s="24">
        <f t="shared" si="12"/>
        <v>1.311458553487832</v>
      </c>
      <c r="K34" s="25">
        <f t="shared" si="12"/>
        <v>1.3252852367665131</v>
      </c>
      <c r="N34" s="3864"/>
      <c r="O34" s="3866"/>
      <c r="Q34" s="958">
        <v>14</v>
      </c>
      <c r="R34" s="1105">
        <f>-SUM(B32:K32) - SUM(B64:E64)</f>
        <v>705620.65698070067</v>
      </c>
      <c r="S34" s="1105">
        <f>SUM(B33:K33) + SUM(B65:E65)+R34</f>
        <v>1218261.5084643248</v>
      </c>
      <c r="Z34" s="2259" t="s">
        <v>6468</v>
      </c>
      <c r="AA34" s="2262">
        <v>34</v>
      </c>
    </row>
    <row r="35" spans="1:27" ht="13.35" customHeight="1">
      <c r="A35" s="21" t="str">
        <f>IF('Part II-Sources of Funds'!$E$40 = "Neither", "", "DCR Mortgage B")</f>
        <v>DCR Mortgage B</v>
      </c>
      <c r="B35" s="24" t="str">
        <f t="shared" ref="B35:K35" si="13">IF(B27=0,"",-(B25+B26)/B27)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864"/>
      <c r="O35" s="3866"/>
      <c r="Q35" s="958">
        <v>15</v>
      </c>
      <c r="R35" s="1105">
        <f>-SUM(B32:K32) - SUM(B64:F64)</f>
        <v>705620.65698070067</v>
      </c>
      <c r="S35" s="1105">
        <f>SUM(B33:K33) + SUM(B65:F65)+R35</f>
        <v>1337868.2135883919</v>
      </c>
      <c r="Z35" s="2259" t="s">
        <v>6468</v>
      </c>
      <c r="AA35" s="2263">
        <v>35</v>
      </c>
    </row>
    <row r="36" spans="1:27" ht="13.35" customHeight="1">
      <c r="A36" s="21" t="str">
        <f>IF('Part II-Sources of Funds'!$E$40 = "Neither", "DCR First Mortgage", "DCR Mortgage C")</f>
        <v>DCR Mortgage C</v>
      </c>
      <c r="B36" s="24" t="str">
        <f t="shared" ref="B36:K36" si="14">IF(B28=0,"",-(B25+B26+B27)/B28)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864"/>
      <c r="O36" s="3866"/>
      <c r="Q36" s="62">
        <v>16</v>
      </c>
      <c r="R36" s="1105">
        <f>-SUM(B32:K32) - SUM(B64:G64)</f>
        <v>705620.65698070067</v>
      </c>
      <c r="S36" s="1105">
        <f>SUM(B33:K33) + SUM(B65:G65)+R36</f>
        <v>1461615.6856646743</v>
      </c>
      <c r="Z36" s="2259" t="s">
        <v>6468</v>
      </c>
      <c r="AA36" s="2263">
        <v>36</v>
      </c>
    </row>
    <row r="37" spans="1:27" ht="13.35" customHeight="1">
      <c r="A37" s="21" t="s">
        <v>729</v>
      </c>
      <c r="B37" s="24" t="str">
        <f t="shared" ref="B37:K37" si="15">IF(B29=0,"",-(B25+B26+B27+B28)/B29)</f>
        <v/>
      </c>
      <c r="C37" s="24" t="str">
        <f t="shared" si="15"/>
        <v/>
      </c>
      <c r="D37" s="24" t="str">
        <f t="shared" si="15"/>
        <v/>
      </c>
      <c r="E37" s="24" t="str">
        <f t="shared" si="15"/>
        <v/>
      </c>
      <c r="F37" s="24" t="str">
        <f t="shared" si="15"/>
        <v/>
      </c>
      <c r="G37" s="24" t="str">
        <f t="shared" si="15"/>
        <v/>
      </c>
      <c r="H37" s="24" t="str">
        <f t="shared" si="15"/>
        <v/>
      </c>
      <c r="I37" s="24" t="str">
        <f t="shared" si="15"/>
        <v/>
      </c>
      <c r="J37" s="24" t="str">
        <f t="shared" si="15"/>
        <v/>
      </c>
      <c r="K37" s="25" t="str">
        <f t="shared" si="15"/>
        <v/>
      </c>
      <c r="N37" s="3864"/>
      <c r="O37" s="3866"/>
      <c r="Q37" s="62">
        <v>17</v>
      </c>
      <c r="R37" s="1105">
        <f>-SUM(B32:K32) - SUM(B64:H64)</f>
        <v>705620.65698070067</v>
      </c>
      <c r="S37" s="1105">
        <f>SUM(B33:K33) + SUM(B65:H65)+R37</f>
        <v>1589444.9905349622</v>
      </c>
      <c r="Z37" s="2259" t="s">
        <v>6468</v>
      </c>
      <c r="AA37" s="2263">
        <v>37</v>
      </c>
    </row>
    <row r="38" spans="1:27" ht="13.35" customHeight="1">
      <c r="A38" s="447" t="s">
        <v>3216</v>
      </c>
      <c r="B38" s="24">
        <f t="shared" ref="B38:K38" si="16">IF(AND(B26=0,B27=0,B28=0,B29=0),"",-B25/(B26+B27+B28+B29))</f>
        <v>1.1987754296678592</v>
      </c>
      <c r="C38" s="24">
        <f t="shared" si="16"/>
        <v>1.212963371837062</v>
      </c>
      <c r="D38" s="24">
        <f t="shared" si="16"/>
        <v>1.2271399695683345</v>
      </c>
      <c r="E38" s="24">
        <f t="shared" si="16"/>
        <v>1.241297131899584</v>
      </c>
      <c r="F38" s="24">
        <f t="shared" si="16"/>
        <v>1.255426341761356</v>
      </c>
      <c r="G38" s="24">
        <f t="shared" si="16"/>
        <v>1.2695186395260412</v>
      </c>
      <c r="H38" s="24">
        <f t="shared" si="16"/>
        <v>1.2835614542212328</v>
      </c>
      <c r="I38" s="24">
        <f t="shared" si="16"/>
        <v>1.2975448894646673</v>
      </c>
      <c r="J38" s="24">
        <f t="shared" si="16"/>
        <v>1.311458553487832</v>
      </c>
      <c r="K38" s="25">
        <f t="shared" si="16"/>
        <v>1.3252852367665131</v>
      </c>
      <c r="N38" s="3864"/>
      <c r="O38" s="3866"/>
      <c r="Q38" s="62">
        <v>18</v>
      </c>
      <c r="R38" s="1105">
        <f>-SUM(B32:K32) - SUM(B64:I64)</f>
        <v>705620.65698070067</v>
      </c>
      <c r="S38" s="1105">
        <f>SUM(B33:K33) + SUM(B65:I65)+R38</f>
        <v>1721292.1874729632</v>
      </c>
      <c r="Z38" s="2259" t="s">
        <v>6468</v>
      </c>
      <c r="AA38" s="2263">
        <v>38</v>
      </c>
    </row>
    <row r="39" spans="1:27" ht="13.35" customHeight="1">
      <c r="A39" s="21" t="s">
        <v>718</v>
      </c>
      <c r="B39" s="288">
        <f t="shared" ref="B39:K39" si="17">IF(OR(B22="Choose mgt fee",B22="Choose One!"),"",(B15+B16+B17+B18+B19) / -(B21+B22+B23))</f>
        <v>2.0963181216023794</v>
      </c>
      <c r="C39" s="288">
        <f t="shared" si="17"/>
        <v>2.0780818538280079</v>
      </c>
      <c r="D39" s="288">
        <f t="shared" si="17"/>
        <v>2.0599833312253342</v>
      </c>
      <c r="E39" s="288">
        <f t="shared" si="17"/>
        <v>2.042023648056142</v>
      </c>
      <c r="F39" s="288">
        <f t="shared" si="17"/>
        <v>2.024203676470405</v>
      </c>
      <c r="G39" s="288">
        <f t="shared" si="17"/>
        <v>2.006524083728793</v>
      </c>
      <c r="H39" s="288">
        <f t="shared" si="17"/>
        <v>1.9889805182698754</v>
      </c>
      <c r="I39" s="288">
        <f t="shared" si="17"/>
        <v>1.9715738167360919</v>
      </c>
      <c r="J39" s="288">
        <f t="shared" si="17"/>
        <v>1.9543046178181298</v>
      </c>
      <c r="K39" s="289">
        <f t="shared" si="17"/>
        <v>1.9371647429117957</v>
      </c>
      <c r="N39" s="3864"/>
      <c r="O39" s="3866"/>
      <c r="Q39" s="958">
        <v>19</v>
      </c>
      <c r="R39" s="1105">
        <f>-SUM(B32:K32) - SUM(B64:J64)</f>
        <v>705620.65698070067</v>
      </c>
      <c r="S39" s="1105">
        <f>SUM(B33:K33) + SUM(B65:J65)+R39</f>
        <v>1857089.1022163951</v>
      </c>
      <c r="Z39" s="2259" t="s">
        <v>6468</v>
      </c>
      <c r="AA39" s="2263">
        <v>39</v>
      </c>
    </row>
    <row r="40" spans="1:27" ht="13.35" customHeight="1">
      <c r="A40" s="447" t="s">
        <v>2406</v>
      </c>
      <c r="B40" s="232">
        <f>IF('Part II-Sources of Funds'!$I$40="","",-FV('Part II-Sources of Funds'!$K$40/12,12,B26/12,'Part II-Sources of Funds'!$I$40))</f>
        <v>4355844.6834885981</v>
      </c>
      <c r="C40" s="232">
        <f>IF('Part II-Sources of Funds'!$I$40="","",-FV('Part II-Sources of Funds'!$K$40/12,12,C26/12,B40))</f>
        <v>4298349.1855539437</v>
      </c>
      <c r="D40" s="232">
        <f>IF('Part II-Sources of Funds'!$I$40="","",-FV('Part II-Sources of Funds'!$K$40/12,12,D26/12,C40))</f>
        <v>4237307.4911146201</v>
      </c>
      <c r="E40" s="232">
        <f>IF('Part II-Sources of Funds'!$I$40="","",-FV('Part II-Sources of Funds'!$K$40/12,12,E26/12,D40))</f>
        <v>4172500.8785297782</v>
      </c>
      <c r="F40" s="232">
        <f>IF('Part II-Sources of Funds'!$I$40="","",-FV('Part II-Sources of Funds'!$K$40/12,12,F26/12,E40))</f>
        <v>4103697.135886353</v>
      </c>
      <c r="G40" s="232">
        <f>IF('Part II-Sources of Funds'!$I$40="","",-FV('Part II-Sources of Funds'!$K$40/12,12,G26/12,F40))</f>
        <v>4030649.7289485936</v>
      </c>
      <c r="H40" s="232">
        <f>IF('Part II-Sources of Funds'!$I$40="","",-FV('Part II-Sources of Funds'!$K$40/12,12,H26/12,G40))</f>
        <v>3953096.9177885377</v>
      </c>
      <c r="I40" s="232">
        <f>IF('Part II-Sources of Funds'!$I$40="","",-FV('Part II-Sources of Funds'!$K$40/12,12,I26/12,H40))</f>
        <v>3870760.8189321882</v>
      </c>
      <c r="J40" s="232">
        <f>IF('Part II-Sources of Funds'!$I$40="","",-FV('Part II-Sources of Funds'!$K$40/12,12,J26/12,I40))</f>
        <v>3783346.4096609205</v>
      </c>
      <c r="K40" s="232">
        <f>IF('Part II-Sources of Funds'!$I$40="","",-FV('Part II-Sources of Funds'!$K$40/12,12,K26/12,J40))</f>
        <v>3690540.4709003735</v>
      </c>
      <c r="N40" s="3864"/>
      <c r="O40" s="3866"/>
      <c r="Q40" s="958">
        <v>20</v>
      </c>
      <c r="R40" s="1105">
        <f>-SUM(B32:K32) - SUM(B64:K64)</f>
        <v>705620.65698070067</v>
      </c>
      <c r="S40" s="1105">
        <f>SUM(B33:K33) + SUM(B65:K65)+R40</f>
        <v>1996760.0916546192</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6468</v>
      </c>
      <c r="AA43" s="2262">
        <v>43</v>
      </c>
    </row>
    <row r="44" spans="1:27" ht="13.35" customHeight="1">
      <c r="A44" s="447" t="s">
        <v>3365</v>
      </c>
      <c r="B44" s="234">
        <f>IF('Part II-Sources of Funds'!$I$45="","",-FV('Part II-Sources of Funds'!$K$45/12,12,B32/12,'Part II-Sources of Funds'!$I$45))</f>
        <v>647553.10671083652</v>
      </c>
      <c r="C44" s="234">
        <f>IF('Part II-Sources of Funds'!$I$45="","",IF(-FV('Part II-Sources of Funds'!$K$45/12,12,C32/12,B44)&gt;0,-FV('Part II-Sources of Funds'!$K$45/12,12,C32/12,B44),0))</f>
        <v>584983.63279767311</v>
      </c>
      <c r="D44" s="234">
        <f>IF('Part II-Sources of Funds'!$I$45="","",IF(-FV('Part II-Sources of Funds'!$K$45/12,12,D32/12,C44)&gt;0,-FV('Part II-Sources of Funds'!$K$45/12,12,D32/12,C44),0))</f>
        <v>517916.17764802964</v>
      </c>
      <c r="E44" s="234">
        <f>IF('Part II-Sources of Funds'!$I$45="","",IF(-FV('Part II-Sources of Funds'!$K$45/12,12,E32/12,D44)&gt;0,-FV('Part II-Sources of Funds'!$K$45/12,12,E32/12,D44),0))</f>
        <v>446356.90776717651</v>
      </c>
      <c r="F44" s="234">
        <f>IF('Part II-Sources of Funds'!$I$45="","",IF(-FV('Part II-Sources of Funds'!$K$45/12,12,F32/12,E44)&gt;0,-FV('Part II-Sources of Funds'!$K$45/12,12,F32/12,E44),0))</f>
        <v>370314.69197438948</v>
      </c>
      <c r="G44" s="234">
        <f>IF('Part II-Sources of Funds'!$I$45="","",IF(-FV('Part II-Sources of Funds'!$K$45/12,12,G32/12,F44)&gt;0,-FV('Part II-Sources of Funds'!$K$45/12,12,G32/12,F44),0))</f>
        <v>289801.24181874708</v>
      </c>
      <c r="H44" s="234">
        <f>IF('Part II-Sources of Funds'!$I$45="","",IF(-FV('Part II-Sources of Funds'!$K$45/12,12,H32/12,G44)&gt;0,-FV('Part II-Sources of Funds'!$K$45/12,12,H32/12,G44),0))</f>
        <v>204832.25739432854</v>
      </c>
      <c r="I44" s="234">
        <f>IF('Part II-Sources of Funds'!$I$45="","",IF(-FV('Part II-Sources of Funds'!$K$45/12,12,I32/12,H44)&gt;0,-FV('Part II-Sources of Funds'!$K$45/12,12,I32/12,H44),0))</f>
        <v>115426.57874053536</v>
      </c>
      <c r="J44" s="234">
        <f>IF('Part II-Sources of Funds'!$I$45="","",IF(-FV('Part II-Sources of Funds'!$K$45/12,12,J32/12,I44)&gt;0,-FV('Part II-Sources of Funds'!$K$45/12,12,J32/12,I44),0))</f>
        <v>21606.343019299384</v>
      </c>
      <c r="K44" s="234">
        <f>IF('Part II-Sources of Funds'!$I$45="","",IF(-FV('Part II-Sources of Funds'!$K$45/12,12,K32/12,J44)&gt;0,-FV('Part II-Sources of Funds'!$K$45/12,12,K32/12,J44),0))</f>
        <v>0.34301929938374087</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8">B46+1</f>
        <v>12</v>
      </c>
      <c r="D46" s="15">
        <f t="shared" si="18"/>
        <v>13</v>
      </c>
      <c r="E46" s="15">
        <f t="shared" si="18"/>
        <v>14</v>
      </c>
      <c r="F46" s="15">
        <f t="shared" si="18"/>
        <v>15</v>
      </c>
      <c r="G46" s="15">
        <f t="shared" si="18"/>
        <v>16</v>
      </c>
      <c r="H46" s="15">
        <f t="shared" si="18"/>
        <v>17</v>
      </c>
      <c r="I46" s="15">
        <f t="shared" si="18"/>
        <v>18</v>
      </c>
      <c r="J46" s="15">
        <f t="shared" si="18"/>
        <v>19</v>
      </c>
      <c r="K46" s="15">
        <f t="shared" si="18"/>
        <v>20</v>
      </c>
      <c r="N46" s="3499" t="s">
        <v>2410</v>
      </c>
      <c r="O46" s="3499"/>
      <c r="AA46" s="2263">
        <v>46</v>
      </c>
    </row>
    <row r="47" spans="1:27" ht="13.35" customHeight="1">
      <c r="A47" s="18" t="s">
        <v>2216</v>
      </c>
      <c r="B47" s="19">
        <f t="shared" ref="B47:K47" si="19">$B$15*(1+$B$6)^(B46-1)</f>
        <v>934593.26985462033</v>
      </c>
      <c r="C47" s="19">
        <f t="shared" si="19"/>
        <v>953285.13525171252</v>
      </c>
      <c r="D47" s="19">
        <f t="shared" si="19"/>
        <v>972350.83795674692</v>
      </c>
      <c r="E47" s="19">
        <f t="shared" si="19"/>
        <v>991797.85471588187</v>
      </c>
      <c r="F47" s="19">
        <f t="shared" si="19"/>
        <v>1011633.8118101995</v>
      </c>
      <c r="G47" s="19">
        <f t="shared" si="19"/>
        <v>1031866.4880464033</v>
      </c>
      <c r="H47" s="19">
        <f t="shared" si="19"/>
        <v>1052503.8178073314</v>
      </c>
      <c r="I47" s="19">
        <f t="shared" si="19"/>
        <v>1073553.8941634782</v>
      </c>
      <c r="J47" s="19">
        <f t="shared" si="19"/>
        <v>1095024.9720467476</v>
      </c>
      <c r="K47" s="20">
        <f t="shared" si="19"/>
        <v>1116925.4714876825</v>
      </c>
      <c r="N47" s="3870"/>
      <c r="O47" s="3872"/>
      <c r="Z47" s="2259" t="s">
        <v>6469</v>
      </c>
      <c r="AA47" s="2261">
        <v>47</v>
      </c>
    </row>
    <row r="48" spans="1:27" ht="13.35" customHeight="1">
      <c r="A48" s="21" t="s">
        <v>953</v>
      </c>
      <c r="B48" s="22">
        <f t="shared" ref="B48:K48" si="20">$B$16*(1+$B$6)^(B46-1)</f>
        <v>18691.865397092406</v>
      </c>
      <c r="C48" s="22">
        <f t="shared" si="20"/>
        <v>19065.702705034251</v>
      </c>
      <c r="D48" s="22">
        <f t="shared" si="20"/>
        <v>19447.016759134938</v>
      </c>
      <c r="E48" s="22">
        <f t="shared" si="20"/>
        <v>19835.957094317637</v>
      </c>
      <c r="F48" s="22">
        <f t="shared" si="20"/>
        <v>20232.676236203992</v>
      </c>
      <c r="G48" s="22">
        <f t="shared" si="20"/>
        <v>20637.329760928067</v>
      </c>
      <c r="H48" s="22">
        <f t="shared" si="20"/>
        <v>21050.07635614663</v>
      </c>
      <c r="I48" s="22">
        <f t="shared" si="20"/>
        <v>21471.077883269565</v>
      </c>
      <c r="J48" s="22">
        <f t="shared" si="20"/>
        <v>21900.499440934953</v>
      </c>
      <c r="K48" s="23">
        <f t="shared" si="20"/>
        <v>22338.509429753653</v>
      </c>
      <c r="N48" s="3864"/>
      <c r="O48" s="3866"/>
      <c r="Z48" s="2259" t="s">
        <v>6469</v>
      </c>
      <c r="AA48" s="2262">
        <v>48</v>
      </c>
    </row>
    <row r="49" spans="1:27" ht="13.35" customHeight="1">
      <c r="A49" s="21" t="s">
        <v>2217</v>
      </c>
      <c r="B49" s="22">
        <f t="shared" ref="B49:K49" si="21">-(B47+B48)*$B$9</f>
        <v>-66729.959467619905</v>
      </c>
      <c r="C49" s="22">
        <f t="shared" si="21"/>
        <v>-68064.55865697228</v>
      </c>
      <c r="D49" s="22">
        <f t="shared" si="21"/>
        <v>-69425.849830111736</v>
      </c>
      <c r="E49" s="22">
        <f t="shared" si="21"/>
        <v>-70814.366826713973</v>
      </c>
      <c r="F49" s="22">
        <f t="shared" si="21"/>
        <v>-72230.654163248255</v>
      </c>
      <c r="G49" s="22">
        <f t="shared" si="21"/>
        <v>-73675.267246513205</v>
      </c>
      <c r="H49" s="22">
        <f t="shared" si="21"/>
        <v>-75148.772591443485</v>
      </c>
      <c r="I49" s="22">
        <f t="shared" si="21"/>
        <v>-76651.748043272353</v>
      </c>
      <c r="J49" s="22">
        <f t="shared" si="21"/>
        <v>-78184.783004137789</v>
      </c>
      <c r="K49" s="23">
        <f t="shared" si="21"/>
        <v>-79748.478664220544</v>
      </c>
      <c r="N49" s="3864"/>
      <c r="O49" s="3866"/>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6469</v>
      </c>
      <c r="AA51" s="2262">
        <v>51</v>
      </c>
    </row>
    <row r="52" spans="1:27" ht="13.35" customHeight="1">
      <c r="A52" s="447" t="s">
        <v>3842</v>
      </c>
      <c r="B52" s="22">
        <f t="shared" ref="B52:K52" si="22">SUM(B47:B51)</f>
        <v>886555.17578409286</v>
      </c>
      <c r="C52" s="22">
        <f t="shared" si="22"/>
        <v>904286.27929977456</v>
      </c>
      <c r="D52" s="22">
        <f t="shared" si="22"/>
        <v>922372.00488577015</v>
      </c>
      <c r="E52" s="22">
        <f t="shared" si="22"/>
        <v>940819.4449834855</v>
      </c>
      <c r="F52" s="22">
        <f t="shared" si="22"/>
        <v>959635.83388315525</v>
      </c>
      <c r="G52" s="22">
        <f t="shared" si="22"/>
        <v>978828.55056081829</v>
      </c>
      <c r="H52" s="22">
        <f t="shared" si="22"/>
        <v>998405.12157203467</v>
      </c>
      <c r="I52" s="22">
        <f t="shared" si="22"/>
        <v>1018373.2240034754</v>
      </c>
      <c r="J52" s="22">
        <f t="shared" si="22"/>
        <v>1038740.6884835447</v>
      </c>
      <c r="K52" s="23">
        <f t="shared" si="22"/>
        <v>1059515.5022532158</v>
      </c>
      <c r="N52" s="3864"/>
      <c r="O52" s="3866"/>
      <c r="Z52" s="2259" t="s">
        <v>6469</v>
      </c>
      <c r="AA52" s="2263">
        <v>52</v>
      </c>
    </row>
    <row r="53" spans="1:27" ht="13.35" customHeight="1">
      <c r="A53" s="21" t="s">
        <v>572</v>
      </c>
      <c r="B53" s="22">
        <f t="shared" ref="B53:K53" si="23">$B$21*(1+$B$7)^(B46-1)</f>
        <v>-395877.44786339795</v>
      </c>
      <c r="C53" s="22">
        <f t="shared" si="23"/>
        <v>-407753.7712992999</v>
      </c>
      <c r="D53" s="22">
        <f t="shared" si="23"/>
        <v>-419986.38443827885</v>
      </c>
      <c r="E53" s="22">
        <f t="shared" si="23"/>
        <v>-432585.97597142716</v>
      </c>
      <c r="F53" s="22">
        <f t="shared" si="23"/>
        <v>-445563.55525057006</v>
      </c>
      <c r="G53" s="22">
        <f t="shared" si="23"/>
        <v>-458930.46190808719</v>
      </c>
      <c r="H53" s="22">
        <f t="shared" si="23"/>
        <v>-472698.37576532969</v>
      </c>
      <c r="I53" s="22">
        <f t="shared" si="23"/>
        <v>-486879.32703828957</v>
      </c>
      <c r="J53" s="22">
        <f t="shared" si="23"/>
        <v>-501485.70684943831</v>
      </c>
      <c r="K53" s="23">
        <f t="shared" si="23"/>
        <v>-516530.27805492142</v>
      </c>
      <c r="N53" s="3864"/>
      <c r="O53" s="3866"/>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-44328</v>
      </c>
      <c r="C54" s="22">
        <f>IF(AND('Part VI-Pro Forma'!$G$9="Yes",'Part VI-Pro Forma'!$G$10="Yes"),"Choose One!",IF('Part VI-Pro Forma'!$G$9="Yes",ROUND((-$K$9*(1+'Part VI-Pro Forma'!$B$7)^('Part VI-Pro Forma'!C46-1)),),IF('Part VI-Pro Forma'!$G$10="Yes",ROUND((-(SUM(C47:C50)*'Part VI-Pro Forma'!$K$10)),),"Choose mgt fee")))</f>
        <v>-45214</v>
      </c>
      <c r="D54" s="22">
        <f>IF(AND('Part VI-Pro Forma'!$G$9="Yes",'Part VI-Pro Forma'!$G$10="Yes"),"Choose One!",IF('Part VI-Pro Forma'!$G$9="Yes",ROUND((-$K$9*(1+'Part VI-Pro Forma'!$B$7)^('Part VI-Pro Forma'!D46-1)),),IF('Part VI-Pro Forma'!$G$10="Yes",ROUND((-(SUM(D47:D50)*'Part VI-Pro Forma'!$K$10)),),"Choose mgt fee")))</f>
        <v>-46119</v>
      </c>
      <c r="E54" s="22">
        <f>IF(AND('Part VI-Pro Forma'!$G$9="Yes",'Part VI-Pro Forma'!$G$10="Yes"),"Choose One!",IF('Part VI-Pro Forma'!$G$9="Yes",ROUND((-$K$9*(1+'Part VI-Pro Forma'!$B$7)^('Part VI-Pro Forma'!E46-1)),),IF('Part VI-Pro Forma'!$G$10="Yes",ROUND((-(SUM(E47:E50)*'Part VI-Pro Forma'!$K$10)),),"Choose mgt fee")))</f>
        <v>-47041</v>
      </c>
      <c r="F54" s="22">
        <f>IF(AND('Part VI-Pro Forma'!$G$9="Yes",'Part VI-Pro Forma'!$G$10="Yes"),"Choose One!",IF('Part VI-Pro Forma'!$G$9="Yes",ROUND((-$K$9*(1+'Part VI-Pro Forma'!$B$7)^('Part VI-Pro Forma'!F46-1)),),IF('Part VI-Pro Forma'!$G$10="Yes",ROUND((-(SUM(F47:F50)*'Part VI-Pro Forma'!$K$10)),),"Choose mgt fee")))</f>
        <v>-47982</v>
      </c>
      <c r="G54" s="22">
        <f>IF(AND('Part VI-Pro Forma'!$G$9="Yes",'Part VI-Pro Forma'!$G$10="Yes"),"Choose One!",IF('Part VI-Pro Forma'!$G$9="Yes",ROUND((-$K$9*(1+'Part VI-Pro Forma'!$B$7)^('Part VI-Pro Forma'!G46-1)),),IF('Part VI-Pro Forma'!$G$10="Yes",ROUND((-(SUM(G47:G50)*'Part VI-Pro Forma'!$K$10)),),"Choose mgt fee")))</f>
        <v>-48941</v>
      </c>
      <c r="H54" s="22">
        <f>IF(AND('Part VI-Pro Forma'!$G$9="Yes",'Part VI-Pro Forma'!$G$10="Yes"),"Choose One!",IF('Part VI-Pro Forma'!$G$9="Yes",ROUND((-$K$9*(1+'Part VI-Pro Forma'!$B$7)^('Part VI-Pro Forma'!H46-1)),),IF('Part VI-Pro Forma'!$G$10="Yes",ROUND((-(SUM(H47:H50)*'Part VI-Pro Forma'!$K$10)),),"Choose mgt fee")))</f>
        <v>-49920</v>
      </c>
      <c r="I54" s="22">
        <f>IF(AND('Part VI-Pro Forma'!$G$9="Yes",'Part VI-Pro Forma'!$G$10="Yes"),"Choose One!",IF('Part VI-Pro Forma'!$G$9="Yes",ROUND((-$K$9*(1+'Part VI-Pro Forma'!$B$7)^('Part VI-Pro Forma'!I46-1)),),IF('Part VI-Pro Forma'!$G$10="Yes",ROUND((-(SUM(I47:I50)*'Part VI-Pro Forma'!$K$10)),),"Choose mgt fee")))</f>
        <v>-50919</v>
      </c>
      <c r="J54" s="22">
        <f>IF(AND('Part VI-Pro Forma'!$G$9="Yes",'Part VI-Pro Forma'!$G$10="Yes"),"Choose One!",IF('Part VI-Pro Forma'!$G$9="Yes",ROUND((-$K$9*(1+'Part VI-Pro Forma'!$B$7)^('Part VI-Pro Forma'!J46-1)),),IF('Part VI-Pro Forma'!$G$10="Yes",ROUND((-(SUM(J47:J50)*'Part VI-Pro Forma'!$K$10)),),"Choose mgt fee")))</f>
        <v>-51937</v>
      </c>
      <c r="K54" s="23">
        <f>IF(AND('Part VI-Pro Forma'!$G$9="Yes",'Part VI-Pro Forma'!$G$10="Yes"),"Choose One!",IF('Part VI-Pro Forma'!$G$9="Yes",ROUND((-$K$9*(1+'Part VI-Pro Forma'!$B$7)^('Part VI-Pro Forma'!K46-1)),),IF('Part VI-Pro Forma'!$G$10="Yes",ROUND((-(SUM(K47:K50)*'Part VI-Pro Forma'!$K$10)),),"Choose mgt fee")))</f>
        <v>-52976</v>
      </c>
      <c r="N54" s="3864"/>
      <c r="O54" s="3866"/>
      <c r="Z54" s="2259" t="s">
        <v>6469</v>
      </c>
      <c r="AA54" s="2263">
        <v>54</v>
      </c>
    </row>
    <row r="55" spans="1:27" ht="13.35" customHeight="1">
      <c r="A55" s="21" t="s">
        <v>1129</v>
      </c>
      <c r="B55" s="22">
        <f t="shared" ref="B55:K55" si="24">$B$23*(1+$B$8)^(B46-1)</f>
        <v>-21502.66206950595</v>
      </c>
      <c r="C55" s="22">
        <f t="shared" si="24"/>
        <v>-22147.741931591128</v>
      </c>
      <c r="D55" s="22">
        <f t="shared" si="24"/>
        <v>-22812.174189538859</v>
      </c>
      <c r="E55" s="22">
        <f t="shared" si="24"/>
        <v>-23496.539415225023</v>
      </c>
      <c r="F55" s="22">
        <f t="shared" si="24"/>
        <v>-24201.435597681775</v>
      </c>
      <c r="G55" s="22">
        <f t="shared" si="24"/>
        <v>-24927.478665612231</v>
      </c>
      <c r="H55" s="22">
        <f t="shared" si="24"/>
        <v>-25675.303025580593</v>
      </c>
      <c r="I55" s="22">
        <f t="shared" si="24"/>
        <v>-26445.56211634801</v>
      </c>
      <c r="J55" s="22">
        <f t="shared" si="24"/>
        <v>-27238.928979838453</v>
      </c>
      <c r="K55" s="23">
        <f t="shared" si="24"/>
        <v>-28056.096849233603</v>
      </c>
      <c r="N55" s="3864"/>
      <c r="O55" s="3866"/>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6469</v>
      </c>
      <c r="AA56" s="2263">
        <v>56</v>
      </c>
    </row>
    <row r="57" spans="1:27" ht="13.35" customHeight="1">
      <c r="A57" s="21" t="s">
        <v>1130</v>
      </c>
      <c r="B57" s="22">
        <f t="shared" ref="B57:K57" si="25">SUM(B52:B56)</f>
        <v>424847.06585118896</v>
      </c>
      <c r="C57" s="22">
        <f t="shared" si="25"/>
        <v>429170.76606888353</v>
      </c>
      <c r="D57" s="22">
        <f t="shared" si="25"/>
        <v>433454.44625795243</v>
      </c>
      <c r="E57" s="22">
        <f t="shared" si="25"/>
        <v>437695.9295968333</v>
      </c>
      <c r="F57" s="22">
        <f t="shared" si="25"/>
        <v>441888.8430349034</v>
      </c>
      <c r="G57" s="22">
        <f t="shared" si="25"/>
        <v>446029.60998711886</v>
      </c>
      <c r="H57" s="22">
        <f t="shared" si="25"/>
        <v>450111.44278112438</v>
      </c>
      <c r="I57" s="22">
        <f t="shared" si="25"/>
        <v>454129.33484883787</v>
      </c>
      <c r="J57" s="22">
        <f t="shared" si="25"/>
        <v>458079.05265426805</v>
      </c>
      <c r="K57" s="1538">
        <f t="shared" si="25"/>
        <v>461953.12734906073</v>
      </c>
      <c r="N57" s="3864"/>
      <c r="O57" s="3866"/>
      <c r="Z57" s="2259" t="s">
        <v>6469</v>
      </c>
      <c r="AA57" s="2263">
        <v>57</v>
      </c>
    </row>
    <row r="58" spans="1:27" ht="13.35" customHeight="1">
      <c r="A58" s="21" t="str">
        <f>$A26</f>
        <v>Mortgage A</v>
      </c>
      <c r="B58" s="448">
        <f>IF('Part II-Sources of Funds'!$P$40="", 0,-'Part II-Sources of Funds'!$P$40)</f>
        <v>-317282.13791083649</v>
      </c>
      <c r="C58" s="448">
        <f>IF('Part II-Sources of Funds'!$P$40="", 0,-'Part II-Sources of Funds'!$P$40)</f>
        <v>-317282.13791083649</v>
      </c>
      <c r="D58" s="448">
        <f>IF('Part II-Sources of Funds'!$P$40="", 0,-'Part II-Sources of Funds'!$P$40)</f>
        <v>-317282.13791083649</v>
      </c>
      <c r="E58" s="448">
        <f>IF('Part II-Sources of Funds'!$P$40="", 0,-'Part II-Sources of Funds'!$P$40)</f>
        <v>-317282.13791083649</v>
      </c>
      <c r="F58" s="448">
        <f>IF('Part II-Sources of Funds'!$P$40="", 0,-'Part II-Sources of Funds'!$P$40)</f>
        <v>-317282.13791083649</v>
      </c>
      <c r="G58" s="448">
        <f>IF('Part II-Sources of Funds'!$P$40="", 0,-'Part II-Sources of Funds'!$P$40)</f>
        <v>-317282.13791083649</v>
      </c>
      <c r="H58" s="448">
        <f>IF('Part II-Sources of Funds'!$P$40="", 0,-'Part II-Sources of Funds'!$P$40)</f>
        <v>-317282.13791083649</v>
      </c>
      <c r="I58" s="448">
        <f>IF('Part II-Sources of Funds'!$P$40="", 0,-'Part II-Sources of Funds'!$P$40)</f>
        <v>-317282.13791083649</v>
      </c>
      <c r="J58" s="448">
        <f>IF('Part II-Sources of Funds'!$P$40="", 0,-'Part II-Sources of Funds'!$P$40)</f>
        <v>-317282.13791083649</v>
      </c>
      <c r="K58" s="448">
        <f>IF('Part II-Sources of Funds'!$P$40="", 0,-'Part II-Sources of Funds'!$P$40)</f>
        <v>-317282.13791083649</v>
      </c>
      <c r="N58" s="3864"/>
      <c r="O58" s="3866"/>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6469</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6469</v>
      </c>
      <c r="AA62" s="2263">
        <v>62</v>
      </c>
    </row>
    <row r="63" spans="1:27" ht="13.35" customHeight="1">
      <c r="A63" s="447" t="s">
        <v>1096</v>
      </c>
      <c r="B63" s="233">
        <f>+K31</f>
        <v>-5000</v>
      </c>
      <c r="C63" s="233">
        <f t="shared" ref="C63:K63" si="26">+B63</f>
        <v>-5000</v>
      </c>
      <c r="D63" s="233">
        <f t="shared" si="26"/>
        <v>-5000</v>
      </c>
      <c r="E63" s="233">
        <f t="shared" si="26"/>
        <v>-5000</v>
      </c>
      <c r="F63" s="233">
        <f t="shared" si="26"/>
        <v>-5000</v>
      </c>
      <c r="G63" s="233">
        <f t="shared" si="26"/>
        <v>-5000</v>
      </c>
      <c r="H63" s="233">
        <f t="shared" si="26"/>
        <v>-5000</v>
      </c>
      <c r="I63" s="233">
        <f t="shared" si="26"/>
        <v>-5000</v>
      </c>
      <c r="J63" s="233">
        <f t="shared" si="26"/>
        <v>-5000</v>
      </c>
      <c r="K63" s="233">
        <f t="shared" si="26"/>
        <v>-5000</v>
      </c>
      <c r="N63" s="3864"/>
      <c r="O63" s="3866"/>
      <c r="Z63" s="2259" t="s">
        <v>6469</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6469</v>
      </c>
      <c r="AA64" s="2263">
        <v>64</v>
      </c>
    </row>
    <row r="65" spans="1:27" ht="13.35" customHeight="1">
      <c r="A65" s="21" t="s">
        <v>1097</v>
      </c>
      <c r="B65" s="22">
        <f t="shared" ref="B65:K65" si="27">SUM(B57:B64)</f>
        <v>102564.92794035247</v>
      </c>
      <c r="C65" s="22">
        <f t="shared" si="27"/>
        <v>106888.62815804704</v>
      </c>
      <c r="D65" s="22">
        <f t="shared" si="27"/>
        <v>111172.30834711593</v>
      </c>
      <c r="E65" s="22">
        <f t="shared" si="27"/>
        <v>115413.79168599681</v>
      </c>
      <c r="F65" s="22">
        <f t="shared" si="27"/>
        <v>119606.70512406691</v>
      </c>
      <c r="G65" s="22">
        <f t="shared" si="27"/>
        <v>123747.47207628237</v>
      </c>
      <c r="H65" s="22">
        <f t="shared" si="27"/>
        <v>127829.30487028789</v>
      </c>
      <c r="I65" s="22">
        <f t="shared" si="27"/>
        <v>131847.19693800138</v>
      </c>
      <c r="J65" s="22">
        <f t="shared" si="27"/>
        <v>135796.91474343155</v>
      </c>
      <c r="K65" s="642">
        <f t="shared" si="27"/>
        <v>139670.98943822423</v>
      </c>
      <c r="N65" s="3864"/>
      <c r="O65" s="3866"/>
      <c r="Z65" s="2259" t="s">
        <v>6469</v>
      </c>
      <c r="AA65" s="2263">
        <v>65</v>
      </c>
    </row>
    <row r="66" spans="1:27" ht="13.35" customHeight="1">
      <c r="A66" s="21" t="str">
        <f>$A34</f>
        <v>DCR Mortgage A</v>
      </c>
      <c r="B66" s="24">
        <f t="shared" ref="B66:K66" si="28">IF(B58=0,"",-B57/B58)</f>
        <v>1.3390198031588549</v>
      </c>
      <c r="C66" s="24">
        <f t="shared" si="28"/>
        <v>1.352647107381413</v>
      </c>
      <c r="D66" s="24">
        <f t="shared" si="28"/>
        <v>1.366148277719192</v>
      </c>
      <c r="E66" s="24">
        <f t="shared" si="28"/>
        <v>1.379516453333518</v>
      </c>
      <c r="F66" s="24">
        <f t="shared" si="28"/>
        <v>1.392731547841134</v>
      </c>
      <c r="G66" s="24">
        <f t="shared" si="28"/>
        <v>1.4057822886722458</v>
      </c>
      <c r="H66" s="24">
        <f t="shared" si="28"/>
        <v>1.4186472826516818</v>
      </c>
      <c r="I66" s="24">
        <f t="shared" si="28"/>
        <v>1.4313107502334674</v>
      </c>
      <c r="J66" s="24">
        <f t="shared" si="28"/>
        <v>1.4437593482901918</v>
      </c>
      <c r="K66" s="25">
        <f t="shared" si="28"/>
        <v>1.4559695367373</v>
      </c>
      <c r="N66" s="3864"/>
      <c r="O66" s="3866"/>
      <c r="Z66" s="2259" t="s">
        <v>6469</v>
      </c>
      <c r="AA66" s="2263">
        <v>66</v>
      </c>
    </row>
    <row r="67" spans="1:27" ht="13.35" customHeight="1">
      <c r="A67" s="21" t="str">
        <f>$A35</f>
        <v>DCR Mortgage B</v>
      </c>
      <c r="B67" s="24" t="str">
        <f t="shared" ref="B67:K67" si="29">IF(B59=0,"",-(B57+B58)/B59)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864"/>
      <c r="O67" s="3866"/>
      <c r="Z67" s="2259" t="s">
        <v>6469</v>
      </c>
      <c r="AA67" s="2263">
        <v>67</v>
      </c>
    </row>
    <row r="68" spans="1:27" ht="13.35" customHeight="1">
      <c r="A68" s="21" t="str">
        <f>$A36</f>
        <v>DCR Mortgage C</v>
      </c>
      <c r="B68" s="24" t="str">
        <f t="shared" ref="B68:K68" si="30">IF(B60=0,"",-(B57+B58+B59)/B60)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864"/>
      <c r="O68" s="3866"/>
      <c r="Z68" s="2259" t="s">
        <v>6469</v>
      </c>
      <c r="AA68" s="2261">
        <v>68</v>
      </c>
    </row>
    <row r="69" spans="1:27" ht="13.35" customHeight="1">
      <c r="A69" s="21" t="str">
        <f>$A37</f>
        <v>DCR Other Source</v>
      </c>
      <c r="B69" s="24" t="str">
        <f t="shared" ref="B69:K69" si="31">IF(B61=0,"",-(B57+B58+B59+B60)/B61)</f>
        <v/>
      </c>
      <c r="C69" s="24" t="str">
        <f t="shared" si="31"/>
        <v/>
      </c>
      <c r="D69" s="24" t="str">
        <f t="shared" si="31"/>
        <v/>
      </c>
      <c r="E69" s="24" t="str">
        <f t="shared" si="31"/>
        <v/>
      </c>
      <c r="F69" s="24" t="str">
        <f t="shared" si="31"/>
        <v/>
      </c>
      <c r="G69" s="24" t="str">
        <f t="shared" si="31"/>
        <v/>
      </c>
      <c r="H69" s="24" t="str">
        <f t="shared" si="31"/>
        <v/>
      </c>
      <c r="I69" s="24" t="str">
        <f t="shared" si="31"/>
        <v/>
      </c>
      <c r="J69" s="24" t="str">
        <f t="shared" si="31"/>
        <v/>
      </c>
      <c r="K69" s="25" t="str">
        <f t="shared" si="31"/>
        <v/>
      </c>
      <c r="N69" s="3864"/>
      <c r="O69" s="3866"/>
      <c r="Z69" s="2259" t="s">
        <v>6469</v>
      </c>
      <c r="AA69" s="2262">
        <v>69</v>
      </c>
    </row>
    <row r="70" spans="1:27" ht="13.35" customHeight="1">
      <c r="A70" s="447" t="s">
        <v>3216</v>
      </c>
      <c r="B70" s="24">
        <f t="shared" ref="B70:K70" si="32">IF(AND(B58=0,B59=0,B60=0,B61=0),"",-B57/(B58+B59+B60+B61))</f>
        <v>1.3390198031588549</v>
      </c>
      <c r="C70" s="24">
        <f t="shared" si="32"/>
        <v>1.352647107381413</v>
      </c>
      <c r="D70" s="24">
        <f t="shared" si="32"/>
        <v>1.366148277719192</v>
      </c>
      <c r="E70" s="24">
        <f t="shared" si="32"/>
        <v>1.379516453333518</v>
      </c>
      <c r="F70" s="24">
        <f t="shared" si="32"/>
        <v>1.392731547841134</v>
      </c>
      <c r="G70" s="24">
        <f t="shared" si="32"/>
        <v>1.4057822886722458</v>
      </c>
      <c r="H70" s="24">
        <f t="shared" si="32"/>
        <v>1.4186472826516818</v>
      </c>
      <c r="I70" s="24">
        <f t="shared" si="32"/>
        <v>1.4313107502334674</v>
      </c>
      <c r="J70" s="24">
        <f t="shared" si="32"/>
        <v>1.4437593482901918</v>
      </c>
      <c r="K70" s="25">
        <f t="shared" si="32"/>
        <v>1.4559695367373</v>
      </c>
      <c r="N70" s="3864"/>
      <c r="O70" s="3866"/>
      <c r="Z70" s="2259" t="s">
        <v>6469</v>
      </c>
      <c r="AA70" s="2263">
        <v>70</v>
      </c>
    </row>
    <row r="71" spans="1:27" ht="13.35" customHeight="1">
      <c r="A71" s="21" t="s">
        <v>718</v>
      </c>
      <c r="B71" s="288">
        <f t="shared" ref="B71:K71" si="33">IF(OR(B54="Choose mgt fee",B54="Choose One!"),"",(B47+B48+B49+B50+B51) / -(B53+B54+B55))</f>
        <v>1.9201637500214765</v>
      </c>
      <c r="C71" s="288">
        <f t="shared" si="33"/>
        <v>1.9032977331142631</v>
      </c>
      <c r="D71" s="288">
        <f t="shared" si="33"/>
        <v>1.8865593771564955</v>
      </c>
      <c r="E71" s="288">
        <f t="shared" si="33"/>
        <v>1.8699572097330064</v>
      </c>
      <c r="F71" s="288">
        <f t="shared" si="33"/>
        <v>1.8534841357763063</v>
      </c>
      <c r="G71" s="288">
        <f t="shared" si="33"/>
        <v>1.8371443259756666</v>
      </c>
      <c r="H71" s="288">
        <f t="shared" si="33"/>
        <v>1.8209313004915613</v>
      </c>
      <c r="I71" s="288">
        <f t="shared" si="33"/>
        <v>1.8048458185860452</v>
      </c>
      <c r="J71" s="288">
        <f t="shared" si="33"/>
        <v>1.7888915409402901</v>
      </c>
      <c r="K71" s="289">
        <f t="shared" si="33"/>
        <v>1.7730626069339706</v>
      </c>
      <c r="N71" s="3864"/>
      <c r="O71" s="3866"/>
      <c r="Z71" s="2259" t="s">
        <v>6469</v>
      </c>
      <c r="AA71" s="2263">
        <v>71</v>
      </c>
    </row>
    <row r="72" spans="1:27" ht="13.35" customHeight="1">
      <c r="A72" s="447" t="s">
        <v>2406</v>
      </c>
      <c r="B72" s="232">
        <f>IF('Part II-Sources of Funds'!$I$40="","",-FV('Part II-Sources of Funds'!$K$40/12,12,B58/12,K40))</f>
        <v>3592010.4649090455</v>
      </c>
      <c r="C72" s="232">
        <f>IF('Part II-Sources of Funds'!$I$40="","",-FV('Part II-Sources of Funds'!$K$40/12,12,C58/12,B72))</f>
        <v>3487403.3437451762</v>
      </c>
      <c r="D72" s="232">
        <f>IF('Part II-Sources of Funds'!$I$40="","",-FV('Part II-Sources of Funds'!$K$40/12,12,D58/12,C72))</f>
        <v>3376344.2842424749</v>
      </c>
      <c r="E72" s="232">
        <f>IF('Part II-Sources of Funds'!$I$40="","",-FV('Part II-Sources of Funds'!$K$40/12,12,E58/12,D72))</f>
        <v>3258435.3449619184</v>
      </c>
      <c r="F72" s="232">
        <f>IF('Part II-Sources of Funds'!$I$40="","",-FV('Part II-Sources of Funds'!$K$40/12,12,F58/12,E72))</f>
        <v>3133254.0403072732</v>
      </c>
      <c r="G72" s="232">
        <f>IF('Part II-Sources of Funds'!$I$40="","",-FV('Part II-Sources of Funds'!$K$40/12,12,G58/12,F72))</f>
        <v>3000351.8266951861</v>
      </c>
      <c r="H72" s="232">
        <f>IF('Part II-Sources of Funds'!$I$40="","",-FV('Part II-Sources of Funds'!$K$40/12,12,H58/12,G72))</f>
        <v>2859252.4953555577</v>
      </c>
      <c r="I72" s="232">
        <f>IF('Part II-Sources of Funds'!$I$40="","",-FV('Part II-Sources of Funds'!$K$40/12,12,I58/12,H72))</f>
        <v>2709450.466003357</v>
      </c>
      <c r="J72" s="232">
        <f>IF('Part II-Sources of Funds'!$I$40="","",-FV('Part II-Sources of Funds'!$K$40/12,12,J58/12,I72))</f>
        <v>2550408.9752678513</v>
      </c>
      <c r="K72" s="232">
        <f>IF('Part II-Sources of Funds'!$I$40="","",-FV('Part II-Sources of Funds'!$K$40/12,12,K58/12,J72))</f>
        <v>2381558.1533881119</v>
      </c>
      <c r="N72" s="3864"/>
      <c r="O72" s="3866"/>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6469</v>
      </c>
      <c r="AA75" s="2263">
        <v>75</v>
      </c>
    </row>
    <row r="76" spans="1:27" ht="13.35" customHeight="1">
      <c r="A76" s="447" t="s">
        <v>3365</v>
      </c>
      <c r="B76" s="234">
        <f>IF('Part II-Sources of Funds'!$I$45="","",IF(-FV('Part II-Sources of Funds'!$K$45/12,12,B64/12,K44)&gt;0,-FV('Part II-Sources of Funds'!$K$45/12,12,B64/12,K44),0))</f>
        <v>0.34301929938374087</v>
      </c>
      <c r="C76" s="234">
        <f>IF('Part II-Sources of Funds'!$I$45="","",IF(-FV('Part II-Sources of Funds'!$K$45/12,12,C64/12,B76)&gt;0,-FV('Part II-Sources of Funds'!$K$45/12,12,C64/12,B76),0))</f>
        <v>0.34301929938374087</v>
      </c>
      <c r="D76" s="234">
        <f>IF('Part II-Sources of Funds'!$I$45="","",IF(-FV('Part II-Sources of Funds'!$K$45/12,12,D64/12,C76)&gt;0,-FV('Part II-Sources of Funds'!$K$45/12,12,D64/12,C76),0))</f>
        <v>0.34301929938374087</v>
      </c>
      <c r="E76" s="234">
        <f>IF('Part II-Sources of Funds'!$I$45="","",IF(-FV('Part II-Sources of Funds'!$K$45/12,12,E64/12,D76)&gt;0,-FV('Part II-Sources of Funds'!$K$45/12,12,E64/12,D76),0))</f>
        <v>0.34301929938374087</v>
      </c>
      <c r="F76" s="234">
        <f>IF('Part II-Sources of Funds'!$I$45="","",IF(-FV('Part II-Sources of Funds'!$K$45/12,12,F64/12,E76)&gt;0,-FV('Part II-Sources of Funds'!$K$45/12,12,F64/12,E76),0))</f>
        <v>0.34301929938374087</v>
      </c>
      <c r="G76" s="234">
        <f>IF('Part II-Sources of Funds'!$I$45="","",IF(-FV('Part II-Sources of Funds'!$K$45/12,12,G64/12,F76)&gt;0,-FV('Part II-Sources of Funds'!$K$45/12,12,G64/12,F76),0))</f>
        <v>0.34301929938374087</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4">B78+1</f>
        <v>22</v>
      </c>
      <c r="D78" s="15">
        <f t="shared" si="34"/>
        <v>23</v>
      </c>
      <c r="E78" s="15">
        <f t="shared" si="34"/>
        <v>24</v>
      </c>
      <c r="F78" s="15">
        <f t="shared" si="34"/>
        <v>25</v>
      </c>
      <c r="G78" s="15">
        <f t="shared" si="34"/>
        <v>26</v>
      </c>
      <c r="H78" s="15">
        <f t="shared" si="34"/>
        <v>27</v>
      </c>
      <c r="I78" s="15">
        <f t="shared" si="34"/>
        <v>28</v>
      </c>
      <c r="J78" s="15">
        <f t="shared" si="34"/>
        <v>29</v>
      </c>
      <c r="K78" s="15">
        <f t="shared" si="34"/>
        <v>30</v>
      </c>
      <c r="N78" s="3499" t="s">
        <v>2411</v>
      </c>
      <c r="O78" s="3499"/>
      <c r="AA78" s="2263">
        <v>78</v>
      </c>
    </row>
    <row r="79" spans="1:27" ht="13.35" customHeight="1">
      <c r="A79" s="18" t="s">
        <v>2216</v>
      </c>
      <c r="B79" s="19">
        <f t="shared" ref="B79:K79" si="35">$B$15*(1+$B$6)^(B78-1)</f>
        <v>1139263.9809174363</v>
      </c>
      <c r="C79" s="19">
        <f t="shared" si="35"/>
        <v>1162049.260535785</v>
      </c>
      <c r="D79" s="19">
        <f t="shared" si="35"/>
        <v>1185290.2457465008</v>
      </c>
      <c r="E79" s="19">
        <f t="shared" si="35"/>
        <v>1208996.0506614305</v>
      </c>
      <c r="F79" s="19">
        <f t="shared" si="35"/>
        <v>1233175.9716746593</v>
      </c>
      <c r="G79" s="19">
        <f t="shared" si="35"/>
        <v>1257839.4911081523</v>
      </c>
      <c r="H79" s="19">
        <f t="shared" si="35"/>
        <v>1282996.2809303156</v>
      </c>
      <c r="I79" s="19">
        <f t="shared" si="35"/>
        <v>1308656.2065489218</v>
      </c>
      <c r="J79" s="19">
        <f t="shared" si="35"/>
        <v>1334829.3306799005</v>
      </c>
      <c r="K79" s="20">
        <f t="shared" si="35"/>
        <v>1361525.9172934983</v>
      </c>
      <c r="N79" s="3870"/>
      <c r="O79" s="3872"/>
      <c r="Z79" s="2259" t="s">
        <v>6470</v>
      </c>
      <c r="AA79" s="2263">
        <v>79</v>
      </c>
    </row>
    <row r="80" spans="1:27" ht="13.35" customHeight="1">
      <c r="A80" s="21" t="s">
        <v>953</v>
      </c>
      <c r="B80" s="22">
        <f t="shared" ref="B80:K80" si="36">$B$16*(1+$B$6)^(B78-1)</f>
        <v>22785.279618348726</v>
      </c>
      <c r="C80" s="22">
        <f t="shared" si="36"/>
        <v>23240.985210715702</v>
      </c>
      <c r="D80" s="22">
        <f t="shared" si="36"/>
        <v>23705.804914930017</v>
      </c>
      <c r="E80" s="22">
        <f t="shared" si="36"/>
        <v>24179.921013228613</v>
      </c>
      <c r="F80" s="22">
        <f t="shared" si="36"/>
        <v>24663.519433493184</v>
      </c>
      <c r="G80" s="22">
        <f t="shared" si="36"/>
        <v>25156.789822163049</v>
      </c>
      <c r="H80" s="22">
        <f t="shared" si="36"/>
        <v>25659.925618606314</v>
      </c>
      <c r="I80" s="22">
        <f t="shared" si="36"/>
        <v>26173.124130978435</v>
      </c>
      <c r="J80" s="22">
        <f t="shared" si="36"/>
        <v>26696.586613598007</v>
      </c>
      <c r="K80" s="23">
        <f t="shared" si="36"/>
        <v>27230.518345869965</v>
      </c>
      <c r="N80" s="3864"/>
      <c r="O80" s="3866"/>
      <c r="Z80" s="2259" t="s">
        <v>6470</v>
      </c>
      <c r="AA80" s="2263">
        <v>80</v>
      </c>
    </row>
    <row r="81" spans="1:27" ht="13.35" customHeight="1">
      <c r="A81" s="21" t="s">
        <v>2217</v>
      </c>
      <c r="B81" s="22">
        <f t="shared" ref="B81:K81" si="37">-(B79+B80)*$B$9</f>
        <v>-81343.448237504956</v>
      </c>
      <c r="C81" s="22">
        <f t="shared" si="37"/>
        <v>-82970.317202255057</v>
      </c>
      <c r="D81" s="22">
        <f t="shared" si="37"/>
        <v>-84629.723546300156</v>
      </c>
      <c r="E81" s="22">
        <f t="shared" si="37"/>
        <v>-86322.318017226149</v>
      </c>
      <c r="F81" s="22">
        <f t="shared" si="37"/>
        <v>-88048.764377570682</v>
      </c>
      <c r="G81" s="22">
        <f t="shared" si="37"/>
        <v>-89809.739665122092</v>
      </c>
      <c r="H81" s="22">
        <f t="shared" si="37"/>
        <v>-91605.934458424555</v>
      </c>
      <c r="I81" s="22">
        <f t="shared" si="37"/>
        <v>-93438.053147593033</v>
      </c>
      <c r="J81" s="22">
        <f t="shared" si="37"/>
        <v>-95306.814210544908</v>
      </c>
      <c r="K81" s="23">
        <f t="shared" si="37"/>
        <v>-97212.950494755802</v>
      </c>
      <c r="N81" s="3864"/>
      <c r="O81" s="3866"/>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6470</v>
      </c>
      <c r="AA83" s="2262">
        <v>83</v>
      </c>
    </row>
    <row r="84" spans="1:27" ht="13.35" customHeight="1">
      <c r="A84" s="447" t="s">
        <v>3842</v>
      </c>
      <c r="B84" s="22">
        <f t="shared" ref="B84:K84" si="38">SUM(B79:B83)</f>
        <v>1080705.81229828</v>
      </c>
      <c r="C84" s="22">
        <f t="shared" si="38"/>
        <v>1102319.9285442457</v>
      </c>
      <c r="D84" s="22">
        <f t="shared" si="38"/>
        <v>1124366.3271151306</v>
      </c>
      <c r="E84" s="22">
        <f t="shared" si="38"/>
        <v>1146853.6536574329</v>
      </c>
      <c r="F84" s="22">
        <f t="shared" si="38"/>
        <v>1169790.7267305818</v>
      </c>
      <c r="G84" s="22">
        <f t="shared" si="38"/>
        <v>1193186.5412651934</v>
      </c>
      <c r="H84" s="22">
        <f t="shared" si="38"/>
        <v>1217050.2720904974</v>
      </c>
      <c r="I84" s="22">
        <f t="shared" si="38"/>
        <v>1241391.2775323072</v>
      </c>
      <c r="J84" s="22">
        <f t="shared" si="38"/>
        <v>1266219.1030829537</v>
      </c>
      <c r="K84" s="23">
        <f t="shared" si="38"/>
        <v>1291543.4851446126</v>
      </c>
      <c r="N84" s="3864"/>
      <c r="O84" s="3866"/>
      <c r="Z84" s="2259" t="s">
        <v>6470</v>
      </c>
      <c r="AA84" s="2263">
        <v>84</v>
      </c>
    </row>
    <row r="85" spans="1:27" ht="13.35" customHeight="1">
      <c r="A85" s="21" t="s">
        <v>572</v>
      </c>
      <c r="B85" s="22">
        <f t="shared" ref="B85:K85" si="39">$B$21*(1+$B$7)^(B78-1)</f>
        <v>-532026.18639656901</v>
      </c>
      <c r="C85" s="22">
        <f t="shared" si="39"/>
        <v>-547986.9719884661</v>
      </c>
      <c r="D85" s="22">
        <f t="shared" si="39"/>
        <v>-564426.58114812011</v>
      </c>
      <c r="E85" s="22">
        <f t="shared" si="39"/>
        <v>-581359.37858256372</v>
      </c>
      <c r="F85" s="22">
        <f t="shared" si="39"/>
        <v>-598800.15994004055</v>
      </c>
      <c r="G85" s="22">
        <f t="shared" si="39"/>
        <v>-616764.16473824182</v>
      </c>
      <c r="H85" s="22">
        <f t="shared" si="39"/>
        <v>-635267.08968038915</v>
      </c>
      <c r="I85" s="22">
        <f t="shared" si="39"/>
        <v>-654325.10237080068</v>
      </c>
      <c r="J85" s="22">
        <f t="shared" si="39"/>
        <v>-673954.85544192477</v>
      </c>
      <c r="K85" s="23">
        <f t="shared" si="39"/>
        <v>-694173.50110518245</v>
      </c>
      <c r="N85" s="3864"/>
      <c r="O85" s="3866"/>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-54035</v>
      </c>
      <c r="C86" s="22">
        <f>IF(AND('Part VI-Pro Forma'!$G$9="Yes",'Part VI-Pro Forma'!$G$10="Yes"),"Choose One!",IF('Part VI-Pro Forma'!$G$9="Yes",ROUND((-$K$9*(1+'Part VI-Pro Forma'!$B$7)^('Part VI-Pro Forma'!C78-1)),),IF('Part VI-Pro Forma'!$G$10="Yes",ROUND((-(SUM(C79:C82)*'Part VI-Pro Forma'!$K$10)),),"Choose mgt fee")))</f>
        <v>-55116</v>
      </c>
      <c r="D86" s="22">
        <f>IF(AND('Part VI-Pro Forma'!$G$9="Yes",'Part VI-Pro Forma'!$G$10="Yes"),"Choose One!",IF('Part VI-Pro Forma'!$G$9="Yes",ROUND((-$K$9*(1+'Part VI-Pro Forma'!$B$7)^('Part VI-Pro Forma'!D78-1)),),IF('Part VI-Pro Forma'!$G$10="Yes",ROUND((-(SUM(D79:D82)*'Part VI-Pro Forma'!$K$10)),),"Choose mgt fee")))</f>
        <v>-56218</v>
      </c>
      <c r="E86" s="22">
        <f>IF(AND('Part VI-Pro Forma'!$G$9="Yes",'Part VI-Pro Forma'!$G$10="Yes"),"Choose One!",IF('Part VI-Pro Forma'!$G$9="Yes",ROUND((-$K$9*(1+'Part VI-Pro Forma'!$B$7)^('Part VI-Pro Forma'!E78-1)),),IF('Part VI-Pro Forma'!$G$10="Yes",ROUND((-(SUM(E79:E82)*'Part VI-Pro Forma'!$K$10)),),"Choose mgt fee")))</f>
        <v>-57343</v>
      </c>
      <c r="F86" s="22">
        <f>IF(AND('Part VI-Pro Forma'!$G$9="Yes",'Part VI-Pro Forma'!$G$10="Yes"),"Choose One!",IF('Part VI-Pro Forma'!$G$9="Yes",ROUND((-$K$9*(1+'Part VI-Pro Forma'!$B$7)^('Part VI-Pro Forma'!F78-1)),),IF('Part VI-Pro Forma'!$G$10="Yes",ROUND((-(SUM(F79:F82)*'Part VI-Pro Forma'!$K$10)),),"Choose mgt fee")))</f>
        <v>-58490</v>
      </c>
      <c r="G86" s="22">
        <f>IF(AND('Part VI-Pro Forma'!$G$9="Yes",'Part VI-Pro Forma'!$G$10="Yes"),"Choose One!",IF('Part VI-Pro Forma'!$G$9="Yes",ROUND((-$K$9*(1+'Part VI-Pro Forma'!$B$7)^('Part VI-Pro Forma'!G78-1)),),IF('Part VI-Pro Forma'!$G$10="Yes",ROUND((-(SUM(G79:G82)*'Part VI-Pro Forma'!$K$10)),),"Choose mgt fee")))</f>
        <v>-59659</v>
      </c>
      <c r="H86" s="22">
        <f>IF(AND('Part VI-Pro Forma'!$G$9="Yes",'Part VI-Pro Forma'!$G$10="Yes"),"Choose One!",IF('Part VI-Pro Forma'!$G$9="Yes",ROUND((-$K$9*(1+'Part VI-Pro Forma'!$B$7)^('Part VI-Pro Forma'!H78-1)),),IF('Part VI-Pro Forma'!$G$10="Yes",ROUND((-(SUM(H79:H82)*'Part VI-Pro Forma'!$K$10)),),"Choose mgt fee")))</f>
        <v>-60853</v>
      </c>
      <c r="I86" s="22">
        <f>IF(AND('Part VI-Pro Forma'!$G$9="Yes",'Part VI-Pro Forma'!$G$10="Yes"),"Choose One!",IF('Part VI-Pro Forma'!$G$9="Yes",ROUND((-$K$9*(1+'Part VI-Pro Forma'!$B$7)^('Part VI-Pro Forma'!I78-1)),),IF('Part VI-Pro Forma'!$G$10="Yes",ROUND((-(SUM(I79:I82)*'Part VI-Pro Forma'!$K$10)),),"Choose mgt fee")))</f>
        <v>-62070</v>
      </c>
      <c r="J86" s="22">
        <f>IF(AND('Part VI-Pro Forma'!$G$9="Yes",'Part VI-Pro Forma'!$G$10="Yes"),"Choose One!",IF('Part VI-Pro Forma'!$G$9="Yes",ROUND((-$K$9*(1+'Part VI-Pro Forma'!$B$7)^('Part VI-Pro Forma'!J78-1)),),IF('Part VI-Pro Forma'!$G$10="Yes",ROUND((-(SUM(J79:J82)*'Part VI-Pro Forma'!$K$10)),),"Choose mgt fee")))</f>
        <v>-63311</v>
      </c>
      <c r="K86" s="23">
        <f>IF(AND('Part VI-Pro Forma'!$G$9="Yes",'Part VI-Pro Forma'!$G$10="Yes"),"Choose One!",IF('Part VI-Pro Forma'!$G$9="Yes",ROUND((-$K$9*(1+'Part VI-Pro Forma'!$B$7)^('Part VI-Pro Forma'!K78-1)),),IF('Part VI-Pro Forma'!$G$10="Yes",ROUND((-(SUM(K79:K82)*'Part VI-Pro Forma'!$K$10)),),"Choose mgt fee")))</f>
        <v>-64577</v>
      </c>
      <c r="N86" s="3864"/>
      <c r="O86" s="3866"/>
      <c r="Z86" s="2259" t="s">
        <v>6470</v>
      </c>
      <c r="AA86" s="2263">
        <v>86</v>
      </c>
    </row>
    <row r="87" spans="1:27" ht="13.35" customHeight="1">
      <c r="A87" s="21" t="s">
        <v>1129</v>
      </c>
      <c r="B87" s="22">
        <f t="shared" ref="B87:K87" si="40">$B$23*(1+$B$8)^(B78-1)</f>
        <v>-28897.779754710613</v>
      </c>
      <c r="C87" s="22">
        <f t="shared" si="40"/>
        <v>-29764.713147351926</v>
      </c>
      <c r="D87" s="22">
        <f t="shared" si="40"/>
        <v>-30657.654541772488</v>
      </c>
      <c r="E87" s="22">
        <f t="shared" si="40"/>
        <v>-31577.384178025663</v>
      </c>
      <c r="F87" s="22">
        <f t="shared" si="40"/>
        <v>-32524.705703366428</v>
      </c>
      <c r="G87" s="22">
        <f t="shared" si="40"/>
        <v>-33500.446874467423</v>
      </c>
      <c r="H87" s="22">
        <f t="shared" si="40"/>
        <v>-34505.460280701453</v>
      </c>
      <c r="I87" s="22">
        <f t="shared" si="40"/>
        <v>-35540.624089122488</v>
      </c>
      <c r="J87" s="22">
        <f t="shared" si="40"/>
        <v>-36606.842811796167</v>
      </c>
      <c r="K87" s="23">
        <f t="shared" si="40"/>
        <v>-37705.048096150043</v>
      </c>
      <c r="N87" s="3864"/>
      <c r="O87" s="3866"/>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6470</v>
      </c>
      <c r="AA88" s="2263">
        <v>88</v>
      </c>
    </row>
    <row r="89" spans="1:27" ht="13.35" customHeight="1">
      <c r="A89" s="21" t="s">
        <v>1130</v>
      </c>
      <c r="B89" s="22">
        <f t="shared" ref="B89:K89" si="41">SUM(B84:B88)</f>
        <v>465746.84614700032</v>
      </c>
      <c r="C89" s="22">
        <f t="shared" si="41"/>
        <v>469452.24340842763</v>
      </c>
      <c r="D89" s="22">
        <f t="shared" si="41"/>
        <v>473064.091425238</v>
      </c>
      <c r="E89" s="22">
        <f t="shared" si="41"/>
        <v>476573.89089684351</v>
      </c>
      <c r="F89" s="22">
        <f t="shared" si="41"/>
        <v>479975.86108717485</v>
      </c>
      <c r="G89" s="22">
        <f t="shared" si="41"/>
        <v>483262.92965248413</v>
      </c>
      <c r="H89" s="22">
        <f t="shared" si="41"/>
        <v>486424.72212940681</v>
      </c>
      <c r="I89" s="22">
        <f t="shared" si="41"/>
        <v>489455.551072384</v>
      </c>
      <c r="J89" s="22">
        <f t="shared" si="41"/>
        <v>492346.40482923278</v>
      </c>
      <c r="K89" s="1538">
        <f t="shared" si="41"/>
        <v>495087.93594328011</v>
      </c>
      <c r="N89" s="3864"/>
      <c r="O89" s="3866"/>
      <c r="Z89" s="2259" t="s">
        <v>6470</v>
      </c>
      <c r="AA89" s="2263">
        <v>89</v>
      </c>
    </row>
    <row r="90" spans="1:27" ht="13.35" customHeight="1">
      <c r="A90" s="21" t="str">
        <f>$A58</f>
        <v>Mortgage A</v>
      </c>
      <c r="B90" s="448">
        <f>IF('Part II-Sources of Funds'!$P$40="", 0,-'Part II-Sources of Funds'!$P$40)</f>
        <v>-317282.13791083649</v>
      </c>
      <c r="C90" s="448">
        <f>IF('Part II-Sources of Funds'!$P$40="", 0,-'Part II-Sources of Funds'!$P$40)</f>
        <v>-317282.13791083649</v>
      </c>
      <c r="D90" s="448">
        <f>IF('Part II-Sources of Funds'!$P$40="", 0,-'Part II-Sources of Funds'!$P$40)</f>
        <v>-317282.13791083649</v>
      </c>
      <c r="E90" s="448">
        <f>IF('Part II-Sources of Funds'!$P$40="", 0,-'Part II-Sources of Funds'!$P$40)</f>
        <v>-317282.13791083649</v>
      </c>
      <c r="F90" s="448">
        <f>IF('Part II-Sources of Funds'!$P$40="", 0,-'Part II-Sources of Funds'!$P$40)</f>
        <v>-317282.13791083649</v>
      </c>
      <c r="G90" s="448">
        <f>IF('Part II-Sources of Funds'!$P$40="", 0,-'Part II-Sources of Funds'!$P$40)</f>
        <v>-317282.13791083649</v>
      </c>
      <c r="H90" s="448">
        <f>IF('Part II-Sources of Funds'!$P$40="", 0,-'Part II-Sources of Funds'!$P$40)</f>
        <v>-317282.13791083649</v>
      </c>
      <c r="I90" s="448">
        <f>IF('Part II-Sources of Funds'!$P$40="", 0,-'Part II-Sources of Funds'!$P$40)</f>
        <v>-317282.13791083649</v>
      </c>
      <c r="J90" s="448">
        <f>IF('Part II-Sources of Funds'!$P$40="", 0,-'Part II-Sources of Funds'!$P$40)</f>
        <v>-317282.13791083649</v>
      </c>
      <c r="K90" s="448">
        <f>IF('Part II-Sources of Funds'!$P$40="", 0,-'Part II-Sources of Funds'!$P$40)</f>
        <v>-317282.13791083649</v>
      </c>
      <c r="N90" s="3864"/>
      <c r="O90" s="3866"/>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6470</v>
      </c>
      <c r="AA93" s="2263">
        <v>93</v>
      </c>
    </row>
    <row r="94" spans="1:27" ht="13.35" customHeight="1">
      <c r="A94" s="21" t="s">
        <v>711</v>
      </c>
      <c r="B94" s="173"/>
      <c r="C94" s="173"/>
      <c r="D94" s="173"/>
      <c r="E94" s="173"/>
      <c r="F94" s="173"/>
      <c r="G94" s="173"/>
      <c r="H94" s="173"/>
      <c r="I94" s="173"/>
      <c r="J94" s="173"/>
      <c r="K94" s="173"/>
      <c r="N94" s="3864"/>
      <c r="O94" s="3866"/>
      <c r="Z94" s="2259" t="s">
        <v>6470</v>
      </c>
      <c r="AA94" s="2263">
        <v>94</v>
      </c>
    </row>
    <row r="95" spans="1:27" ht="13.35" customHeight="1">
      <c r="A95" s="447" t="s">
        <v>1096</v>
      </c>
      <c r="B95" s="234">
        <f>+K63</f>
        <v>-5000</v>
      </c>
      <c r="C95" s="234">
        <f t="shared" ref="C95:K95" si="42">+B95</f>
        <v>-5000</v>
      </c>
      <c r="D95" s="234">
        <f t="shared" si="42"/>
        <v>-5000</v>
      </c>
      <c r="E95" s="234">
        <f t="shared" si="42"/>
        <v>-5000</v>
      </c>
      <c r="F95" s="234">
        <f t="shared" si="42"/>
        <v>-5000</v>
      </c>
      <c r="G95" s="234">
        <f t="shared" si="42"/>
        <v>-5000</v>
      </c>
      <c r="H95" s="234">
        <f t="shared" si="42"/>
        <v>-5000</v>
      </c>
      <c r="I95" s="234">
        <f t="shared" si="42"/>
        <v>-5000</v>
      </c>
      <c r="J95" s="234">
        <f t="shared" si="42"/>
        <v>-5000</v>
      </c>
      <c r="K95" s="234">
        <f t="shared" si="42"/>
        <v>-5000</v>
      </c>
      <c r="N95" s="3864"/>
      <c r="O95" s="3866"/>
      <c r="Z95" s="2259" t="s">
        <v>6470</v>
      </c>
      <c r="AA95" s="2263">
        <v>95</v>
      </c>
    </row>
    <row r="96" spans="1:27" ht="13.35" customHeight="1">
      <c r="A96" s="21" t="s">
        <v>1097</v>
      </c>
      <c r="B96" s="22">
        <f t="shared" ref="B96:K96" si="43">SUM(B89:B95)</f>
        <v>143464.70823616383</v>
      </c>
      <c r="C96" s="22">
        <f t="shared" si="43"/>
        <v>147170.10549759114</v>
      </c>
      <c r="D96" s="22">
        <f t="shared" si="43"/>
        <v>150781.95351440151</v>
      </c>
      <c r="E96" s="22">
        <f t="shared" si="43"/>
        <v>154291.75298600702</v>
      </c>
      <c r="F96" s="22">
        <f t="shared" si="43"/>
        <v>157693.72317633836</v>
      </c>
      <c r="G96" s="22">
        <f t="shared" si="43"/>
        <v>160980.79174164764</v>
      </c>
      <c r="H96" s="22">
        <f t="shared" si="43"/>
        <v>164142.58421857032</v>
      </c>
      <c r="I96" s="22">
        <f t="shared" si="43"/>
        <v>167173.41316154751</v>
      </c>
      <c r="J96" s="22">
        <f t="shared" si="43"/>
        <v>170064.26691839629</v>
      </c>
      <c r="K96" s="23">
        <f t="shared" si="43"/>
        <v>172805.79803244362</v>
      </c>
      <c r="N96" s="3864"/>
      <c r="O96" s="3866"/>
      <c r="Z96" s="2259" t="s">
        <v>6470</v>
      </c>
      <c r="AA96" s="2261">
        <v>96</v>
      </c>
    </row>
    <row r="97" spans="1:27" ht="13.35" customHeight="1">
      <c r="A97" s="21" t="str">
        <f>$A66</f>
        <v>DCR Mortgage A</v>
      </c>
      <c r="B97" s="24">
        <f t="shared" ref="B97:K97" si="44">IF(B90=0,"",-B89/B90)</f>
        <v>1.467926461961391</v>
      </c>
      <c r="C97" s="24">
        <f t="shared" si="44"/>
        <v>1.4796050181064855</v>
      </c>
      <c r="D97" s="24">
        <f t="shared" si="44"/>
        <v>1.4909887286443455</v>
      </c>
      <c r="E97" s="24">
        <f t="shared" si="44"/>
        <v>1.5020508057430313</v>
      </c>
      <c r="F97" s="24">
        <f t="shared" si="44"/>
        <v>1.5127730298579209</v>
      </c>
      <c r="G97" s="24">
        <f t="shared" si="44"/>
        <v>1.523133110595378</v>
      </c>
      <c r="H97" s="24">
        <f t="shared" si="44"/>
        <v>1.533098350043592</v>
      </c>
      <c r="I97" s="24">
        <f t="shared" si="44"/>
        <v>1.5426508226880775</v>
      </c>
      <c r="J97" s="24">
        <f t="shared" si="44"/>
        <v>1.5517621258830314</v>
      </c>
      <c r="K97" s="25">
        <f t="shared" si="44"/>
        <v>1.5604027986044746</v>
      </c>
      <c r="N97" s="3864"/>
      <c r="O97" s="3866"/>
      <c r="Z97" s="2259" t="s">
        <v>6470</v>
      </c>
      <c r="AA97" s="2262">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64"/>
      <c r="O98" s="3866"/>
      <c r="Z98" s="2259" t="s">
        <v>6470</v>
      </c>
      <c r="AA98" s="2263">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64"/>
      <c r="O99" s="3866"/>
      <c r="Z99" s="2259" t="s">
        <v>6470</v>
      </c>
      <c r="AA99" s="2261">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64"/>
      <c r="O100" s="3866"/>
      <c r="Z100" s="2259" t="s">
        <v>6470</v>
      </c>
      <c r="AA100" s="2262">
        <v>100</v>
      </c>
    </row>
    <row r="101" spans="1:27" ht="13.35" customHeight="1">
      <c r="A101" s="447" t="s">
        <v>3216</v>
      </c>
      <c r="B101" s="24">
        <f t="shared" ref="B101:K101" si="48">IF(AND(B90=0,B91=0,B92=0,B93=0),"",-B89/(B90+B91+B92+B93))</f>
        <v>1.467926461961391</v>
      </c>
      <c r="C101" s="24">
        <f t="shared" si="48"/>
        <v>1.4796050181064855</v>
      </c>
      <c r="D101" s="24">
        <f t="shared" si="48"/>
        <v>1.4909887286443455</v>
      </c>
      <c r="E101" s="24">
        <f t="shared" si="48"/>
        <v>1.5020508057430313</v>
      </c>
      <c r="F101" s="24">
        <f t="shared" si="48"/>
        <v>1.5127730298579209</v>
      </c>
      <c r="G101" s="24">
        <f t="shared" si="48"/>
        <v>1.523133110595378</v>
      </c>
      <c r="H101" s="24">
        <f t="shared" si="48"/>
        <v>1.533098350043592</v>
      </c>
      <c r="I101" s="24">
        <f t="shared" si="48"/>
        <v>1.5426508226880775</v>
      </c>
      <c r="J101" s="24">
        <f t="shared" si="48"/>
        <v>1.5517621258830314</v>
      </c>
      <c r="K101" s="25">
        <f t="shared" si="48"/>
        <v>1.5604027986044746</v>
      </c>
      <c r="N101" s="3864"/>
      <c r="O101" s="3866"/>
      <c r="Z101" s="2259" t="s">
        <v>6470</v>
      </c>
      <c r="AA101" s="2263">
        <v>101</v>
      </c>
    </row>
    <row r="102" spans="1:27" ht="13.35" customHeight="1">
      <c r="A102" s="21" t="s">
        <v>718</v>
      </c>
      <c r="B102" s="288">
        <f>IF(OR(B86="Choose mgt fee",B86="Choose One!"),"",(B79+B80+B81+B82+B83) / -(B85+B86+B87))</f>
        <v>1.757362477470451</v>
      </c>
      <c r="C102" s="288">
        <f t="shared" ref="C102:K102" si="49">IF(OR(C86="Choose mgt fee",C86="Choose One!"),"",(C79+C80+C81+C82+C83) / -(C85+C86+C87))</f>
        <v>1.7417857704453334</v>
      </c>
      <c r="D102" s="288">
        <f t="shared" si="49"/>
        <v>1.7263357401562494</v>
      </c>
      <c r="E102" s="288">
        <f t="shared" si="49"/>
        <v>1.7110074290980291</v>
      </c>
      <c r="F102" s="288">
        <f t="shared" si="49"/>
        <v>1.6958038815813135</v>
      </c>
      <c r="G102" s="288">
        <f t="shared" si="49"/>
        <v>1.6807252523333773</v>
      </c>
      <c r="H102" s="288">
        <f t="shared" si="49"/>
        <v>1.6657647301758218</v>
      </c>
      <c r="I102" s="288">
        <f t="shared" si="49"/>
        <v>1.6509273782969682</v>
      </c>
      <c r="J102" s="288">
        <f t="shared" si="49"/>
        <v>1.6362111054443902</v>
      </c>
      <c r="K102" s="289">
        <f t="shared" si="49"/>
        <v>1.621614020317572</v>
      </c>
      <c r="N102" s="3864"/>
      <c r="O102" s="3866"/>
      <c r="Z102" s="2259" t="s">
        <v>6470</v>
      </c>
      <c r="AA102" s="2263">
        <v>102</v>
      </c>
    </row>
    <row r="103" spans="1:27" ht="13.35" customHeight="1">
      <c r="A103" s="447" t="s">
        <v>2406</v>
      </c>
      <c r="B103" s="232">
        <f>IF('Part II-Sources of Funds'!$I$40="","",-FV('Part II-Sources of Funds'!$K$40/12,12,B90/12,K72))</f>
        <v>2202292.9822833082</v>
      </c>
      <c r="C103" s="232">
        <f>IF('Part II-Sources of Funds'!$I$40="","",-FV('Part II-Sources of Funds'!$K$40/12,12,C90/12,B103))</f>
        <v>2011971.1276812456</v>
      </c>
      <c r="D103" s="232">
        <f>IF('Part II-Sources of Funds'!$I$40="","",-FV('Part II-Sources of Funds'!$K$40/12,12,D90/12,C103))</f>
        <v>1809910.6375373346</v>
      </c>
      <c r="E103" s="232">
        <f>IF('Part II-Sources of Funds'!$I$40="","",-FV('Part II-Sources of Funds'!$K$40/12,12,E90/12,D103))</f>
        <v>1595387.4984970794</v>
      </c>
      <c r="F103" s="232">
        <f>IF('Part II-Sources of Funds'!$I$40="","",-FV('Part II-Sources of Funds'!$K$40/12,12,F90/12,E103))</f>
        <v>1367633.0416465178</v>
      </c>
      <c r="G103" s="232">
        <f>IF('Part II-Sources of Funds'!$I$40="","",-FV('Part II-Sources of Funds'!$K$40/12,12,G90/12,F103))</f>
        <v>1125831.1882550265</v>
      </c>
      <c r="H103" s="232">
        <f>IF('Part II-Sources of Funds'!$I$40="","",-FV('Part II-Sources of Funds'!$K$40/12,12,H90/12,G103))</f>
        <v>869115.52564156777</v>
      </c>
      <c r="I103" s="232">
        <f>IF('Part II-Sources of Funds'!$I$40="","",-FV('Part II-Sources of Funds'!$K$40/12,12,I90/12,H103))</f>
        <v>596566.2026867664</v>
      </c>
      <c r="J103" s="232">
        <f>IF('Part II-Sources of Funds'!$I$40="","",-FV('Part II-Sources of Funds'!$K$40/12,12,J90/12,I103))</f>
        <v>307206.63386696263</v>
      </c>
      <c r="K103" s="232">
        <f>IF('Part II-Sources of Funds'!$I$40="","",-FV('Part II-Sources of Funds'!$K$40/12,12,K90/12,J103))</f>
        <v>2.9883813112974167E-7</v>
      </c>
      <c r="N103" s="3864"/>
      <c r="O103" s="3866"/>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1388756.4356393684</v>
      </c>
      <c r="C109" s="19">
        <f>$B$15*(1+$B$6)^(C108-1)</f>
        <v>1416531.5643521554</v>
      </c>
      <c r="D109" s="19">
        <f>$B$15*(1+$B$6)^(D108-1)</f>
        <v>1444862.1956391986</v>
      </c>
      <c r="E109" s="19">
        <f>$B$15*(1+$B$6)^(E108-1)</f>
        <v>1473759.4395519828</v>
      </c>
      <c r="F109" s="642">
        <f>$B$15*(1+$B$6)^(F108-1)</f>
        <v>1503234.6283430222</v>
      </c>
      <c r="G109" s="17"/>
      <c r="H109" s="17"/>
      <c r="I109" s="17"/>
      <c r="J109" s="17"/>
      <c r="K109" s="17"/>
      <c r="N109" s="3870"/>
      <c r="O109" s="3872"/>
      <c r="Z109" s="2259" t="s">
        <v>6471</v>
      </c>
      <c r="AA109" s="2262">
        <v>109</v>
      </c>
    </row>
    <row r="110" spans="1:27" ht="13.35" customHeight="1">
      <c r="A110" s="21" t="s">
        <v>953</v>
      </c>
      <c r="B110" s="22">
        <f>$B$16*(1+$B$6)^(B108-1)</f>
        <v>27775.128712787366</v>
      </c>
      <c r="C110" s="22">
        <f>$B$16*(1+$B$6)^(C108-1)</f>
        <v>28330.631287043107</v>
      </c>
      <c r="D110" s="22">
        <f>$B$16*(1+$B$6)^(D108-1)</f>
        <v>28897.243912783975</v>
      </c>
      <c r="E110" s="22">
        <f>$B$16*(1+$B$6)^(E108-1)</f>
        <v>29475.188791039654</v>
      </c>
      <c r="F110" s="23">
        <f>$B$16*(1+$B$6)^(F108-1)</f>
        <v>30064.692566860445</v>
      </c>
      <c r="G110" s="17"/>
      <c r="H110" s="17"/>
      <c r="I110" s="17"/>
      <c r="J110" s="17"/>
      <c r="K110" s="17"/>
      <c r="N110" s="3864"/>
      <c r="O110" s="3866"/>
      <c r="Z110" s="2259" t="s">
        <v>6471</v>
      </c>
      <c r="AA110" s="2263">
        <v>110</v>
      </c>
    </row>
    <row r="111" spans="1:27" ht="13.35" customHeight="1">
      <c r="A111" s="21" t="s">
        <v>2217</v>
      </c>
      <c r="B111" s="22">
        <f>-(B109+B110)*$B$9</f>
        <v>-99157.209504650906</v>
      </c>
      <c r="C111" s="22">
        <f>-(C109+C110)*$B$9</f>
        <v>-101140.35369474391</v>
      </c>
      <c r="D111" s="22">
        <f>-(D109+D110)*$B$9</f>
        <v>-103163.16076863879</v>
      </c>
      <c r="E111" s="22">
        <f>-(E109+E110)*$B$9</f>
        <v>-105226.42398401158</v>
      </c>
      <c r="F111" s="23">
        <f>-(F109+F110)*$B$9</f>
        <v>-107330.95246369179</v>
      </c>
      <c r="G111" s="17"/>
      <c r="H111" s="17"/>
      <c r="I111" s="17"/>
      <c r="J111" s="17"/>
      <c r="K111" s="17"/>
      <c r="N111" s="3864"/>
      <c r="O111" s="3866"/>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6471</v>
      </c>
      <c r="AA113" s="2263">
        <v>113</v>
      </c>
    </row>
    <row r="114" spans="1:27" ht="13.35" customHeight="1">
      <c r="A114" s="447" t="s">
        <v>3842</v>
      </c>
      <c r="B114" s="22">
        <f>SUM(B109:B113)</f>
        <v>1317374.3548475048</v>
      </c>
      <c r="C114" s="22">
        <f>SUM(C109:C113)</f>
        <v>1343721.8419444547</v>
      </c>
      <c r="D114" s="22">
        <f>SUM(D109:D113)</f>
        <v>1370596.2787833437</v>
      </c>
      <c r="E114" s="22">
        <f>SUM(E109:E113)</f>
        <v>1398008.2043590108</v>
      </c>
      <c r="F114" s="23">
        <f>SUM(F109:F113)</f>
        <v>1425968.3684461908</v>
      </c>
      <c r="G114" s="17"/>
      <c r="H114" s="17"/>
      <c r="I114" s="17"/>
      <c r="J114" s="17"/>
      <c r="K114" s="17"/>
      <c r="N114" s="3864"/>
      <c r="O114" s="3866"/>
      <c r="Z114" s="2259" t="s">
        <v>6471</v>
      </c>
      <c r="AA114" s="2263">
        <v>114</v>
      </c>
    </row>
    <row r="115" spans="1:27" ht="13.35" customHeight="1">
      <c r="A115" s="21" t="s">
        <v>572</v>
      </c>
      <c r="B115" s="22">
        <f>$B$21*(1+$B$7)^(B108-1)</f>
        <v>-714998.70613833785</v>
      </c>
      <c r="C115" s="22">
        <f>$B$21*(1+$B$7)^(C108-1)</f>
        <v>-736448.66732248815</v>
      </c>
      <c r="D115" s="22">
        <f>$B$21*(1+$B$7)^(D108-1)</f>
        <v>-758542.12734216265</v>
      </c>
      <c r="E115" s="22">
        <f>$B$21*(1+$B$7)^(E108-1)</f>
        <v>-781298.39116242749</v>
      </c>
      <c r="F115" s="23">
        <f>$B$21*(1+$B$7)^(F108-1)</f>
        <v>-804737.34289730026</v>
      </c>
      <c r="G115" s="17"/>
      <c r="H115" s="17"/>
      <c r="I115" s="17"/>
      <c r="J115" s="17"/>
      <c r="K115" s="17"/>
      <c r="N115" s="3864"/>
      <c r="O115" s="3866"/>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-65869</v>
      </c>
      <c r="C116" s="22">
        <f>IF(AND('Part VI-Pro Forma'!$G$9="Yes",'Part VI-Pro Forma'!$G$10="Yes"),"Choose One!",IF('Part VI-Pro Forma'!$G$9="Yes",ROUND((-$K$9*(1+'Part VI-Pro Forma'!$B$7)^('Part VI-Pro Forma'!C108-1)),),IF('Part VI-Pro Forma'!$G$10="Yes",ROUND((-(SUM(C109:C112)*'Part VI-Pro Forma'!$K$10)),),"Choose mgt fee")))</f>
        <v>-67186</v>
      </c>
      <c r="D116" s="22">
        <f>IF(AND('Part VI-Pro Forma'!$G$9="Yes",'Part VI-Pro Forma'!$G$10="Yes"),"Choose One!",IF('Part VI-Pro Forma'!$G$9="Yes",ROUND((-$K$9*(1+'Part VI-Pro Forma'!$B$7)^('Part VI-Pro Forma'!D108-1)),),IF('Part VI-Pro Forma'!$G$10="Yes",ROUND((-(SUM(D109:D112)*'Part VI-Pro Forma'!$K$10)),),"Choose mgt fee")))</f>
        <v>-68530</v>
      </c>
      <c r="E116" s="22">
        <f>IF(AND('Part VI-Pro Forma'!$G$9="Yes",'Part VI-Pro Forma'!$G$10="Yes"),"Choose One!",IF('Part VI-Pro Forma'!$G$9="Yes",ROUND((-$K$9*(1+'Part VI-Pro Forma'!$B$7)^('Part VI-Pro Forma'!E108-1)),),IF('Part VI-Pro Forma'!$G$10="Yes",ROUND((-(SUM(E109:E112)*'Part VI-Pro Forma'!$K$10)),),"Choose mgt fee")))</f>
        <v>-69900</v>
      </c>
      <c r="F116" s="23">
        <f>IF(AND('Part VI-Pro Forma'!$G$9="Yes",'Part VI-Pro Forma'!$G$10="Yes"),"Choose One!",IF('Part VI-Pro Forma'!$G$9="Yes",ROUND((-$K$9*(1+'Part VI-Pro Forma'!$B$7)^('Part VI-Pro Forma'!F108-1)),),IF('Part VI-Pro Forma'!$G$10="Yes",ROUND((-(SUM(F109:F112)*'Part VI-Pro Forma'!$K$10)),),"Choose mgt fee")))</f>
        <v>-71298</v>
      </c>
      <c r="G116" s="17"/>
      <c r="H116" s="17"/>
      <c r="I116" s="17"/>
      <c r="J116" s="17"/>
      <c r="K116" s="17"/>
      <c r="N116" s="3864"/>
      <c r="O116" s="3866"/>
      <c r="Z116" s="2259" t="s">
        <v>6471</v>
      </c>
      <c r="AA116" s="2263">
        <v>116</v>
      </c>
    </row>
    <row r="117" spans="1:27" ht="13.35" customHeight="1">
      <c r="A117" s="21" t="s">
        <v>1129</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64"/>
      <c r="O117" s="3866"/>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6471</v>
      </c>
      <c r="AA118" s="2262">
        <v>118</v>
      </c>
    </row>
    <row r="119" spans="1:27" ht="13.35" customHeight="1">
      <c r="A119" s="21" t="s">
        <v>1130</v>
      </c>
      <c r="B119" s="22">
        <f>SUM(B114:B118)</f>
        <v>497670.44917013234</v>
      </c>
      <c r="C119" s="22">
        <f>SUM(C114:C118)</f>
        <v>500085.88909676095</v>
      </c>
      <c r="D119" s="22">
        <f>SUM(D114:D118)</f>
        <v>502322.82735021936</v>
      </c>
      <c r="E119" s="22">
        <f>SUM(E114:E118)</f>
        <v>504372.44938289269</v>
      </c>
      <c r="F119" s="1538">
        <f>SUM(F114:F118)</f>
        <v>506222.54082078929</v>
      </c>
      <c r="G119" s="17"/>
      <c r="H119" s="17"/>
      <c r="I119" s="17"/>
      <c r="J119" s="17"/>
      <c r="K119" s="17"/>
      <c r="N119" s="3864"/>
      <c r="O119" s="3866"/>
      <c r="Z119" s="2259" t="s">
        <v>6471</v>
      </c>
      <c r="AA119" s="2263">
        <v>119</v>
      </c>
    </row>
    <row r="120" spans="1:27" ht="13.35" customHeight="1">
      <c r="A120" s="21" t="str">
        <f>$A90</f>
        <v>Mortgage A</v>
      </c>
      <c r="B120" s="448">
        <f>IF('Part II-Sources of Funds'!$P$40="", 0,-'Part II-Sources of Funds'!$P$40)</f>
        <v>-317282.13791083649</v>
      </c>
      <c r="C120" s="448">
        <f>IF('Part II-Sources of Funds'!$P$40="", 0,-'Part II-Sources of Funds'!$P$40)</f>
        <v>-317282.13791083649</v>
      </c>
      <c r="D120" s="448">
        <f>IF('Part II-Sources of Funds'!$P$40="", 0,-'Part II-Sources of Funds'!$P$40)</f>
        <v>-317282.13791083649</v>
      </c>
      <c r="E120" s="448">
        <f>IF('Part II-Sources of Funds'!$P$40="", 0,-'Part II-Sources of Funds'!$P$40)</f>
        <v>-317282.13791083649</v>
      </c>
      <c r="F120" s="448">
        <f>IF('Part II-Sources of Funds'!$P$40="", 0,-'Part II-Sources of Funds'!$P$40)</f>
        <v>-317282.13791083649</v>
      </c>
      <c r="G120" s="17"/>
      <c r="H120" s="17"/>
      <c r="I120" s="17"/>
      <c r="J120" s="17"/>
      <c r="K120" s="17"/>
      <c r="N120" s="3864"/>
      <c r="O120" s="3866"/>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6471</v>
      </c>
      <c r="AA123" s="2262">
        <v>123</v>
      </c>
    </row>
    <row r="124" spans="1:27" ht="13.35" customHeight="1">
      <c r="A124" s="21" t="s">
        <v>711</v>
      </c>
      <c r="B124" s="173"/>
      <c r="C124" s="173"/>
      <c r="D124" s="173"/>
      <c r="E124" s="173"/>
      <c r="F124" s="173"/>
      <c r="G124" s="17"/>
      <c r="H124" s="17"/>
      <c r="I124" s="17"/>
      <c r="J124" s="17"/>
      <c r="K124" s="17"/>
      <c r="N124" s="3864"/>
      <c r="O124" s="3866"/>
      <c r="Z124" s="2259" t="s">
        <v>6471</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64"/>
      <c r="O125" s="3866"/>
      <c r="Z125" s="2259" t="s">
        <v>6471</v>
      </c>
      <c r="AA125" s="2263">
        <v>125</v>
      </c>
    </row>
    <row r="126" spans="1:27" ht="13.35" customHeight="1">
      <c r="A126" s="21" t="s">
        <v>1097</v>
      </c>
      <c r="B126" s="22">
        <f>SUM(B119:B125)</f>
        <v>175388.31125929585</v>
      </c>
      <c r="C126" s="22">
        <f>SUM(C119:C125)</f>
        <v>177803.75118592446</v>
      </c>
      <c r="D126" s="22">
        <f>SUM(D119:D125)</f>
        <v>180040.68943938287</v>
      </c>
      <c r="E126" s="22">
        <f>SUM(E119:E125)</f>
        <v>182090.3114720562</v>
      </c>
      <c r="F126" s="23">
        <f>SUM(F119:F125)</f>
        <v>183940.4029099528</v>
      </c>
      <c r="G126" s="17"/>
      <c r="H126" s="17"/>
      <c r="I126" s="17"/>
      <c r="J126" s="17"/>
      <c r="K126" s="17"/>
      <c r="N126" s="3864"/>
      <c r="O126" s="3866"/>
      <c r="Z126" s="2259" t="s">
        <v>6471</v>
      </c>
      <c r="AA126" s="2263">
        <v>126</v>
      </c>
    </row>
    <row r="127" spans="1:27" ht="13.35" customHeight="1">
      <c r="A127" s="21" t="str">
        <f>$A97</f>
        <v>DCR Mortgage A</v>
      </c>
      <c r="B127" s="24">
        <f>IF(B120=0,"",-B119/B120)</f>
        <v>1.568542283681879</v>
      </c>
      <c r="C127" s="24">
        <f>IF(C120=0,"",-C119/C120)</f>
        <v>1.5761551923143449</v>
      </c>
      <c r="D127" s="24">
        <f>IF(D120=0,"",-D119/D120)</f>
        <v>1.5832055049105334</v>
      </c>
      <c r="E127" s="24">
        <f>IF(E120=0,"",-E119/E120)</f>
        <v>1.5896654400527042</v>
      </c>
      <c r="F127" s="25">
        <f>IF(F120=0,"",-F119/F120)</f>
        <v>1.5954965008558073</v>
      </c>
      <c r="G127" s="17"/>
      <c r="H127" s="17"/>
      <c r="I127" s="17"/>
      <c r="J127" s="17"/>
      <c r="K127" s="17"/>
      <c r="N127" s="3864"/>
      <c r="O127" s="3866"/>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6471</v>
      </c>
      <c r="AA130" s="2263">
        <v>130</v>
      </c>
    </row>
    <row r="131" spans="1:27" ht="13.35" customHeight="1">
      <c r="A131" s="447" t="s">
        <v>3216</v>
      </c>
      <c r="B131" s="24">
        <f>IF(AND(B120=0,B121=0,B122=0,B123=0),"",-B119/(B120+B121+B122+B123))</f>
        <v>1.568542283681879</v>
      </c>
      <c r="C131" s="24">
        <f>IF(AND(C120=0,C121=0,C122=0,C123=0),"",-C119/(C120+C121+C122+C123))</f>
        <v>1.5761551923143449</v>
      </c>
      <c r="D131" s="24">
        <f>IF(AND(D120=0,D121=0,D122=0,D123=0),"",-D119/(D120+D121+D122+D123))</f>
        <v>1.5832055049105334</v>
      </c>
      <c r="E131" s="24">
        <f>IF(AND(E120=0,E121=0,E122=0,E123=0),"",-E119/(E120+E121+E122+E123))</f>
        <v>1.5896654400527042</v>
      </c>
      <c r="F131" s="25">
        <f>IF(AND(F120=0,F121=0,F122=0,F123=0),"",-F119/(F120+F121+F122+F123))</f>
        <v>1.5954965008558073</v>
      </c>
      <c r="G131" s="17"/>
      <c r="H131" s="17"/>
      <c r="I131" s="17"/>
      <c r="J131" s="17"/>
      <c r="K131" s="17"/>
      <c r="N131" s="3864"/>
      <c r="O131" s="3866"/>
      <c r="Z131" s="2259" t="s">
        <v>6471</v>
      </c>
      <c r="AA131" s="2261">
        <v>131</v>
      </c>
    </row>
    <row r="132" spans="1:27" ht="13.35" customHeight="1">
      <c r="A132" s="21" t="s">
        <v>718</v>
      </c>
      <c r="B132" s="288">
        <f>IF(OR(B116="Choose mgt fee",B116="Choose One!"),"",(B109+B110+B111+B112+B113) / -(B115+B116+B117))</f>
        <v>1.6071344124667508</v>
      </c>
      <c r="C132" s="288">
        <f>IF(OR(C116="Choose mgt fee",C116="Choose One!"),"",(C109+C110+C111+C112+C113) / -(C115+C116+C117))</f>
        <v>1.59277451062715</v>
      </c>
      <c r="D132" s="288">
        <f>IF(OR(D116="Choose mgt fee",D116="Choose One!"),"",(D109+D110+D111+D112+D113) / -(D115+D116+D117))</f>
        <v>1.5785306766216483</v>
      </c>
      <c r="E132" s="288">
        <f>IF(OR(E116="Choose mgt fee",E116="Choose One!"),"",(E109+E110+E111+E112+E113) / -(E115+E116+E117))</f>
        <v>1.5644049564650329</v>
      </c>
      <c r="F132" s="643">
        <f>IF(OR(F116="Choose mgt fee",F116="Choose One!"),"",(F109+F110+F111+F112+F113) / -(F115+F116+F117))</f>
        <v>1.5503939519114254</v>
      </c>
      <c r="G132" s="17"/>
      <c r="H132" s="17"/>
      <c r="I132" s="17"/>
      <c r="J132" s="17"/>
      <c r="K132" s="17"/>
      <c r="N132" s="3864"/>
      <c r="O132" s="3866"/>
      <c r="Z132" s="2259" t="s">
        <v>6471</v>
      </c>
      <c r="AA132" s="2262">
        <v>132</v>
      </c>
    </row>
    <row r="133" spans="1:27" ht="13.35" customHeight="1">
      <c r="A133" s="447" t="s">
        <v>2406</v>
      </c>
      <c r="B133" s="232">
        <f>IF('Part II-Sources of Funds'!$I$40="","",-FV('Part II-Sources of Funds'!$K$40/12,12,B120/12,K103))</f>
        <v>-326154.46683351864</v>
      </c>
      <c r="C133" s="232">
        <f>IF('Part II-Sources of Funds'!$I$40="","",-FV('Part II-Sources of Funds'!$K$40/12,12,C120/12,B133))</f>
        <v>-672425.42751147784</v>
      </c>
      <c r="D133" s="232">
        <f>IF('Part II-Sources of Funds'!$I$40="","",-FV('Part II-Sources of Funds'!$K$40/12,12,D120/12,C133))</f>
        <v>-1040053.6233562711</v>
      </c>
      <c r="E133" s="232">
        <f>IF('Part II-Sources of Funds'!$I$40="","",-FV('Part II-Sources of Funds'!$K$40/12,12,E120/12,D133))</f>
        <v>-1430356.3219004641</v>
      </c>
      <c r="F133" s="232">
        <f>IF('Part II-Sources of Funds'!$I$40="","",-FV('Part II-Sources of Funds'!$K$40/12,12,F120/12,E133))</f>
        <v>-1844732.0368556718</v>
      </c>
      <c r="G133" s="17"/>
      <c r="H133" s="17"/>
      <c r="I133" s="17"/>
      <c r="J133" s="17"/>
      <c r="K133" s="17"/>
      <c r="N133" s="3864"/>
      <c r="O133" s="3866"/>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91" zoomScaleNormal="100" workbookViewId="0">
      <selection activeCell="A92" sqref="A92:Q12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Arbours at Town Branch, Villa Rica, Carroll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6539</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6538</v>
      </c>
      <c r="M5" s="2387" t="str">
        <f>'Part I-Project Identification'!$F$12</f>
        <v>9% Credit Competitive Round only</v>
      </c>
      <c r="N5" s="2388"/>
      <c r="O5" s="2389"/>
      <c r="P5" s="4129"/>
      <c r="Q5" s="4176"/>
      <c r="R5" s="2383"/>
      <c r="S5" s="2383"/>
    </row>
    <row r="6" spans="1:32" ht="17.25" customHeight="1">
      <c r="A6" s="126" t="s">
        <v>6537</v>
      </c>
      <c r="I6" s="633"/>
      <c r="J6" s="633"/>
      <c r="K6" s="4124" t="s">
        <v>3283</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6642</v>
      </c>
      <c r="C27" s="131"/>
      <c r="D27" s="87"/>
      <c r="E27" s="87"/>
      <c r="F27" s="87"/>
      <c r="G27" s="87"/>
      <c r="I27" s="1139"/>
      <c r="J27" s="1139"/>
      <c r="K27" s="1139"/>
      <c r="L27" s="1132"/>
      <c r="M27" s="1132"/>
      <c r="O27" s="132" t="s">
        <v>1731</v>
      </c>
      <c r="P27" s="4005"/>
      <c r="Q27" s="400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3" t="s">
        <v>6973</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6650</v>
      </c>
      <c r="C35" s="4"/>
      <c r="D35" s="4"/>
      <c r="E35" s="2046"/>
      <c r="F35" s="2046"/>
      <c r="H35" s="1133"/>
      <c r="J35" s="3318" t="s">
        <v>6922</v>
      </c>
      <c r="K35" s="3319"/>
      <c r="L35" s="3320"/>
      <c r="M35" s="509" t="s">
        <v>1648</v>
      </c>
      <c r="N35" s="3995"/>
      <c r="O35" s="3996"/>
      <c r="P35" s="3996"/>
      <c r="Q35" s="3997"/>
    </row>
    <row r="36" spans="1:31" ht="12.75" customHeight="1">
      <c r="A36" s="2197"/>
      <c r="B36" s="140" t="s">
        <v>6649</v>
      </c>
      <c r="C36" s="4"/>
      <c r="D36" s="4"/>
      <c r="E36" s="2198"/>
      <c r="F36" s="2198"/>
      <c r="G36" s="2195"/>
      <c r="H36" s="2046"/>
      <c r="J36" s="3318" t="s">
        <v>907</v>
      </c>
      <c r="K36" s="3319"/>
      <c r="L36" s="3320"/>
      <c r="M36" s="509" t="s">
        <v>1648</v>
      </c>
      <c r="N36" s="3995"/>
      <c r="O36" s="3996"/>
      <c r="P36" s="3996"/>
      <c r="Q36" s="3997"/>
    </row>
    <row r="37" spans="1:31" ht="12.75" customHeight="1">
      <c r="B37" s="95" t="s">
        <v>3242</v>
      </c>
      <c r="D37" s="95"/>
      <c r="E37" s="95"/>
      <c r="F37" s="95"/>
      <c r="G37" s="95"/>
      <c r="H37" s="40"/>
      <c r="I37" s="1139"/>
      <c r="J37" s="1139"/>
      <c r="K37" s="2328" t="s">
        <v>1730</v>
      </c>
      <c r="L37" s="1132"/>
      <c r="M37" s="1132"/>
      <c r="N37" s="1132"/>
      <c r="O37" s="1132"/>
      <c r="P37" s="1132"/>
      <c r="Q37" s="877"/>
    </row>
    <row r="38" spans="1:31" ht="10.5" customHeight="1">
      <c r="A38" s="4013" t="s">
        <v>6991</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05"/>
      <c r="Q40" s="4006"/>
    </row>
    <row r="41" spans="1:31" ht="1.5" customHeight="1"/>
    <row r="42" spans="1:31" ht="12" customHeight="1">
      <c r="A42" s="142" t="s">
        <v>1842</v>
      </c>
      <c r="B42" s="3998" t="s">
        <v>3788</v>
      </c>
      <c r="C42" s="3998"/>
      <c r="D42" s="3998"/>
      <c r="E42" s="3998"/>
      <c r="F42" s="3998"/>
      <c r="G42" s="3998"/>
      <c r="H42" s="3998"/>
      <c r="I42" s="3998"/>
      <c r="J42" s="3998"/>
      <c r="K42" s="148"/>
      <c r="L42" s="459" t="s">
        <v>2582</v>
      </c>
      <c r="M42" s="1522">
        <v>2</v>
      </c>
      <c r="N42" s="416" t="s">
        <v>4025</v>
      </c>
      <c r="P42" s="4153" t="s">
        <v>6923</v>
      </c>
      <c r="Q42" s="4163"/>
    </row>
    <row r="43" spans="1:31" ht="12" customHeight="1">
      <c r="A43" s="142"/>
      <c r="B43" s="3998"/>
      <c r="C43" s="3998"/>
      <c r="D43" s="3998"/>
      <c r="E43" s="3998"/>
      <c r="F43" s="3998"/>
      <c r="G43" s="3998"/>
      <c r="H43" s="3998"/>
      <c r="I43" s="3998"/>
      <c r="J43" s="3998"/>
      <c r="K43" s="148"/>
      <c r="L43" s="459" t="s">
        <v>3792</v>
      </c>
      <c r="M43" s="1523">
        <v>4</v>
      </c>
      <c r="O43" s="143"/>
      <c r="P43" s="4154"/>
      <c r="Q43" s="4164"/>
    </row>
    <row r="44" spans="1:31" ht="12" customHeight="1">
      <c r="A44" s="142"/>
      <c r="D44" s="1985"/>
      <c r="E44" s="1985"/>
      <c r="F44" s="1985"/>
      <c r="G44" s="1985"/>
      <c r="H44" s="1985"/>
      <c r="I44" s="1985"/>
      <c r="J44" s="1985"/>
      <c r="K44" s="148"/>
      <c r="L44" s="491" t="s">
        <v>6168</v>
      </c>
      <c r="M44" s="1523"/>
      <c r="O44" s="143"/>
      <c r="P44" s="1997">
        <v>4</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6925</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6923</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6923</v>
      </c>
      <c r="Q48" s="550"/>
    </row>
    <row r="49" spans="1:31" ht="12.75" customHeight="1">
      <c r="A49" s="144"/>
      <c r="B49" s="491" t="s">
        <v>2183</v>
      </c>
      <c r="C49" s="491" t="s">
        <v>3800</v>
      </c>
      <c r="D49" s="134"/>
      <c r="E49" s="134"/>
      <c r="F49" s="134"/>
      <c r="G49" s="134"/>
      <c r="H49" s="134"/>
      <c r="I49" s="42"/>
      <c r="J49" s="42"/>
      <c r="N49" s="416" t="s">
        <v>4029</v>
      </c>
      <c r="O49" s="918"/>
      <c r="P49" s="231" t="s">
        <v>6924</v>
      </c>
      <c r="Q49" s="551"/>
    </row>
    <row r="50" spans="1:31" ht="12.75" customHeight="1">
      <c r="A50" s="144"/>
      <c r="B50" s="491"/>
      <c r="C50" s="416" t="s">
        <v>3801</v>
      </c>
      <c r="D50" s="134"/>
      <c r="E50" s="134"/>
      <c r="F50" s="134"/>
      <c r="G50" s="134"/>
      <c r="H50" s="134"/>
      <c r="I50" s="42"/>
      <c r="J50" s="42"/>
      <c r="L50" s="4022"/>
      <c r="M50" s="4023"/>
      <c r="N50" s="4023"/>
      <c r="O50" s="4023"/>
      <c r="P50" s="4023"/>
      <c r="Q50" s="4101"/>
    </row>
    <row r="51" spans="1:31" ht="12.75" customHeight="1">
      <c r="A51" s="144"/>
      <c r="B51" s="491" t="s">
        <v>1449</v>
      </c>
      <c r="C51" s="3998" t="s">
        <v>3798</v>
      </c>
      <c r="D51" s="3998"/>
      <c r="E51" s="3998"/>
      <c r="F51" s="3998"/>
      <c r="G51" s="3998"/>
      <c r="H51" s="3998"/>
      <c r="I51" s="3998"/>
      <c r="J51" s="3998"/>
      <c r="K51" s="3998"/>
      <c r="L51" s="3998"/>
      <c r="M51" s="543"/>
      <c r="N51" s="416" t="s">
        <v>4030</v>
      </c>
      <c r="O51" s="918"/>
      <c r="P51" s="492" t="s">
        <v>6923</v>
      </c>
      <c r="Q51" s="548"/>
    </row>
    <row r="52" spans="1:31" ht="12.75" customHeight="1">
      <c r="A52" s="47"/>
      <c r="C52" s="3998"/>
      <c r="D52" s="3998"/>
      <c r="E52" s="3998"/>
      <c r="F52" s="3998"/>
      <c r="G52" s="3998"/>
      <c r="H52" s="3998"/>
      <c r="I52" s="3998"/>
      <c r="J52" s="3998"/>
      <c r="K52" s="3998"/>
      <c r="L52" s="3998"/>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10.5" customHeight="1">
      <c r="A54" s="4013" t="s">
        <v>6974</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Rural</v>
      </c>
      <c r="J56" s="2390" t="s">
        <v>6643</v>
      </c>
      <c r="K56" s="967" t="str">
        <f>'Part VIII Scoring Criteria'!$M$59</f>
        <v>Rural</v>
      </c>
      <c r="L56" s="2391" t="s">
        <v>3825</v>
      </c>
      <c r="M56" s="2115" t="str">
        <f>J35</f>
        <v>HFOP</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6935</v>
      </c>
      <c r="N58" s="4027"/>
      <c r="O58" s="4027"/>
      <c r="P58" s="4114"/>
      <c r="Q58" s="549"/>
    </row>
    <row r="59" spans="1:31" ht="12.75" customHeight="1">
      <c r="A59" s="47" t="s">
        <v>1844</v>
      </c>
      <c r="B59" s="52" t="s">
        <v>3950</v>
      </c>
      <c r="D59" s="134"/>
      <c r="E59" s="134"/>
      <c r="F59" s="134"/>
      <c r="L59" s="478" t="s">
        <v>1844</v>
      </c>
      <c r="M59" s="4151" t="s">
        <v>6946</v>
      </c>
      <c r="N59" s="4152"/>
      <c r="O59" s="4152"/>
      <c r="P59" s="3512"/>
      <c r="Q59" s="550"/>
    </row>
    <row r="60" spans="1:31" ht="12.75" customHeight="1">
      <c r="A60" s="47" t="s">
        <v>698</v>
      </c>
      <c r="B60" s="52" t="s">
        <v>2559</v>
      </c>
      <c r="D60" s="134"/>
      <c r="E60" s="134"/>
      <c r="F60" s="134"/>
      <c r="L60" s="478" t="s">
        <v>698</v>
      </c>
      <c r="M60" s="4147">
        <v>0.93</v>
      </c>
      <c r="N60" s="4148"/>
      <c r="O60" s="4148"/>
      <c r="P60" s="4149"/>
      <c r="Q60" s="550"/>
    </row>
    <row r="61" spans="1:31" ht="12.75" customHeight="1">
      <c r="A61" s="47" t="s">
        <v>1963</v>
      </c>
      <c r="B61" s="52" t="s">
        <v>3306</v>
      </c>
      <c r="D61" s="134"/>
      <c r="E61" s="134"/>
      <c r="F61" s="134"/>
      <c r="J61" s="478" t="s">
        <v>3307</v>
      </c>
      <c r="K61" s="1957">
        <v>0.23</v>
      </c>
      <c r="L61" s="1954"/>
      <c r="M61" s="1956"/>
      <c r="N61" s="1955"/>
      <c r="O61" s="1115" t="s">
        <v>3392</v>
      </c>
      <c r="P61" s="1116"/>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6947</v>
      </c>
      <c r="E64" s="4041" t="s">
        <v>6950</v>
      </c>
      <c r="F64" s="4041"/>
      <c r="G64" s="4041"/>
      <c r="H64" s="478" t="s">
        <v>2183</v>
      </c>
      <c r="I64" s="505"/>
      <c r="J64" s="4041"/>
      <c r="K64" s="4041"/>
      <c r="L64" s="4041"/>
      <c r="M64" s="64" t="s">
        <v>93</v>
      </c>
      <c r="N64" s="505"/>
      <c r="O64" s="4041"/>
      <c r="P64" s="4041"/>
      <c r="Q64" s="4041"/>
    </row>
    <row r="65" spans="1:32" ht="12.75" customHeight="1">
      <c r="C65" s="65" t="s">
        <v>1616</v>
      </c>
      <c r="D65" s="2330" t="s">
        <v>6948</v>
      </c>
      <c r="E65" s="4042" t="s">
        <v>6951</v>
      </c>
      <c r="F65" s="4042"/>
      <c r="G65" s="4042"/>
      <c r="H65" s="64" t="s">
        <v>1449</v>
      </c>
      <c r="I65" s="2330"/>
      <c r="J65" s="4042"/>
      <c r="K65" s="4042"/>
      <c r="L65" s="4042"/>
      <c r="M65" s="64" t="s">
        <v>481</v>
      </c>
      <c r="N65" s="2330"/>
      <c r="O65" s="4042"/>
      <c r="P65" s="4042"/>
      <c r="Q65" s="4042"/>
    </row>
    <row r="66" spans="1:32" ht="12.75" customHeight="1">
      <c r="C66" s="65" t="s">
        <v>1617</v>
      </c>
      <c r="D66" s="506" t="s">
        <v>6949</v>
      </c>
      <c r="E66" s="4043" t="s">
        <v>6952</v>
      </c>
      <c r="F66" s="4043"/>
      <c r="G66" s="4043"/>
      <c r="H66" s="64" t="s">
        <v>1450</v>
      </c>
      <c r="I66" s="506"/>
      <c r="J66" s="4043"/>
      <c r="K66" s="4043"/>
      <c r="L66" s="4043"/>
      <c r="M66" s="64" t="s">
        <v>482</v>
      </c>
      <c r="N66" s="506"/>
      <c r="O66" s="4043"/>
      <c r="P66" s="4043"/>
      <c r="Q66" s="4043"/>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13" t="s">
        <v>6975</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4031</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22" t="s">
        <v>6935</v>
      </c>
      <c r="N77" s="4023"/>
      <c r="O77" s="4023"/>
      <c r="P77" s="4024"/>
      <c r="Q77" s="550"/>
    </row>
    <row r="78" spans="1:32" s="42" customFormat="1" ht="12.75" customHeight="1">
      <c r="B78" s="146" t="s">
        <v>1616</v>
      </c>
      <c r="C78" s="36" t="s">
        <v>3840</v>
      </c>
      <c r="O78" s="65" t="s">
        <v>1616</v>
      </c>
      <c r="P78" s="1622" t="s">
        <v>2651</v>
      </c>
      <c r="Q78" s="1623"/>
      <c r="AE78" s="50"/>
      <c r="AF78" s="50"/>
    </row>
    <row r="79" spans="1:32" s="42" customFormat="1" ht="12.75" customHeight="1">
      <c r="B79" s="1546" t="s">
        <v>1617</v>
      </c>
      <c r="C79" s="36" t="s">
        <v>4058</v>
      </c>
      <c r="O79" s="150" t="s">
        <v>1617</v>
      </c>
      <c r="P79" s="1776">
        <v>44697</v>
      </c>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2651</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t="s">
        <v>907</v>
      </c>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2651</v>
      </c>
      <c r="Q85" s="1623"/>
    </row>
    <row r="86" spans="1:32" ht="12.75" customHeight="1">
      <c r="B86" s="1546" t="s">
        <v>1615</v>
      </c>
      <c r="C86" s="52" t="s">
        <v>4077</v>
      </c>
      <c r="D86" s="52"/>
      <c r="E86" s="52"/>
      <c r="F86" s="52"/>
      <c r="G86" s="52"/>
      <c r="H86" s="52"/>
      <c r="I86" s="52"/>
      <c r="J86" s="52"/>
      <c r="K86" s="52"/>
      <c r="L86" s="52"/>
      <c r="M86" s="52"/>
      <c r="O86" s="150" t="s">
        <v>1615</v>
      </c>
      <c r="P86" s="1622" t="s">
        <v>2651</v>
      </c>
      <c r="Q86" s="1623"/>
    </row>
    <row r="87" spans="1:32" ht="12.75" customHeight="1">
      <c r="A87" s="47"/>
      <c r="B87" s="146" t="s">
        <v>1616</v>
      </c>
      <c r="C87" s="52" t="s">
        <v>4076</v>
      </c>
      <c r="D87" s="52"/>
      <c r="E87" s="52"/>
      <c r="F87" s="52"/>
      <c r="G87" s="52"/>
      <c r="H87" s="52"/>
      <c r="I87" s="52"/>
      <c r="J87" s="52"/>
      <c r="K87" s="52"/>
      <c r="L87" s="52"/>
      <c r="M87" s="52"/>
      <c r="O87" s="65" t="s">
        <v>1616</v>
      </c>
      <c r="P87" s="1773" t="s">
        <v>6930</v>
      </c>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3" t="s">
        <v>6976</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05"/>
      <c r="Q92" s="4006"/>
      <c r="R92" s="1147" t="s">
        <v>6527</v>
      </c>
    </row>
    <row r="93" spans="1:32" ht="6.6" customHeight="1"/>
    <row r="94" spans="1:32">
      <c r="A94" s="47" t="s">
        <v>1842</v>
      </c>
      <c r="B94" s="52" t="s">
        <v>6193</v>
      </c>
      <c r="D94" s="134"/>
      <c r="E94" s="134"/>
      <c r="F94" s="134"/>
      <c r="G94" s="134"/>
      <c r="H94" s="134"/>
      <c r="I94" s="42"/>
      <c r="J94" s="42"/>
      <c r="K94" s="478" t="s">
        <v>1842</v>
      </c>
      <c r="L94" s="4044" t="s">
        <v>6934</v>
      </c>
      <c r="M94" s="4044"/>
      <c r="N94" s="4044"/>
      <c r="O94" s="4044"/>
      <c r="P94" s="4045"/>
      <c r="Q94" s="2365"/>
    </row>
    <row r="95" spans="1:32" ht="12" customHeight="1">
      <c r="B95" s="55" t="s">
        <v>6633</v>
      </c>
      <c r="O95" s="65" t="s">
        <v>1616</v>
      </c>
      <c r="P95" s="2360" t="s">
        <v>2654</v>
      </c>
      <c r="Q95" s="550"/>
    </row>
    <row r="96" spans="1:32" ht="12" customHeight="1">
      <c r="B96" s="55" t="s">
        <v>6528</v>
      </c>
      <c r="I96" s="55" t="s">
        <v>6530</v>
      </c>
      <c r="K96" s="2373">
        <v>44686</v>
      </c>
      <c r="L96" s="2374"/>
      <c r="N96" s="55" t="s">
        <v>6529</v>
      </c>
      <c r="P96" s="2371">
        <v>44713</v>
      </c>
      <c r="Q96" s="2372"/>
    </row>
    <row r="97" spans="1:17" ht="12" customHeight="1">
      <c r="A97" s="47" t="s">
        <v>1844</v>
      </c>
      <c r="B97" s="52" t="s">
        <v>6640</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6998</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59</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6924</v>
      </c>
      <c r="Q101" s="551"/>
    </row>
    <row r="102" spans="1:17" s="1822" customFormat="1" ht="12" customHeight="1">
      <c r="A102" s="2058" t="s">
        <v>1963</v>
      </c>
      <c r="B102" s="2140" t="s">
        <v>6626</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6627</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6628</v>
      </c>
      <c r="E105" s="2056" t="s">
        <v>2241</v>
      </c>
      <c r="F105" s="2140" t="s">
        <v>6629</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6630</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6628</v>
      </c>
      <c r="E108" s="2056" t="s">
        <v>2241</v>
      </c>
      <c r="F108" s="2140" t="s">
        <v>6631</v>
      </c>
      <c r="G108" s="2060"/>
      <c r="H108" s="2140"/>
      <c r="I108" s="2060"/>
      <c r="J108" s="2060"/>
      <c r="K108" s="2449"/>
      <c r="L108" s="2141"/>
      <c r="O108" s="2056" t="s">
        <v>2241</v>
      </c>
      <c r="P108" s="2483"/>
      <c r="Q108" s="2484"/>
    </row>
    <row r="109" spans="1:17" s="1822" customFormat="1" ht="12" customHeight="1">
      <c r="A109" s="2058"/>
      <c r="B109" s="2056"/>
      <c r="E109" s="2056" t="s">
        <v>2242</v>
      </c>
      <c r="F109" s="2140" t="s">
        <v>6632</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2654</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3284</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6196</v>
      </c>
      <c r="J114" s="2363" t="s">
        <v>2654</v>
      </c>
      <c r="K114" s="551"/>
      <c r="L114" s="478" t="s">
        <v>6197</v>
      </c>
      <c r="M114" s="55" t="s">
        <v>6116</v>
      </c>
      <c r="P114" s="2363"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150"/>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6634</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3850</v>
      </c>
      <c r="E121" s="52"/>
      <c r="F121" s="52"/>
      <c r="G121" s="52"/>
      <c r="H121" s="52"/>
      <c r="I121" s="42"/>
      <c r="J121" s="42"/>
      <c r="K121" s="52"/>
      <c r="L121" s="52"/>
      <c r="M121" s="52"/>
      <c r="O121" s="478" t="s">
        <v>2183</v>
      </c>
      <c r="P121" s="231" t="s">
        <v>2654</v>
      </c>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3" t="s">
        <v>6953</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05"/>
      <c r="Q130" s="4006"/>
      <c r="R130" s="1147" t="s">
        <v>6527</v>
      </c>
    </row>
    <row r="131" spans="1:31" ht="12" customHeight="1">
      <c r="A131" s="47" t="s">
        <v>1842</v>
      </c>
      <c r="B131" s="146" t="s">
        <v>1615</v>
      </c>
      <c r="C131" s="52" t="s">
        <v>6542</v>
      </c>
      <c r="D131" s="52"/>
      <c r="E131" s="52"/>
      <c r="F131" s="52"/>
      <c r="G131" s="52"/>
      <c r="K131" s="52" t="s">
        <v>2461</v>
      </c>
      <c r="M131" s="4108">
        <v>45046</v>
      </c>
      <c r="N131" s="4109"/>
      <c r="O131" s="65" t="s">
        <v>1615</v>
      </c>
      <c r="P131" s="96" t="s">
        <v>2651</v>
      </c>
      <c r="Q131" s="547"/>
    </row>
    <row r="132" spans="1:31" ht="12" customHeight="1">
      <c r="A132" s="47"/>
      <c r="B132" s="146" t="s">
        <v>1616</v>
      </c>
      <c r="C132" s="52" t="s">
        <v>4059</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6933</v>
      </c>
      <c r="N133" s="4111"/>
      <c r="P133" s="4112" t="s">
        <v>1647</v>
      </c>
      <c r="Q133" s="4113"/>
    </row>
    <row r="134" spans="1:31" ht="12" customHeight="1">
      <c r="A134" s="47" t="s">
        <v>698</v>
      </c>
      <c r="B134" s="140" t="s">
        <v>636</v>
      </c>
      <c r="D134" s="140"/>
      <c r="E134" s="140"/>
      <c r="F134" s="140"/>
      <c r="G134" s="140"/>
      <c r="H134" s="140"/>
      <c r="J134" s="478" t="s">
        <v>698</v>
      </c>
      <c r="K134" s="4022" t="s">
        <v>6911</v>
      </c>
      <c r="L134" s="4023"/>
      <c r="M134" s="4023"/>
      <c r="N134" s="4023"/>
      <c r="O134" s="4023"/>
      <c r="P134" s="4101"/>
      <c r="Q134" s="547"/>
    </row>
    <row r="135" spans="1:31" ht="21.75" customHeight="1">
      <c r="A135" s="142" t="s">
        <v>1963</v>
      </c>
      <c r="B135" s="4003" t="s">
        <v>6199</v>
      </c>
      <c r="C135" s="4003"/>
      <c r="D135" s="4003"/>
      <c r="E135" s="4003"/>
      <c r="F135" s="4003"/>
      <c r="G135" s="4003"/>
      <c r="H135" s="4003"/>
      <c r="I135" s="4003"/>
      <c r="J135" s="4003"/>
      <c r="K135" s="4003"/>
      <c r="L135" s="4003"/>
      <c r="M135" s="4003"/>
      <c r="N135" s="4003"/>
      <c r="O135" s="163" t="s">
        <v>1963</v>
      </c>
      <c r="P135" s="1937" t="s">
        <v>6930</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13" t="s">
        <v>6992</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3" t="s">
        <v>6993</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6540</v>
      </c>
      <c r="O151" s="132" t="s">
        <v>1731</v>
      </c>
      <c r="P151" s="4005"/>
      <c r="Q151" s="4006"/>
      <c r="R151" s="1147" t="s">
        <v>6527</v>
      </c>
    </row>
    <row r="152" spans="1:44" s="27" customFormat="1" ht="11.45" customHeight="1">
      <c r="B152" s="55" t="s">
        <v>6664</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6924</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6924</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13" t="s">
        <v>6977</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6540</v>
      </c>
      <c r="O169" s="132" t="s">
        <v>1731</v>
      </c>
      <c r="P169" s="4005"/>
      <c r="Q169" s="4006"/>
      <c r="R169" s="1147" t="s">
        <v>6527</v>
      </c>
    </row>
    <row r="170" spans="1:44" s="27" customFormat="1" ht="12.75" customHeight="1">
      <c r="B170" s="55" t="s">
        <v>6664</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907</v>
      </c>
      <c r="K171" s="4027"/>
      <c r="L171" s="4027"/>
      <c r="M171" s="4027"/>
      <c r="N171" s="4028"/>
      <c r="O171" s="65" t="s">
        <v>1615</v>
      </c>
      <c r="P171" s="230" t="s">
        <v>2654</v>
      </c>
      <c r="Q171" s="549"/>
    </row>
    <row r="172" spans="1:44" ht="12.75" customHeight="1">
      <c r="A172" s="139"/>
      <c r="B172" s="141" t="s">
        <v>3242</v>
      </c>
      <c r="C172" s="105"/>
      <c r="D172" s="105"/>
      <c r="E172" s="105"/>
      <c r="F172" s="105"/>
      <c r="H172" s="65" t="s">
        <v>1616</v>
      </c>
      <c r="I172" s="52" t="s">
        <v>1492</v>
      </c>
      <c r="J172" s="4053" t="s">
        <v>6931</v>
      </c>
      <c r="K172" s="4054"/>
      <c r="L172" s="4054"/>
      <c r="M172" s="4054"/>
      <c r="N172" s="4055"/>
      <c r="O172" s="65" t="s">
        <v>1616</v>
      </c>
      <c r="P172" s="231" t="s">
        <v>2651</v>
      </c>
      <c r="Q172" s="551"/>
    </row>
    <row r="173" spans="1:44" ht="12.75" customHeight="1">
      <c r="A173" s="4013" t="s">
        <v>6954</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6540</v>
      </c>
      <c r="O177" s="132" t="s">
        <v>1731</v>
      </c>
      <c r="P177" s="4005"/>
      <c r="Q177" s="4006"/>
      <c r="R177" s="1147" t="s">
        <v>6527</v>
      </c>
    </row>
    <row r="178" spans="1:44" s="27" customFormat="1" ht="12.75" customHeight="1">
      <c r="B178" s="55" t="s">
        <v>6664</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6932</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26" t="s">
        <v>6932</v>
      </c>
      <c r="K180" s="4027"/>
      <c r="L180" s="4027"/>
      <c r="M180" s="4027"/>
      <c r="N180" s="4028"/>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2651</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2651</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13" t="s">
        <v>6978</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6923</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6927</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161" t="s">
        <v>6928</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6200</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5" t="s">
        <v>6929</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6923</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64</v>
      </c>
      <c r="P197" s="4139" t="s">
        <v>3859</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3854</v>
      </c>
      <c r="D199" s="4142"/>
      <c r="E199" s="4142"/>
      <c r="F199" s="4142"/>
      <c r="G199" s="4143"/>
      <c r="H199" s="478" t="s">
        <v>1964</v>
      </c>
      <c r="I199" s="4144" t="s">
        <v>3403</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3904</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c r="D201" s="4159"/>
      <c r="E201" s="4159"/>
      <c r="F201" s="4159"/>
      <c r="G201" s="4160"/>
      <c r="H201" s="478" t="s">
        <v>1612</v>
      </c>
      <c r="I201" s="3438" t="s">
        <v>3403</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2"/>
      <c r="D202" s="4093"/>
      <c r="E202" s="4093"/>
      <c r="F202" s="4093"/>
      <c r="G202" s="4094"/>
      <c r="H202" s="478" t="s">
        <v>3869</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6923</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6751</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HFOP</v>
      </c>
      <c r="O210" s="478" t="s">
        <v>1963</v>
      </c>
      <c r="P210" s="230" t="s">
        <v>6923</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3" t="s">
        <v>6994</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6746</v>
      </c>
      <c r="L217" s="1690" t="str">
        <f>'Part I-Project Identification'!$P$29</f>
        <v>Yes</v>
      </c>
      <c r="M217" s="1932"/>
      <c r="O217" s="132" t="s">
        <v>1731</v>
      </c>
      <c r="P217" s="4005"/>
      <c r="Q217" s="4006"/>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6956</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6202</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6214</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3247</v>
      </c>
      <c r="C246" s="4029"/>
      <c r="D246" s="4029"/>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6957</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6126</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42.75" customHeight="1">
      <c r="A264" s="4013" t="s">
        <v>6995</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6923</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6923</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3256</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6923</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3" t="s">
        <v>6996</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6665</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6666</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6211</v>
      </c>
      <c r="E288" s="4003"/>
      <c r="F288" s="4003"/>
      <c r="G288" s="4003"/>
      <c r="H288" s="4003"/>
      <c r="I288" s="140"/>
      <c r="J288" s="4007" t="s">
        <v>3268</v>
      </c>
      <c r="K288" s="4033"/>
      <c r="L288" s="4033"/>
      <c r="M288" s="4138" t="s">
        <v>3249</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6212</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6747</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6725</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3248</v>
      </c>
      <c r="J298" s="416"/>
      <c r="K298" s="416"/>
      <c r="L298" s="4081" t="s">
        <v>6938</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6667</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6955</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2" t="s">
        <v>6926</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6678</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6677</v>
      </c>
      <c r="C312" s="4003"/>
      <c r="D312" s="4003"/>
      <c r="E312" s="4003"/>
      <c r="F312" s="4003"/>
      <c r="G312" s="4003"/>
      <c r="H312" s="4003"/>
      <c r="I312" s="4003"/>
      <c r="J312" s="4003"/>
      <c r="K312" s="4003"/>
      <c r="L312" s="4003"/>
      <c r="M312" s="4003"/>
      <c r="N312" s="4003"/>
      <c r="O312" s="163" t="s">
        <v>1842</v>
      </c>
      <c r="P312" s="162" t="s">
        <v>6923</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6312</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3251</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5" t="s">
        <v>6128</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6129</v>
      </c>
      <c r="C320" s="3998"/>
      <c r="D320" s="3998"/>
      <c r="E320" s="3998"/>
      <c r="F320" s="3998"/>
      <c r="G320" s="3998"/>
      <c r="H320" s="3998"/>
      <c r="I320" s="3998"/>
      <c r="J320" s="3998"/>
      <c r="K320" s="3998"/>
      <c r="L320" s="3998"/>
      <c r="M320" s="3998"/>
      <c r="N320" s="3998"/>
      <c r="O320" s="163" t="s">
        <v>1963</v>
      </c>
      <c r="P320" s="1937" t="s">
        <v>6923</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3" t="s">
        <v>6958</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6541</v>
      </c>
      <c r="C326" s="1138"/>
      <c r="D326" s="1133"/>
      <c r="E326" s="1133"/>
      <c r="F326" s="1133"/>
      <c r="G326" s="1133"/>
      <c r="H326" s="1133"/>
      <c r="N326" s="1091" t="s">
        <v>6540</v>
      </c>
      <c r="O326" s="132" t="s">
        <v>1731</v>
      </c>
      <c r="P326" s="4005"/>
      <c r="Q326" s="4006"/>
      <c r="R326" s="1147"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5" t="s">
        <v>2651</v>
      </c>
      <c r="Q328" s="880"/>
    </row>
    <row r="329" spans="1:256" ht="11.45" customHeight="1">
      <c r="A329" s="142" t="s">
        <v>698</v>
      </c>
      <c r="B329" s="55" t="s">
        <v>6544</v>
      </c>
      <c r="K329" s="2311"/>
      <c r="M329" s="163" t="s">
        <v>698</v>
      </c>
      <c r="N329" s="4074" t="s">
        <v>2654</v>
      </c>
      <c r="O329" s="4075"/>
      <c r="P329" s="4076" t="s">
        <v>1647</v>
      </c>
      <c r="Q329" s="4077"/>
    </row>
    <row r="330" spans="1:256" ht="11.45" customHeight="1">
      <c r="A330" s="47" t="s">
        <v>1963</v>
      </c>
      <c r="B330" s="55" t="s">
        <v>6545</v>
      </c>
      <c r="O330" s="478" t="s">
        <v>1963</v>
      </c>
      <c r="P330" s="2049" t="s">
        <v>2654</v>
      </c>
      <c r="Q330" s="2107"/>
    </row>
    <row r="331" spans="1:256" ht="11.45" customHeight="1">
      <c r="A331" s="142" t="s">
        <v>1613</v>
      </c>
      <c r="B331" s="55" t="s">
        <v>6546</v>
      </c>
      <c r="N331" s="163" t="s">
        <v>1613</v>
      </c>
      <c r="O331" s="4068" t="s">
        <v>4051</v>
      </c>
      <c r="P331" s="4069"/>
      <c r="Q331" s="4070"/>
    </row>
    <row r="332" spans="1:256" ht="11.45" customHeight="1">
      <c r="A332" s="142" t="s">
        <v>1614</v>
      </c>
      <c r="B332" s="434" t="s">
        <v>2171</v>
      </c>
      <c r="N332" s="163" t="s">
        <v>1614</v>
      </c>
      <c r="O332" s="4135" t="s">
        <v>2561</v>
      </c>
      <c r="P332" s="4136"/>
      <c r="Q332" s="413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35" customHeight="1">
      <c r="A334" s="4013" t="s">
        <v>6979</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6695</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64</v>
      </c>
      <c r="F343" s="52" t="s">
        <v>3898</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6696</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64</v>
      </c>
      <c r="F345" s="52" t="s">
        <v>6698</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6697</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64</v>
      </c>
      <c r="F348" s="52" t="s">
        <v>3898</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3" t="s">
        <v>6959</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7"/>
      <c r="Q354" s="4006"/>
    </row>
    <row r="355" spans="1:32" ht="10.5" customHeight="1">
      <c r="A355" s="47" t="s">
        <v>1842</v>
      </c>
      <c r="B355" s="135" t="s">
        <v>3361</v>
      </c>
      <c r="D355" s="151"/>
      <c r="E355" s="151"/>
      <c r="F355" s="151"/>
      <c r="G355" s="151"/>
      <c r="H355" s="478" t="s">
        <v>1842</v>
      </c>
      <c r="I355" s="4178"/>
      <c r="J355" s="4179"/>
      <c r="K355" s="4179"/>
      <c r="L355" s="4179"/>
      <c r="M355" s="4179"/>
      <c r="N355" s="4179"/>
      <c r="O355" s="4179"/>
      <c r="P355" s="4180"/>
      <c r="Q355" s="549"/>
    </row>
    <row r="356" spans="1:32" ht="10.5" customHeight="1">
      <c r="A356" s="142" t="s">
        <v>1844</v>
      </c>
      <c r="B356" s="135" t="s">
        <v>3362</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3353</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3" t="s">
        <v>6960</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3" t="s">
        <v>6980</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6"/>
      <c r="I385" s="4017"/>
      <c r="J385" s="4017"/>
      <c r="K385" s="4017"/>
      <c r="L385" s="4017"/>
      <c r="M385" s="4017"/>
      <c r="N385" s="4017"/>
      <c r="O385" s="4018"/>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3" t="s">
        <v>6960</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019"/>
      <c r="Q391" s="4020"/>
      <c r="AF391" s="35"/>
    </row>
    <row r="392" spans="1:32" ht="12" customHeight="1">
      <c r="B392" s="55" t="s">
        <v>6258</v>
      </c>
      <c r="O392" s="65"/>
      <c r="P392" s="492" t="s">
        <v>2654</v>
      </c>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2654</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099" t="s">
        <v>2654</v>
      </c>
      <c r="Q395" s="4097"/>
      <c r="AF395" s="35"/>
    </row>
    <row r="396" spans="1:32" ht="12" customHeight="1">
      <c r="A396" s="47"/>
      <c r="D396" s="52" t="s">
        <v>6506</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t="s">
        <v>2654</v>
      </c>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t="s">
        <v>2654</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2654</v>
      </c>
      <c r="Q399" s="547"/>
    </row>
    <row r="400" spans="1:32" ht="12" customHeight="1">
      <c r="A400" s="47"/>
      <c r="B400" s="1669" t="s">
        <v>2333</v>
      </c>
      <c r="C400" s="4003" t="s">
        <v>6158</v>
      </c>
      <c r="D400" s="4003"/>
      <c r="E400" s="4003"/>
      <c r="F400" s="4003"/>
      <c r="G400" s="135" t="s">
        <v>3947</v>
      </c>
      <c r="J400" s="919"/>
      <c r="K400" s="556"/>
      <c r="M400" s="135" t="s">
        <v>6232</v>
      </c>
      <c r="P400" s="2316"/>
      <c r="Q400" s="2317"/>
    </row>
    <row r="401" spans="1:44" ht="12" customHeight="1">
      <c r="A401" s="47"/>
      <c r="C401" s="4003"/>
      <c r="D401" s="4003"/>
      <c r="E401" s="4003"/>
      <c r="F401" s="4003"/>
      <c r="G401" s="135" t="s">
        <v>6231</v>
      </c>
      <c r="J401" s="920"/>
      <c r="K401" s="557"/>
      <c r="M401" s="135" t="s">
        <v>6233</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6188</v>
      </c>
      <c r="J403" s="4007" t="s">
        <v>6189</v>
      </c>
      <c r="K403" s="4007" t="s">
        <v>6191</v>
      </c>
      <c r="L403" s="4007"/>
      <c r="M403" s="4007"/>
      <c r="N403" s="4046" t="s">
        <v>6190</v>
      </c>
      <c r="O403" s="478"/>
      <c r="P403" s="4172" t="s">
        <v>6706</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4</v>
      </c>
      <c r="J405" s="2318"/>
      <c r="K405" s="4008"/>
      <c r="L405" s="4008"/>
      <c r="M405" s="4009"/>
      <c r="N405" s="2054">
        <f>MAX(J405,K405)</f>
        <v>0</v>
      </c>
      <c r="O405" s="64" t="s">
        <v>2245</v>
      </c>
      <c r="P405" s="492" t="s">
        <v>2654</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08"/>
      <c r="L408" s="4008"/>
      <c r="M408" s="4009"/>
      <c r="N408" s="2054">
        <f>MAX(J408,K408)</f>
        <v>0</v>
      </c>
      <c r="O408" s="478"/>
      <c r="P408" s="1160" t="s">
        <v>2654</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2</v>
      </c>
      <c r="J411" s="2318"/>
      <c r="K411" s="4008"/>
      <c r="L411" s="4008"/>
      <c r="M411" s="4009"/>
      <c r="N411" s="2054">
        <f>MAX(J411,K411)</f>
        <v>0</v>
      </c>
      <c r="O411" s="64" t="s">
        <v>2261</v>
      </c>
      <c r="P411" s="492" t="s">
        <v>2654</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004" t="s">
        <v>6236</v>
      </c>
      <c r="E416" s="1506" t="s">
        <v>2264</v>
      </c>
      <c r="F416" s="457" t="s">
        <v>3289</v>
      </c>
      <c r="G416" s="3999"/>
      <c r="H416" s="4000"/>
      <c r="I416" s="4000"/>
      <c r="J416" s="4000"/>
      <c r="K416" s="4001"/>
      <c r="L416" s="1506"/>
    </row>
    <row r="417" spans="1:32" ht="12" customHeight="1">
      <c r="B417" s="148"/>
      <c r="D417" s="4004"/>
      <c r="E417" s="1506" t="s">
        <v>3944</v>
      </c>
      <c r="F417" s="457" t="s">
        <v>3945</v>
      </c>
      <c r="G417" s="4057" t="s">
        <v>3207</v>
      </c>
      <c r="H417" s="4058"/>
      <c r="I417" s="4059"/>
      <c r="J417" s="457" t="s">
        <v>3806</v>
      </c>
      <c r="K417" s="148"/>
      <c r="M417" s="3999"/>
      <c r="N417" s="4000"/>
      <c r="O417" s="4000"/>
      <c r="P417" s="4000"/>
      <c r="Q417" s="400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1844</v>
      </c>
      <c r="P422" s="1160" t="s">
        <v>6923</v>
      </c>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3" t="s">
        <v>6981</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05"/>
      <c r="Q428" s="4006"/>
    </row>
    <row r="429" spans="1:32" ht="14.1" customHeight="1">
      <c r="B429" s="87" t="s">
        <v>3901</v>
      </c>
      <c r="C429" s="4"/>
      <c r="D429" s="87"/>
      <c r="E429" s="1133"/>
      <c r="F429" s="1133"/>
      <c r="G429" s="1133"/>
      <c r="H429" s="1133"/>
    </row>
    <row r="430" spans="1:32" s="133" customFormat="1" ht="21.75" customHeight="1">
      <c r="A430" s="142" t="s">
        <v>1842</v>
      </c>
      <c r="B430" s="3998" t="s">
        <v>3314</v>
      </c>
      <c r="C430" s="3998"/>
      <c r="D430" s="3998"/>
      <c r="E430" s="3998"/>
      <c r="F430" s="3998"/>
      <c r="G430" s="3998"/>
      <c r="H430" s="3998"/>
      <c r="I430" s="3998"/>
      <c r="J430" s="3998"/>
      <c r="K430" s="3998"/>
      <c r="L430" s="3998"/>
      <c r="M430" s="3998"/>
      <c r="N430" s="3998"/>
      <c r="O430" s="163" t="s">
        <v>1842</v>
      </c>
      <c r="P430" s="1143" t="s">
        <v>6923</v>
      </c>
      <c r="Q430" s="1142"/>
      <c r="AE430" s="481"/>
      <c r="AF430" s="481"/>
    </row>
    <row r="431" spans="1:32" s="133" customFormat="1" ht="22.5" customHeight="1">
      <c r="A431" s="142" t="s">
        <v>1844</v>
      </c>
      <c r="B431" s="3998" t="s">
        <v>3313</v>
      </c>
      <c r="C431" s="3998"/>
      <c r="D431" s="3998"/>
      <c r="E431" s="3998"/>
      <c r="F431" s="3998"/>
      <c r="G431" s="3998"/>
      <c r="H431" s="3998"/>
      <c r="I431" s="3998"/>
      <c r="J431" s="3998"/>
      <c r="K431" s="3998"/>
      <c r="L431" s="3998"/>
      <c r="M431" s="3998"/>
      <c r="N431" s="3998"/>
      <c r="O431" s="163" t="s">
        <v>1844</v>
      </c>
      <c r="P431" s="561" t="s">
        <v>6923</v>
      </c>
      <c r="Q431" s="552"/>
      <c r="AE431" s="481"/>
      <c r="AF431" s="481"/>
    </row>
    <row r="432" spans="1:32" s="133" customFormat="1" ht="22.5" customHeight="1">
      <c r="B432" s="1546" t="s">
        <v>1615</v>
      </c>
      <c r="C432" s="3998" t="s">
        <v>3871</v>
      </c>
      <c r="D432" s="3998"/>
      <c r="E432" s="3998"/>
      <c r="F432" s="3998"/>
      <c r="G432" s="3998"/>
      <c r="H432" s="3998"/>
      <c r="I432" s="3998"/>
      <c r="J432" s="3998"/>
      <c r="K432" s="3998"/>
      <c r="L432" s="3998"/>
      <c r="M432" s="3998"/>
      <c r="N432" s="3998"/>
      <c r="O432" s="163" t="s">
        <v>1615</v>
      </c>
      <c r="P432" s="561" t="s">
        <v>6923</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6923</v>
      </c>
      <c r="Q433" s="550"/>
      <c r="AE433" s="50"/>
      <c r="AF433" s="50"/>
    </row>
    <row r="434" spans="1:32" s="133" customFormat="1" ht="33" customHeight="1">
      <c r="B434" s="491" t="s">
        <v>1617</v>
      </c>
      <c r="C434" s="3998" t="s">
        <v>3873</v>
      </c>
      <c r="D434" s="3998"/>
      <c r="E434" s="3998"/>
      <c r="F434" s="3998"/>
      <c r="G434" s="3998"/>
      <c r="H434" s="3998"/>
      <c r="I434" s="3998"/>
      <c r="J434" s="3998"/>
      <c r="K434" s="3998"/>
      <c r="L434" s="3998"/>
      <c r="M434" s="3998"/>
      <c r="N434" s="3998"/>
      <c r="O434" s="163" t="s">
        <v>1617</v>
      </c>
      <c r="P434" s="561" t="s">
        <v>6923</v>
      </c>
      <c r="Q434" s="552"/>
      <c r="AE434" s="481"/>
      <c r="AF434" s="481"/>
    </row>
    <row r="435" spans="1:32" s="133" customFormat="1" ht="22.5" customHeight="1">
      <c r="B435" s="491" t="s">
        <v>2183</v>
      </c>
      <c r="C435" s="3998" t="s">
        <v>3874</v>
      </c>
      <c r="D435" s="3998"/>
      <c r="E435" s="3998"/>
      <c r="F435" s="3998"/>
      <c r="G435" s="3998"/>
      <c r="H435" s="3998"/>
      <c r="I435" s="3998"/>
      <c r="J435" s="3998"/>
      <c r="K435" s="3998"/>
      <c r="L435" s="3998"/>
      <c r="M435" s="3998"/>
      <c r="N435" s="3998"/>
      <c r="O435" s="163" t="s">
        <v>2183</v>
      </c>
      <c r="P435" s="561" t="s">
        <v>6923</v>
      </c>
      <c r="Q435" s="552"/>
      <c r="AE435" s="481"/>
      <c r="AF435" s="481"/>
    </row>
    <row r="436" spans="1:32" s="133" customFormat="1" ht="22.5" customHeight="1">
      <c r="A436" s="142" t="s">
        <v>698</v>
      </c>
      <c r="B436" s="3998" t="s">
        <v>3315</v>
      </c>
      <c r="C436" s="3998"/>
      <c r="D436" s="3998"/>
      <c r="E436" s="3998"/>
      <c r="F436" s="3998"/>
      <c r="G436" s="3998"/>
      <c r="H436" s="3998"/>
      <c r="I436" s="3998"/>
      <c r="J436" s="3998"/>
      <c r="K436" s="3998"/>
      <c r="L436" s="3998"/>
      <c r="M436" s="3998"/>
      <c r="N436" s="3998"/>
      <c r="O436" s="163" t="s">
        <v>698</v>
      </c>
      <c r="P436" s="561" t="s">
        <v>6923</v>
      </c>
      <c r="Q436" s="552"/>
      <c r="AE436" s="481"/>
      <c r="AF436" s="481"/>
    </row>
    <row r="437" spans="1:32" s="133" customFormat="1" ht="22.5" customHeight="1">
      <c r="A437" s="142" t="s">
        <v>1963</v>
      </c>
      <c r="B437" s="3998" t="s">
        <v>3922</v>
      </c>
      <c r="C437" s="3998"/>
      <c r="D437" s="3998"/>
      <c r="E437" s="3998"/>
      <c r="F437" s="3998"/>
      <c r="G437" s="3998"/>
      <c r="H437" s="3998"/>
      <c r="I437" s="3998"/>
      <c r="J437" s="3998"/>
      <c r="K437" s="3998"/>
      <c r="L437" s="3998"/>
      <c r="M437" s="3998"/>
      <c r="N437" s="3998"/>
      <c r="O437" s="163" t="s">
        <v>1963</v>
      </c>
      <c r="P437" s="561" t="s">
        <v>6923</v>
      </c>
      <c r="Q437" s="552"/>
      <c r="AE437" s="481"/>
      <c r="AF437" s="481"/>
    </row>
    <row r="438" spans="1:32" s="133" customFormat="1" ht="21.75" customHeight="1">
      <c r="A438" s="142" t="s">
        <v>1613</v>
      </c>
      <c r="B438" s="3998" t="s">
        <v>3923</v>
      </c>
      <c r="C438" s="3998"/>
      <c r="D438" s="3998"/>
      <c r="E438" s="3998"/>
      <c r="F438" s="3998"/>
      <c r="G438" s="3998"/>
      <c r="H438" s="3998"/>
      <c r="I438" s="3998"/>
      <c r="J438" s="3998"/>
      <c r="K438" s="3998"/>
      <c r="L438" s="3998"/>
      <c r="M438" s="3998"/>
      <c r="N438" s="3998"/>
      <c r="O438" s="163" t="s">
        <v>1613</v>
      </c>
      <c r="P438" s="561" t="s">
        <v>6923</v>
      </c>
      <c r="Q438" s="552"/>
      <c r="AE438" s="481"/>
      <c r="AF438" s="481"/>
    </row>
    <row r="439" spans="1:32" s="438" customFormat="1" ht="21.75" customHeight="1">
      <c r="A439" s="142" t="s">
        <v>1614</v>
      </c>
      <c r="B439" s="3998" t="s">
        <v>3956</v>
      </c>
      <c r="C439" s="3998"/>
      <c r="D439" s="3998"/>
      <c r="E439" s="3998"/>
      <c r="F439" s="3998"/>
      <c r="G439" s="3998"/>
      <c r="H439" s="3998"/>
      <c r="I439" s="3998"/>
      <c r="J439" s="3998"/>
      <c r="K439" s="3998"/>
      <c r="L439" s="3998"/>
      <c r="M439" s="3998"/>
      <c r="N439" s="3998"/>
      <c r="O439" s="163" t="s">
        <v>1614</v>
      </c>
      <c r="P439" s="1174" t="s">
        <v>6923</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3" t="s">
        <v>6982</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27" customHeight="1">
      <c r="A447" s="4013" t="s">
        <v>6983</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1978</v>
      </c>
      <c r="J464" s="2502" t="s">
        <v>1604</v>
      </c>
      <c r="N464" s="1023"/>
      <c r="O464" s="1022" t="s">
        <v>3281</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6532</v>
      </c>
      <c r="B2" s="4205"/>
      <c r="C2" s="183"/>
      <c r="D2" s="1474">
        <v>2021</v>
      </c>
      <c r="E2" s="180"/>
      <c r="F2" s="4199" t="s">
        <v>3001</v>
      </c>
      <c r="G2" s="4200"/>
      <c r="H2" s="4200"/>
      <c r="I2" s="4200"/>
      <c r="J2" s="4201"/>
      <c r="K2" s="303"/>
      <c r="L2" s="580" t="s">
        <v>3144</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3167</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3168</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3940</v>
      </c>
      <c r="Q47" s="4214"/>
      <c r="AE47" s="128"/>
      <c r="AF47" s="128"/>
    </row>
    <row r="48" spans="1:295" s="83" customFormat="1" ht="10.5" customHeight="1">
      <c r="D48" s="636" t="s">
        <v>2465</v>
      </c>
      <c r="E48" s="35"/>
      <c r="F48" s="637" t="s">
        <v>3070</v>
      </c>
      <c r="G48" s="4203" t="s">
        <v>3897</v>
      </c>
      <c r="H48" s="4203"/>
      <c r="I48" s="4203"/>
      <c r="J48" s="35"/>
      <c r="K48" s="637" t="s">
        <v>3070</v>
      </c>
      <c r="L48" s="4203" t="s">
        <v>3896</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21" t="str">
        <f>IF('Part I-Project Identification'!$F$30="","",VLOOKUP('Part I-Project Identification'!$J$30,'DCA Underwriting Assumptions'!$G$136:$N$295,8,FALSE))</f>
        <v>Atlanta</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4172" t="s">
        <v>3941</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212">
        <f>'Part III-A-Uses of Funds'!$G$146</f>
        <v>19915205</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3932</v>
      </c>
      <c r="Q54" s="4172"/>
      <c r="R54" s="4202" t="s">
        <v>6307</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18919966</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25" t="s">
        <v>3367</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26"/>
      <c r="Q58" s="4227"/>
      <c r="R58" s="430"/>
      <c r="S58" s="4185" t="s">
        <v>3935</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6" t="s">
        <v>3163</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6" t="s">
        <v>3164</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2</v>
      </c>
      <c r="Q66" s="1113">
        <f>'Part VIII Scoring Criteria'!P112</f>
        <v>3</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24</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24 units = </v>
      </c>
      <c r="I71" s="1573">
        <f>IF(F71="","",F71*G71)</f>
        <v>4688439.5999999996</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14735115.6</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40</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40 units = </v>
      </c>
      <c r="I72" s="1573">
        <f>IF(F72="","",F72*G72)</f>
        <v>10046676</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194" t="s">
        <v>3451</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64</v>
      </c>
      <c r="G75" s="638"/>
      <c r="H75" s="1107"/>
      <c r="I75" s="1110">
        <f>SUM(I70:I74)</f>
        <v>14735115.6</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64</v>
      </c>
      <c r="G77" s="341"/>
      <c r="H77" s="4204">
        <f>I54+I61+I68+I75</f>
        <v>14735115.6</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5" zoomScaleNormal="100" workbookViewId="0">
      <selection activeCell="Q41" sqref="Q4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Arbours at Town Branch, Villa Rica, Carroll County</v>
      </c>
      <c r="B1" s="3629"/>
      <c r="C1" s="3629"/>
      <c r="D1" s="3629"/>
      <c r="E1" s="3629"/>
      <c r="F1" s="3629"/>
      <c r="G1" s="3629"/>
      <c r="H1" s="3629"/>
      <c r="I1" s="3629"/>
      <c r="J1" s="3629"/>
      <c r="K1" s="3629"/>
      <c r="L1" s="3629"/>
      <c r="M1" s="3629"/>
      <c r="N1" s="3629"/>
      <c r="O1" s="3629"/>
      <c r="P1" s="3630"/>
      <c r="Q1" s="4238" t="s">
        <v>6654</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6668</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65</v>
      </c>
      <c r="P6" s="2099">
        <f>P441</f>
        <v>25</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8" t="s">
        <v>6501</v>
      </c>
      <c r="G12" s="4388"/>
      <c r="H12" s="4388"/>
      <c r="I12" s="4388"/>
      <c r="J12" s="4388"/>
      <c r="K12" s="4388"/>
      <c r="L12" s="4388"/>
      <c r="M12" s="4388"/>
      <c r="N12" s="4388"/>
      <c r="O12" s="1520" t="s">
        <v>3814</v>
      </c>
      <c r="P12" s="1521">
        <f>SUM(P13:P31)</f>
        <v>0</v>
      </c>
      <c r="Q12" s="4237" t="s">
        <v>6553</v>
      </c>
      <c r="R12" s="4237"/>
      <c r="S12" s="4237"/>
      <c r="T12" s="4237"/>
      <c r="U12" s="4237"/>
      <c r="V12" s="1495"/>
    </row>
    <row r="13" spans="1:25" s="42" customFormat="1" ht="10.5" customHeight="1">
      <c r="A13" s="1183" t="s">
        <v>1669</v>
      </c>
      <c r="B13" s="1180" t="s">
        <v>3396</v>
      </c>
      <c r="C13" s="1181"/>
      <c r="D13" s="1182"/>
      <c r="E13" s="1514">
        <f>$O$102</f>
        <v>20</v>
      </c>
      <c r="F13" s="4389" t="str">
        <f>$A$108</f>
        <v xml:space="preserve">Please see the Desireable/Undesireable Certification form along with supplamentary maps and photos in Tab 27. As detailed in the Revitalization Plan, Tab 30, this neighboorhood is within the Target Area for the City of Villa Rica's CRP with roadway, utilities, and infrastructure improvments already underway. </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4042</v>
      </c>
      <c r="C14" s="1102"/>
      <c r="D14" s="1184"/>
      <c r="E14" s="2329">
        <f>$O$112</f>
        <v>2</v>
      </c>
      <c r="F14" s="4257" t="str">
        <f>$A$146</f>
        <v>On-call transportation is available to the site.</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3341</v>
      </c>
      <c r="C15" s="1102"/>
      <c r="D15" s="1184"/>
      <c r="E15" s="2329">
        <f>$O$151</f>
        <v>0</v>
      </c>
      <c r="F15" s="4257" t="str">
        <f>$A$164</f>
        <v>Applicant is not seeking scoring points in this section.</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3397</v>
      </c>
      <c r="C16" s="1102"/>
      <c r="D16" s="1184"/>
      <c r="E16" s="1516">
        <f>$O$168</f>
        <v>7</v>
      </c>
      <c r="F16" s="4257" t="str">
        <f>$A$185</f>
        <v xml:space="preserve">The City of Villa Rica Community Revitalization Plan 2018- 2038 sets forth an outline of current infrastruction, action items, and time frames to accomplish goals within the Target Area, in which the project is located. The plan specifically includes data indicating a need for additional affordable senior housing and outlines goals for updating and redeveloping the Target Area to meet this need. The City of Villa Rica hosted multiple public meetings, generated and promoted an online questionnaire for community input, and hosted an Open House at the Public Libarary before completion of the CRP. </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3398</v>
      </c>
      <c r="C17" s="1191"/>
      <c r="D17" s="1192"/>
      <c r="E17" s="1517" t="s">
        <v>1611</v>
      </c>
      <c r="F17" s="4323" t="str">
        <f>$A$200</f>
        <v>Applicant is not seeking scoring points in this section.</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4043</v>
      </c>
      <c r="C18" s="1102"/>
      <c r="D18" s="1184"/>
      <c r="E18" s="1515">
        <f>$O$204</f>
        <v>0</v>
      </c>
      <c r="F18" s="4257" t="str">
        <f>$A$219</f>
        <v xml:space="preserve">Applicant is not seeking scoring points in this section. </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Some Applicant Scoring Justification boxes are empty! Check to see if points claimed.</v>
      </c>
      <c r="R18" s="4319"/>
      <c r="S18" s="4319"/>
    </row>
    <row r="19" spans="1:35" s="42" customFormat="1" ht="10.5" customHeight="1">
      <c r="A19" s="1183" t="s">
        <v>4045</v>
      </c>
      <c r="B19" s="953" t="s">
        <v>3264</v>
      </c>
      <c r="C19" s="1102"/>
      <c r="D19" s="1184"/>
      <c r="E19" s="1515">
        <f>$O$232</f>
        <v>0</v>
      </c>
      <c r="F19" s="4257" t="str">
        <f>$A$237</f>
        <v>Applicant is not seeking scoring points in this section.</v>
      </c>
      <c r="G19" s="4258"/>
      <c r="H19" s="4258"/>
      <c r="I19" s="4258"/>
      <c r="J19" s="4258"/>
      <c r="K19" s="4258"/>
      <c r="L19" s="4258"/>
      <c r="M19" s="4258"/>
      <c r="N19" s="4258"/>
      <c r="O19" s="4259"/>
      <c r="P19" s="1528"/>
      <c r="Q19" s="4318"/>
      <c r="R19" s="4319"/>
      <c r="S19" s="4319"/>
    </row>
    <row r="20" spans="1:35" s="42" customFormat="1" ht="10.5" customHeight="1">
      <c r="A20" s="1183" t="s">
        <v>4057</v>
      </c>
      <c r="B20" s="953" t="s">
        <v>4046</v>
      </c>
      <c r="C20" s="1102"/>
      <c r="D20" s="1184"/>
      <c r="E20" s="1517">
        <f>$O$241</f>
        <v>3</v>
      </c>
      <c r="F20" s="4257">
        <f>$A$247</f>
        <v>0</v>
      </c>
      <c r="G20" s="4258"/>
      <c r="H20" s="4258"/>
      <c r="I20" s="4258"/>
      <c r="J20" s="4258"/>
      <c r="K20" s="4258"/>
      <c r="L20" s="4258"/>
      <c r="M20" s="4258"/>
      <c r="N20" s="4258"/>
      <c r="O20" s="4259"/>
      <c r="P20" s="1528"/>
      <c r="Q20" s="4318"/>
      <c r="R20" s="4319"/>
      <c r="S20" s="4319"/>
    </row>
    <row r="21" spans="1:35" s="42" customFormat="1" ht="10.5" customHeight="1">
      <c r="A21" s="1189" t="s">
        <v>6250</v>
      </c>
      <c r="B21" s="1190" t="s">
        <v>4047</v>
      </c>
      <c r="C21" s="1191"/>
      <c r="D21" s="1192"/>
      <c r="E21" s="1518">
        <f>$O$251</f>
        <v>0</v>
      </c>
      <c r="F21" s="4323" t="str">
        <f>$A$256</f>
        <v>The most recent 9% award in the city of Villa Rica was in 2019, 2019-052 Legacy Walton Trail (90 units).</v>
      </c>
      <c r="G21" s="4324"/>
      <c r="H21" s="4324"/>
      <c r="I21" s="4324"/>
      <c r="J21" s="4324"/>
      <c r="K21" s="4324"/>
      <c r="L21" s="4324"/>
      <c r="M21" s="4324"/>
      <c r="N21" s="4324"/>
      <c r="O21" s="4325"/>
      <c r="P21" s="1528"/>
      <c r="Q21" s="4318"/>
      <c r="R21" s="4319"/>
      <c r="S21" s="4319"/>
    </row>
    <row r="22" spans="1:35" s="42" customFormat="1" ht="10.5" customHeight="1">
      <c r="A22" s="1183" t="s">
        <v>6646</v>
      </c>
      <c r="B22" s="953" t="s">
        <v>6557</v>
      </c>
      <c r="C22" s="1102"/>
      <c r="D22" s="1184"/>
      <c r="E22" s="1515">
        <f>$O$273</f>
        <v>0</v>
      </c>
      <c r="F22" s="4257" t="str">
        <f>$A$280</f>
        <v xml:space="preserve">Not seeking points in this section. </v>
      </c>
      <c r="G22" s="4258"/>
      <c r="H22" s="4258"/>
      <c r="I22" s="4258"/>
      <c r="J22" s="4258"/>
      <c r="K22" s="4258"/>
      <c r="L22" s="4258"/>
      <c r="M22" s="4258"/>
      <c r="N22" s="4258"/>
      <c r="O22" s="4259"/>
      <c r="P22" s="1528"/>
      <c r="Q22" s="4318"/>
      <c r="R22" s="4319"/>
      <c r="S22" s="4319"/>
    </row>
    <row r="23" spans="1:35" s="42" customFormat="1" ht="10.5" customHeight="1">
      <c r="A23" s="1183" t="s">
        <v>6648</v>
      </c>
      <c r="B23" s="953" t="s">
        <v>6647</v>
      </c>
      <c r="C23" s="1102"/>
      <c r="D23" s="1184"/>
      <c r="E23" s="1515">
        <f>$O$284</f>
        <v>2</v>
      </c>
      <c r="F23" s="4257">
        <f>$A$305</f>
        <v>0</v>
      </c>
      <c r="G23" s="4258"/>
      <c r="H23" s="4258"/>
      <c r="I23" s="4258"/>
      <c r="J23" s="4258"/>
      <c r="K23" s="4258"/>
      <c r="L23" s="4258"/>
      <c r="M23" s="4258"/>
      <c r="N23" s="4258"/>
      <c r="O23" s="4259"/>
      <c r="P23" s="1528"/>
      <c r="Q23" s="4318"/>
      <c r="R23" s="4319"/>
      <c r="S23" s="4319"/>
    </row>
    <row r="24" spans="1:35" s="42" customFormat="1" ht="10.5" customHeight="1">
      <c r="A24" s="2096" t="s">
        <v>3371</v>
      </c>
      <c r="B24" s="2534" t="s">
        <v>6563</v>
      </c>
      <c r="C24" s="2535"/>
      <c r="D24" s="2536"/>
      <c r="E24" s="1516">
        <f>$O$309</f>
        <v>2</v>
      </c>
      <c r="F24" s="4312" t="str">
        <f>$A$313</f>
        <v>Applicant commits to accept resident services coordination from an entity certified as a 3rd party Resident Services Coordinator Contractor by CORES or other DCA-approved program.</v>
      </c>
      <c r="G24" s="4313"/>
      <c r="H24" s="4313"/>
      <c r="I24" s="4313"/>
      <c r="J24" s="4313"/>
      <c r="K24" s="4313"/>
      <c r="L24" s="4313"/>
      <c r="M24" s="4313"/>
      <c r="N24" s="4313"/>
      <c r="O24" s="4314"/>
      <c r="P24" s="1528"/>
      <c r="Q24" s="4318"/>
      <c r="R24" s="4319"/>
      <c r="S24" s="4319"/>
    </row>
    <row r="25" spans="1:35" s="42" customFormat="1" ht="10.5" customHeight="1">
      <c r="A25" s="1183" t="s">
        <v>3375</v>
      </c>
      <c r="B25" s="953" t="s">
        <v>3399</v>
      </c>
      <c r="C25" s="1102"/>
      <c r="D25" s="1184"/>
      <c r="E25" s="1515">
        <f>$O$333</f>
        <v>0</v>
      </c>
      <c r="F25" s="4257" t="str">
        <f>$A$337</f>
        <v xml:space="preserve">Applicant is not seeking points in this section. </v>
      </c>
      <c r="G25" s="4258"/>
      <c r="H25" s="4258"/>
      <c r="I25" s="4258"/>
      <c r="J25" s="4258"/>
      <c r="K25" s="4258"/>
      <c r="L25" s="4258"/>
      <c r="M25" s="4258"/>
      <c r="N25" s="4258"/>
      <c r="O25" s="4259"/>
      <c r="P25" s="1528"/>
      <c r="Q25" s="4318"/>
      <c r="R25" s="4319"/>
      <c r="S25" s="4319"/>
    </row>
    <row r="26" spans="1:35" s="42" customFormat="1" ht="10.5" customHeight="1">
      <c r="A26" s="1183" t="s">
        <v>3378</v>
      </c>
      <c r="B26" s="953" t="s">
        <v>3400</v>
      </c>
      <c r="C26" s="1102"/>
      <c r="D26" s="1184"/>
      <c r="E26" s="1515">
        <f>$O$341</f>
        <v>0</v>
      </c>
      <c r="F26" s="4257" t="str">
        <f>$A$373</f>
        <v xml:space="preserve">Applicant is not seeking points in this section. </v>
      </c>
      <c r="G26" s="4258"/>
      <c r="H26" s="4258"/>
      <c r="I26" s="4258"/>
      <c r="J26" s="4258"/>
      <c r="K26" s="4258"/>
      <c r="L26" s="4258"/>
      <c r="M26" s="4258"/>
      <c r="N26" s="4258"/>
      <c r="O26" s="4259"/>
      <c r="P26" s="1528"/>
      <c r="Q26" s="4318"/>
      <c r="R26" s="4319"/>
      <c r="S26" s="4319"/>
    </row>
    <row r="27" spans="1:35" s="42" customFormat="1" ht="10.5" customHeight="1">
      <c r="A27" s="1183" t="s">
        <v>3379</v>
      </c>
      <c r="B27" s="953" t="s">
        <v>3401</v>
      </c>
      <c r="C27" s="1102"/>
      <c r="D27" s="1184"/>
      <c r="E27" s="1517">
        <f>$O$377</f>
        <v>0</v>
      </c>
      <c r="F27" s="4257" t="str">
        <f>$A$392</f>
        <v xml:space="preserve">Applicant is not seeking scoring points in this section. </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3381</v>
      </c>
      <c r="B28" s="1186" t="s">
        <v>6645</v>
      </c>
      <c r="C28" s="1187"/>
      <c r="D28" s="1188"/>
      <c r="E28" s="2116">
        <f>$O$404</f>
        <v>2</v>
      </c>
      <c r="F28" s="4274" t="str">
        <f>$A$413</f>
        <v xml:space="preserve">Applicant is not seeking scoring in this section. </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257">
        <f>$A$419</f>
        <v>0</v>
      </c>
      <c r="G29" s="4258"/>
      <c r="H29" s="4258"/>
      <c r="I29" s="4258"/>
      <c r="J29" s="4258"/>
      <c r="K29" s="4258"/>
      <c r="L29" s="4258"/>
      <c r="M29" s="4258"/>
      <c r="N29" s="4258"/>
      <c r="O29" s="4259"/>
      <c r="P29" s="1528"/>
      <c r="Q29" s="2652"/>
      <c r="R29" s="2128"/>
      <c r="S29" s="2128"/>
    </row>
    <row r="30" spans="1:35" s="42" customFormat="1" ht="10.5" customHeight="1">
      <c r="A30" s="1183" t="s">
        <v>3807</v>
      </c>
      <c r="B30" s="953" t="s">
        <v>6561</v>
      </c>
      <c r="C30" s="1102"/>
      <c r="D30" s="1184"/>
      <c r="E30" s="1515">
        <f>$O$427</f>
        <v>0</v>
      </c>
      <c r="F30" s="4257">
        <f>$A$429</f>
        <v>0</v>
      </c>
      <c r="G30" s="4258"/>
      <c r="H30" s="4258"/>
      <c r="I30" s="4258"/>
      <c r="J30" s="4258"/>
      <c r="K30" s="4258"/>
      <c r="L30" s="4258"/>
      <c r="M30" s="4258"/>
      <c r="N30" s="4258"/>
      <c r="O30" s="4259"/>
      <c r="P30" s="1528"/>
      <c r="Q30" s="2652"/>
      <c r="R30" s="2128"/>
      <c r="S30" s="2128"/>
      <c r="AA30" s="3891" t="s">
        <v>6571</v>
      </c>
      <c r="AB30" s="3891"/>
      <c r="AC30" s="3891"/>
      <c r="AD30" s="3891"/>
      <c r="AE30" s="3891"/>
      <c r="AF30" s="3891"/>
    </row>
    <row r="31" spans="1:35" s="42" customFormat="1" ht="10.5" customHeight="1">
      <c r="A31" s="1185" t="s">
        <v>6564</v>
      </c>
      <c r="B31" s="1186" t="s">
        <v>6562</v>
      </c>
      <c r="C31" s="1187"/>
      <c r="D31" s="1188"/>
      <c r="E31" s="2116">
        <f>$O$433</f>
        <v>0</v>
      </c>
      <c r="F31" s="4274">
        <f>$A$437</f>
        <v>0</v>
      </c>
      <c r="G31" s="4275"/>
      <c r="H31" s="4275"/>
      <c r="I31" s="4275"/>
      <c r="J31" s="4275"/>
      <c r="K31" s="4275"/>
      <c r="L31" s="4275"/>
      <c r="M31" s="4275"/>
      <c r="N31" s="4275"/>
      <c r="O31" s="4276"/>
      <c r="P31" s="1529"/>
      <c r="Q31" s="2652"/>
      <c r="R31" s="2128"/>
      <c r="S31" s="2128"/>
      <c r="X31" s="3891" t="s">
        <v>6572</v>
      </c>
      <c r="Y31" s="3891"/>
      <c r="Z31" s="3891"/>
      <c r="AA31" s="3891"/>
      <c r="AB31" s="3891"/>
      <c r="AC31" s="3891"/>
      <c r="AD31" s="3891" t="s">
        <v>6573</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6" t="s">
        <v>6131</v>
      </c>
      <c r="H33" s="4326"/>
      <c r="I33" s="4320" t="s">
        <v>6511</v>
      </c>
      <c r="J33" s="4321"/>
      <c r="K33" s="4321"/>
      <c r="L33" s="4322"/>
      <c r="M33" s="4392" t="s">
        <v>6144</v>
      </c>
      <c r="N33" s="4392"/>
      <c r="O33" s="4392"/>
      <c r="P33" s="4392"/>
      <c r="Q33" s="1972"/>
      <c r="R33" s="1972"/>
      <c r="S33" s="107" t="s">
        <v>6143</v>
      </c>
      <c r="T33" s="1972"/>
      <c r="U33" s="1972"/>
      <c r="V33" s="1972"/>
      <c r="X33" s="4306" t="s">
        <v>6131</v>
      </c>
      <c r="Y33" s="4308"/>
      <c r="Z33" s="4306" t="s">
        <v>6511</v>
      </c>
      <c r="AA33" s="4307"/>
      <c r="AB33" s="4307"/>
      <c r="AC33" s="4308"/>
      <c r="AD33" s="4315" t="s">
        <v>6131</v>
      </c>
      <c r="AE33" s="4316"/>
      <c r="AF33" s="4317" t="s">
        <v>6511</v>
      </c>
      <c r="AG33" s="4315"/>
      <c r="AH33" s="4315"/>
      <c r="AI33" s="431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3" t="s">
        <v>6570</v>
      </c>
      <c r="N39" s="4394"/>
      <c r="O39" s="4394"/>
      <c r="P39" s="4394"/>
      <c r="Q39" s="1969"/>
      <c r="R39" s="2409" t="s">
        <v>720</v>
      </c>
      <c r="S39" s="2273" t="s">
        <v>3341</v>
      </c>
      <c r="T39" s="2468"/>
      <c r="U39" s="2469"/>
      <c r="V39" s="2469"/>
      <c r="W39" s="2469"/>
      <c r="X39" s="2276">
        <f>O151</f>
        <v>0</v>
      </c>
      <c r="Y39" s="2349">
        <f>O151</f>
        <v>0</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3"/>
      <c r="N40" s="4394"/>
      <c r="O40" s="4394"/>
      <c r="P40" s="4394"/>
      <c r="Q40" s="1969"/>
      <c r="R40" s="2409" t="s">
        <v>280</v>
      </c>
      <c r="S40" s="2273" t="s">
        <v>3397</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6565</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2651</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3</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3372</v>
      </c>
      <c r="S46" s="2273" t="s">
        <v>4047</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3372</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64</v>
      </c>
    </row>
    <row r="49" spans="1:46" s="160" customFormat="1" ht="10.5" customHeight="1">
      <c r="A49" s="2409" t="s">
        <v>3373</v>
      </c>
      <c r="B49" s="2273" t="s">
        <v>6558</v>
      </c>
      <c r="C49" s="2279"/>
      <c r="D49" s="2280"/>
      <c r="E49" s="2280"/>
      <c r="F49" s="2280"/>
      <c r="G49" s="2276">
        <v>2</v>
      </c>
      <c r="H49" s="2277">
        <v>2</v>
      </c>
      <c r="I49" s="2277">
        <v>2</v>
      </c>
      <c r="J49" s="2276">
        <v>2</v>
      </c>
      <c r="K49" s="2278">
        <v>2</v>
      </c>
      <c r="L49" s="2278">
        <v>2</v>
      </c>
      <c r="M49" s="183" t="s">
        <v>6569</v>
      </c>
      <c r="N49" s="586"/>
      <c r="O49" s="586"/>
      <c r="P49" s="595">
        <f>'Part II-Sources of Funds'!$L$14</f>
        <v>0</v>
      </c>
      <c r="R49" s="2409" t="s">
        <v>3373</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6700</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6563</v>
      </c>
      <c r="C50" s="2279"/>
      <c r="D50" s="2280"/>
      <c r="E50" s="2280"/>
      <c r="F50" s="2280"/>
      <c r="G50" s="2276">
        <v>2</v>
      </c>
      <c r="H50" s="2277"/>
      <c r="I50" s="2277"/>
      <c r="J50" s="2276">
        <v>2</v>
      </c>
      <c r="K50" s="2278">
        <v>2</v>
      </c>
      <c r="L50" s="2278">
        <v>2</v>
      </c>
      <c r="Q50" s="1969"/>
      <c r="R50" s="2409" t="s">
        <v>3371</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529" t="s">
        <v>6743</v>
      </c>
      <c r="N51" s="4530"/>
      <c r="O51" s="4530"/>
      <c r="P51" s="4530"/>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29"/>
      <c r="N52" s="4530"/>
      <c r="O52" s="4530"/>
      <c r="P52" s="4530"/>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1"/>
      <c r="N53" s="4532"/>
      <c r="O53" s="4532"/>
      <c r="P53" s="4532"/>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5" t="s">
        <v>6131</v>
      </c>
      <c r="N54" s="4396"/>
      <c r="O54" s="4396"/>
      <c r="P54" s="4397"/>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398"/>
      <c r="N55" s="4399"/>
      <c r="O55" s="4399"/>
      <c r="P55" s="4400"/>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6559</v>
      </c>
      <c r="C56" s="2279"/>
      <c r="D56" s="2280"/>
      <c r="E56" s="2280"/>
      <c r="F56" s="2280"/>
      <c r="G56" s="2276">
        <v>3</v>
      </c>
      <c r="H56" s="2277">
        <v>3</v>
      </c>
      <c r="I56" s="2277">
        <v>3</v>
      </c>
      <c r="J56" s="2276">
        <v>3</v>
      </c>
      <c r="K56" s="2278">
        <v>3</v>
      </c>
      <c r="L56" s="2278">
        <v>3</v>
      </c>
      <c r="R56" s="2409" t="s">
        <v>3381</v>
      </c>
      <c r="S56" s="2273" t="s">
        <v>6559</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393" t="s">
        <v>6146</v>
      </c>
      <c r="N57" s="4394"/>
      <c r="O57" s="4394"/>
      <c r="P57" s="4394"/>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6560</v>
      </c>
      <c r="C58" s="2279"/>
      <c r="D58" s="2280"/>
      <c r="E58" s="2280"/>
      <c r="F58" s="2280"/>
      <c r="G58" s="2276"/>
      <c r="H58" s="2277"/>
      <c r="I58" s="2277">
        <v>6</v>
      </c>
      <c r="J58" s="2276">
        <v>6</v>
      </c>
      <c r="K58" s="2278">
        <v>6</v>
      </c>
      <c r="L58" s="2278">
        <v>6</v>
      </c>
      <c r="M58" s="4527"/>
      <c r="N58" s="4528"/>
      <c r="O58" s="4528"/>
      <c r="P58" s="4528"/>
      <c r="Q58" s="1969"/>
      <c r="R58" s="2409" t="s">
        <v>3383</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249" t="s">
        <v>2393</v>
      </c>
      <c r="N59" s="4250"/>
      <c r="O59" s="4250"/>
      <c r="P59" s="4251"/>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252"/>
      <c r="N60" s="4253"/>
      <c r="O60" s="4253"/>
      <c r="P60" s="4254"/>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65</v>
      </c>
      <c r="Y62" s="2343">
        <f t="shared" ref="Y62" si="1">SUM(Y35:Y60)</f>
        <v>59</v>
      </c>
      <c r="Z62" s="2343">
        <f>SUM(Z35:Z60)</f>
        <v>30</v>
      </c>
      <c r="AA62" s="2343">
        <f>SUM(AA35:AA60)</f>
        <v>30</v>
      </c>
      <c r="AB62" s="2343">
        <f>SUM(AB35:AB60)</f>
        <v>32</v>
      </c>
      <c r="AC62" s="2343">
        <f>SUM(AC35:AC60)</f>
        <v>32</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303" t="s">
        <v>3899</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4" t="s">
        <v>6077</v>
      </c>
      <c r="B73" s="4214"/>
      <c r="C73" s="4214"/>
      <c r="D73" s="4214"/>
      <c r="E73" s="4214"/>
      <c r="F73" s="1492" t="s">
        <v>3393</v>
      </c>
      <c r="G73" s="4380" t="s">
        <v>6079</v>
      </c>
      <c r="H73" s="4380"/>
      <c r="I73" s="4380"/>
      <c r="J73" s="1492" t="s">
        <v>3393</v>
      </c>
      <c r="K73" s="4384" t="s">
        <v>6078</v>
      </c>
      <c r="L73" s="4384"/>
      <c r="M73" s="4384"/>
      <c r="N73" s="4384"/>
      <c r="O73" s="4378" t="s">
        <v>3393</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3813</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3147</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3148</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3149</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3150</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6655</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4" t="s">
        <v>3816</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57.96875</v>
      </c>
      <c r="L93" s="4472" t="str">
        <f>IF(AND(O93&gt;0,O94&gt;0), "CHOOSE EITHER A OR B, NOT BOTH!", "")</f>
        <v/>
      </c>
      <c r="M93" s="1019">
        <v>2</v>
      </c>
      <c r="N93" s="187" t="s">
        <v>1845</v>
      </c>
      <c r="O93" s="534">
        <v>2</v>
      </c>
      <c r="P93" s="544"/>
      <c r="Q93" s="1532" t="str">
        <f>IF(OR($O93=$M93,$O93=0,$O93=""),"","*CHECK!*")</f>
        <v/>
      </c>
      <c r="R93" s="1001" t="s">
        <v>4063</v>
      </c>
    </row>
    <row r="94" spans="1:19" s="103" customFormat="1" ht="13.5" customHeight="1">
      <c r="A94" s="1499" t="s">
        <v>2986</v>
      </c>
      <c r="B94" s="1512" t="s">
        <v>1847</v>
      </c>
      <c r="C94" s="1500" t="s">
        <v>3819</v>
      </c>
      <c r="D94" s="52"/>
      <c r="I94" s="1498"/>
      <c r="K94" s="52"/>
      <c r="L94" s="4472"/>
      <c r="M94" s="1019">
        <v>2</v>
      </c>
      <c r="N94" s="187" t="s">
        <v>1847</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7" t="s">
        <v>3820</v>
      </c>
      <c r="I96" s="4268"/>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64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6930</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c r="P104" s="2320"/>
    </row>
    <row r="105" spans="1:21" s="103" customFormat="1" ht="12.75" customHeight="1">
      <c r="A105" s="139" t="s">
        <v>1842</v>
      </c>
      <c r="B105" s="177" t="s">
        <v>1737</v>
      </c>
      <c r="C105" s="4"/>
      <c r="D105" s="4"/>
      <c r="F105" s="317"/>
      <c r="H105" s="840" t="s">
        <v>2469</v>
      </c>
      <c r="I105" s="4287" t="s">
        <v>4048</v>
      </c>
      <c r="J105" s="4288"/>
      <c r="K105" s="4288"/>
      <c r="L105" s="4289"/>
      <c r="M105" s="598">
        <v>20</v>
      </c>
      <c r="N105" s="187" t="s">
        <v>1842</v>
      </c>
      <c r="O105" s="2321">
        <v>20</v>
      </c>
      <c r="P105" s="2322"/>
      <c r="Q105" s="1532"/>
      <c r="R105" s="1001" t="s">
        <v>4063</v>
      </c>
    </row>
    <row r="106" spans="1:21" s="103" customFormat="1" ht="12.75" customHeight="1">
      <c r="A106" s="139" t="s">
        <v>1844</v>
      </c>
      <c r="B106" s="177" t="s">
        <v>3282</v>
      </c>
      <c r="D106" s="1120"/>
      <c r="F106" s="1566"/>
      <c r="H106" s="840" t="s">
        <v>3340</v>
      </c>
      <c r="I106" s="4290"/>
      <c r="J106" s="4291"/>
      <c r="K106" s="4291"/>
      <c r="L106" s="4292"/>
      <c r="M106" s="1558" t="s">
        <v>1165</v>
      </c>
      <c r="N106" s="478" t="s">
        <v>1844</v>
      </c>
      <c r="O106" s="2323"/>
      <c r="P106" s="2324"/>
      <c r="R106" s="1001" t="s">
        <v>4063</v>
      </c>
    </row>
    <row r="107" spans="1:21" s="43" customFormat="1" ht="12.75" customHeight="1" thickBot="1">
      <c r="A107" s="42"/>
      <c r="B107" s="1197" t="s">
        <v>3243</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6961</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6575</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6576</v>
      </c>
      <c r="D118" s="1120"/>
      <c r="E118" s="103"/>
      <c r="F118" s="103"/>
      <c r="G118" s="103"/>
      <c r="H118" s="45"/>
      <c r="I118" s="49"/>
      <c r="J118" s="48"/>
      <c r="K118" s="48"/>
      <c r="L118" s="103"/>
      <c r="M118" s="103"/>
      <c r="N118" s="478"/>
      <c r="O118" s="231"/>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6579</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49" t="s">
        <v>3218</v>
      </c>
      <c r="G122" s="4349"/>
      <c r="H122" s="4349"/>
      <c r="I122" s="4349"/>
      <c r="J122" s="4349" t="s">
        <v>3219</v>
      </c>
      <c r="K122" s="4349"/>
      <c r="L122" s="4349"/>
      <c r="M122" s="4349"/>
      <c r="N122" s="478"/>
      <c r="O122" s="4350" t="s">
        <v>3889</v>
      </c>
      <c r="P122" s="4351"/>
      <c r="Q122" s="110"/>
      <c r="R122" s="2437"/>
      <c r="S122" s="2437"/>
      <c r="T122" s="2437"/>
      <c r="U122" s="2437"/>
    </row>
    <row r="123" spans="1:21" s="43" customFormat="1" ht="12" customHeight="1">
      <c r="B123" s="2436"/>
      <c r="C123" s="2434" t="s">
        <v>6578</v>
      </c>
      <c r="E123" s="291"/>
      <c r="F123" s="4300"/>
      <c r="G123" s="4301"/>
      <c r="H123" s="4264"/>
      <c r="I123" s="4265"/>
      <c r="J123" s="4300"/>
      <c r="K123" s="4301"/>
      <c r="L123" s="4264"/>
      <c r="M123" s="4265"/>
      <c r="N123" s="478"/>
      <c r="Q123" s="110"/>
      <c r="R123" s="2437"/>
      <c r="S123" s="2437"/>
      <c r="T123" s="2437"/>
      <c r="U123" s="2437"/>
    </row>
    <row r="124" spans="1:21" s="43" customFormat="1" ht="12" customHeight="1">
      <c r="A124" s="2436"/>
      <c r="B124" s="2436"/>
      <c r="C124" s="2436"/>
      <c r="D124" s="414"/>
      <c r="E124" s="2435" t="s">
        <v>6153</v>
      </c>
      <c r="F124" s="4473"/>
      <c r="G124" s="4474"/>
      <c r="H124" s="4480"/>
      <c r="I124" s="4481"/>
      <c r="J124" s="4473"/>
      <c r="K124" s="4474"/>
      <c r="L124" s="4480"/>
      <c r="M124" s="4481"/>
      <c r="N124" s="478"/>
      <c r="O124" s="1627"/>
      <c r="P124" s="1173"/>
      <c r="Q124" s="110"/>
      <c r="R124" s="2437"/>
      <c r="S124" s="2437"/>
      <c r="T124" s="2437"/>
      <c r="U124" s="2437"/>
    </row>
    <row r="125" spans="1:21" s="43" customFormat="1" ht="12" customHeight="1">
      <c r="A125" s="4486" t="s">
        <v>6689</v>
      </c>
      <c r="B125" s="4486"/>
      <c r="C125" s="2434" t="s">
        <v>6577</v>
      </c>
      <c r="E125" s="291"/>
      <c r="F125" s="4475"/>
      <c r="G125" s="4476"/>
      <c r="H125" s="4491"/>
      <c r="I125" s="4492"/>
      <c r="J125" s="4475"/>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3368</v>
      </c>
      <c r="F126" s="4346"/>
      <c r="G126" s="4347"/>
      <c r="H126" s="4478"/>
      <c r="I126" s="4479"/>
      <c r="J126" s="4346"/>
      <c r="K126" s="4347"/>
      <c r="L126" s="4478"/>
      <c r="M126" s="447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6693</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c r="P131" s="551"/>
      <c r="Q131" s="110"/>
    </row>
    <row r="132" spans="1:21" s="436" customFormat="1" ht="25.5" customHeight="1">
      <c r="B132" s="462" t="s">
        <v>1845</v>
      </c>
      <c r="C132" s="4348" t="s">
        <v>6687</v>
      </c>
      <c r="D132" s="4348"/>
      <c r="E132" s="4348"/>
      <c r="F132" s="4348"/>
      <c r="G132" s="4348"/>
      <c r="H132" s="4348"/>
      <c r="I132" s="4348"/>
      <c r="J132" s="4348"/>
      <c r="K132" s="4348"/>
      <c r="L132" s="4348"/>
      <c r="M132" s="2454">
        <v>6</v>
      </c>
      <c r="N132" s="493" t="s">
        <v>1845</v>
      </c>
      <c r="O132" s="2580"/>
      <c r="P132" s="2581"/>
      <c r="Q132" s="1532"/>
      <c r="R132" s="1001" t="s">
        <v>4063</v>
      </c>
    </row>
    <row r="133" spans="1:21" s="436" customFormat="1" ht="12" customHeight="1">
      <c r="A133" s="595" t="s">
        <v>1276</v>
      </c>
      <c r="B133" s="462" t="s">
        <v>1847</v>
      </c>
      <c r="C133" s="4266" t="s">
        <v>6688</v>
      </c>
      <c r="D133" s="4266"/>
      <c r="E133" s="4266"/>
      <c r="F133" s="4266"/>
      <c r="G133" s="2572"/>
      <c r="J133" s="4352" t="s">
        <v>6684</v>
      </c>
      <c r="K133" s="4353"/>
      <c r="L133" s="4354"/>
      <c r="M133" s="598">
        <v>5</v>
      </c>
      <c r="N133" s="460" t="s">
        <v>1847</v>
      </c>
      <c r="O133" s="2596"/>
      <c r="P133" s="2597"/>
      <c r="Q133" s="2391" t="s">
        <v>6680</v>
      </c>
      <c r="R133" s="1492" t="s">
        <v>6271</v>
      </c>
      <c r="S133" s="1492" t="s">
        <v>6151</v>
      </c>
    </row>
    <row r="134" spans="1:21" s="436" customFormat="1" ht="12" customHeight="1">
      <c r="B134" s="462"/>
      <c r="C134" s="4266"/>
      <c r="D134" s="4266"/>
      <c r="E134" s="4266"/>
      <c r="F134" s="4266"/>
      <c r="G134" s="2572"/>
      <c r="H134" s="4225" t="s">
        <v>6682</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3241</v>
      </c>
      <c r="C137" s="649"/>
      <c r="D137" s="649"/>
      <c r="F137" s="2571" t="s">
        <v>6679</v>
      </c>
      <c r="J137" s="4277" t="s">
        <v>3238</v>
      </c>
      <c r="K137" s="4278"/>
      <c r="L137" s="2433" t="s">
        <v>3239</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6681</v>
      </c>
      <c r="R137" s="2575">
        <v>0.25</v>
      </c>
      <c r="S137" s="2575">
        <v>3</v>
      </c>
    </row>
    <row r="138" spans="1:21" s="43" customFormat="1" ht="12" customHeight="1">
      <c r="A138" s="154"/>
      <c r="B138" s="2132" t="s">
        <v>1845</v>
      </c>
      <c r="C138" s="4266" t="s">
        <v>6694</v>
      </c>
      <c r="D138" s="4266"/>
      <c r="E138" s="4266"/>
      <c r="F138" s="4266"/>
      <c r="G138" s="2572"/>
      <c r="H138" s="4225" t="s">
        <v>6683</v>
      </c>
      <c r="I138" s="4225"/>
      <c r="J138" s="4279" t="s">
        <v>6699</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6574</v>
      </c>
      <c r="K139" s="4510"/>
      <c r="L139" s="4511"/>
      <c r="M139" s="103"/>
      <c r="O139" s="4523"/>
      <c r="P139" s="4526"/>
      <c r="Q139" s="110"/>
      <c r="R139" s="1984">
        <v>1</v>
      </c>
      <c r="S139" s="1984">
        <v>1</v>
      </c>
      <c r="U139" s="436"/>
    </row>
    <row r="140" spans="1:21" s="43" customFormat="1" ht="11.25" customHeight="1">
      <c r="A140" s="595" t="s">
        <v>1276</v>
      </c>
      <c r="B140" s="2132" t="s">
        <v>1847</v>
      </c>
      <c r="C140" s="4266" t="s">
        <v>6686</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6685</v>
      </c>
      <c r="D142" s="4266"/>
      <c r="E142" s="4266"/>
      <c r="F142" s="4266"/>
      <c r="G142" s="4266"/>
      <c r="H142" s="4266"/>
      <c r="I142" s="4521"/>
      <c r="J142" s="4509" t="s">
        <v>6984</v>
      </c>
      <c r="K142" s="4510"/>
      <c r="L142" s="4511"/>
      <c r="M142" s="2454">
        <v>2</v>
      </c>
      <c r="N142" s="493" t="s">
        <v>2333</v>
      </c>
      <c r="O142" s="4483">
        <v>2</v>
      </c>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242" t="s">
        <v>6986</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HFOP</v>
      </c>
      <c r="M151" s="872">
        <v>3</v>
      </c>
      <c r="N151" s="74"/>
      <c r="O151" s="2102"/>
      <c r="P151" s="2103"/>
      <c r="Q151" s="1532" t="str">
        <f>IF(OR($O151&lt;=$M151,$O151=0,$O151=""),"","*CHECK!*")</f>
        <v/>
      </c>
      <c r="R151" s="2105" t="s">
        <v>416</v>
      </c>
      <c r="S151" s="1001" t="s">
        <v>4063</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506" t="s">
        <v>6635</v>
      </c>
      <c r="K153" s="4507"/>
      <c r="L153" s="4507"/>
      <c r="M153" s="4508"/>
    </row>
    <row r="154" spans="1:19" customFormat="1" ht="12.75" customHeight="1">
      <c r="B154" s="2139"/>
      <c r="C154" s="2139"/>
      <c r="D154" s="2139"/>
      <c r="F154" s="4495" t="s">
        <v>6636</v>
      </c>
      <c r="G154" s="4495"/>
      <c r="H154" s="4495" t="s">
        <v>6277</v>
      </c>
      <c r="I154" s="4495"/>
      <c r="J154" s="4497" t="s">
        <v>6637</v>
      </c>
      <c r="K154" s="4498"/>
      <c r="L154" s="4495" t="s">
        <v>6638</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6639</v>
      </c>
      <c r="C156" s="2141"/>
      <c r="D156" s="2138"/>
      <c r="F156" s="4496"/>
      <c r="G156" s="4496"/>
      <c r="H156" s="4496"/>
      <c r="I156" s="4496"/>
      <c r="J156" s="4499"/>
      <c r="K156" s="4498"/>
      <c r="L156" s="4498"/>
      <c r="M156" s="4500"/>
      <c r="N156" s="1641"/>
      <c r="O156" s="2489"/>
      <c r="P156" s="2488"/>
    </row>
    <row r="157" spans="1:19" customFormat="1">
      <c r="B157" s="4501"/>
      <c r="C157" s="4502"/>
      <c r="D157" s="4502"/>
      <c r="E157" s="4503"/>
      <c r="F157" s="4501"/>
      <c r="G157" s="4503"/>
      <c r="H157" s="4501"/>
      <c r="I157" s="4503"/>
      <c r="J157" s="4504"/>
      <c r="K157" s="4505"/>
      <c r="L157" s="4504"/>
      <c r="M157" s="4505"/>
      <c r="N157" s="4543"/>
      <c r="O157" s="4544"/>
      <c r="P157" s="2490"/>
    </row>
    <row r="158" spans="1:19" customFormat="1">
      <c r="B158" s="4327"/>
      <c r="C158" s="4328"/>
      <c r="D158" s="4328"/>
      <c r="E158" s="4329"/>
      <c r="F158" s="4327"/>
      <c r="G158" s="4329"/>
      <c r="H158" s="4327"/>
      <c r="I158" s="4329"/>
      <c r="J158" s="4487"/>
      <c r="K158" s="4488"/>
      <c r="L158" s="4487"/>
      <c r="M158" s="4488"/>
      <c r="N158" s="4362"/>
      <c r="O158" s="4363"/>
      <c r="P158" s="2490"/>
    </row>
    <row r="159" spans="1:19" customFormat="1">
      <c r="B159" s="4327"/>
      <c r="C159" s="4328"/>
      <c r="D159" s="4328"/>
      <c r="E159" s="4329"/>
      <c r="F159" s="4327"/>
      <c r="G159" s="4329"/>
      <c r="H159" s="4327"/>
      <c r="I159" s="4329"/>
      <c r="J159" s="4487"/>
      <c r="K159" s="4488"/>
      <c r="L159" s="4487"/>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242" t="s">
        <v>6968</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v>2</v>
      </c>
      <c r="P171" s="2159"/>
      <c r="Q171" s="1532" t="str">
        <f>IF(OR($O171=$M171,$O171=0,$O171=""),"","*CHECK!*")</f>
        <v/>
      </c>
      <c r="R171" s="1001" t="s">
        <v>4063</v>
      </c>
      <c r="S171" s="2128"/>
      <c r="T171" s="2128"/>
      <c r="U171" s="2128"/>
    </row>
    <row r="172" spans="1:26" s="417" customFormat="1" ht="12" customHeight="1">
      <c r="B172" s="1012" t="s">
        <v>2241</v>
      </c>
      <c r="C172" s="4263" t="s">
        <v>6690</v>
      </c>
      <c r="D172" s="4263"/>
      <c r="E172" s="4263"/>
      <c r="F172" s="4263"/>
      <c r="G172" s="4263"/>
      <c r="H172" s="4263"/>
      <c r="I172" s="4263"/>
      <c r="J172" s="4263"/>
      <c r="K172" s="4263"/>
      <c r="L172" s="1012"/>
      <c r="M172" s="4477" t="s">
        <v>6095</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t="s">
        <v>6965</v>
      </c>
      <c r="N173" s="4470"/>
      <c r="O173" s="4470"/>
      <c r="P173" s="4471"/>
      <c r="S173" s="2128"/>
      <c r="T173" s="2128"/>
      <c r="U173" s="2128"/>
    </row>
    <row r="174" spans="1:26" s="33" customFormat="1" ht="12.75" customHeight="1">
      <c r="B174" s="400" t="s">
        <v>2242</v>
      </c>
      <c r="C174" s="135" t="s">
        <v>3961</v>
      </c>
      <c r="D174" s="504"/>
      <c r="E174" s="504"/>
      <c r="F174" s="504"/>
      <c r="G174" s="504"/>
      <c r="H174" s="504"/>
      <c r="L174" s="400" t="s">
        <v>2242</v>
      </c>
      <c r="M174" s="4359" t="s">
        <v>6962</v>
      </c>
      <c r="N174" s="4360"/>
      <c r="O174" s="4360"/>
      <c r="P174" s="4361"/>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59" t="s">
        <v>6963</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23" t="s">
        <v>6964</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58" t="s">
        <v>6186</v>
      </c>
      <c r="D179" s="4358"/>
      <c r="E179" s="4358"/>
      <c r="F179" s="4358"/>
      <c r="G179" s="4358"/>
      <c r="H179" s="4358"/>
      <c r="I179" s="4358"/>
      <c r="J179" s="4358"/>
      <c r="K179" s="4358"/>
      <c r="L179" s="4358"/>
      <c r="M179" s="2453">
        <v>1</v>
      </c>
      <c r="N179" s="1012" t="s">
        <v>4081</v>
      </c>
      <c r="O179" s="2144">
        <v>1</v>
      </c>
      <c r="P179" s="2160"/>
      <c r="Q179" s="1532" t="str">
        <f>IF(OR($O179=$M179,$O179=0,$O179=""),"","*CHECK!*")</f>
        <v/>
      </c>
      <c r="R179" s="1001" t="s">
        <v>4063</v>
      </c>
    </row>
    <row r="180" spans="1:21" ht="36.75" customHeight="1">
      <c r="A180" s="521"/>
      <c r="B180" s="413" t="s">
        <v>2242</v>
      </c>
      <c r="C180" s="4358" t="s">
        <v>6187</v>
      </c>
      <c r="D180" s="4358"/>
      <c r="E180" s="4358"/>
      <c r="F180" s="4358"/>
      <c r="G180" s="4358"/>
      <c r="H180" s="4358"/>
      <c r="I180" s="4358"/>
      <c r="J180" s="4358"/>
      <c r="K180" s="4358"/>
      <c r="L180" s="4358"/>
      <c r="M180" s="2453">
        <v>1</v>
      </c>
      <c r="N180" s="1012" t="s">
        <v>6268</v>
      </c>
      <c r="O180" s="2182">
        <v>1</v>
      </c>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v>1</v>
      </c>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51" customHeight="1" thickTop="1" thickBot="1">
      <c r="A185" s="4242" t="s">
        <v>6966</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1845</v>
      </c>
      <c r="C193" s="4263" t="s">
        <v>6215</v>
      </c>
      <c r="D193" s="4263"/>
      <c r="E193" s="4263"/>
      <c r="F193" s="4263"/>
      <c r="G193" s="4263"/>
      <c r="H193" s="4263"/>
      <c r="I193" s="4263"/>
      <c r="J193" s="4263"/>
      <c r="K193" s="4263"/>
      <c r="L193" s="4263"/>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58" t="s">
        <v>6219</v>
      </c>
      <c r="D195" s="4358"/>
      <c r="E195" s="4358"/>
      <c r="F195" s="4358"/>
      <c r="G195" s="4358"/>
      <c r="H195" s="4358"/>
      <c r="I195" s="4358"/>
      <c r="J195" s="4358"/>
      <c r="K195" s="4358"/>
      <c r="L195" s="4358"/>
      <c r="M195" s="1008"/>
      <c r="N195" s="415" t="s">
        <v>2333</v>
      </c>
      <c r="O195" s="2127"/>
      <c r="P195" s="2126"/>
      <c r="Q195" s="1010"/>
      <c r="V195" s="1209"/>
      <c r="W195" s="1209"/>
    </row>
    <row r="196" spans="1:24" ht="11.45" customHeight="1">
      <c r="A196" s="139" t="s">
        <v>1963</v>
      </c>
      <c r="B196" s="190" t="s">
        <v>6217</v>
      </c>
      <c r="D196" s="33"/>
      <c r="G196" s="488"/>
      <c r="N196" s="27"/>
      <c r="O196" s="527"/>
      <c r="P196" s="527"/>
      <c r="Q196" s="1009"/>
    </row>
    <row r="197" spans="1:24" s="1684" customFormat="1" ht="23.25" customHeight="1">
      <c r="B197" s="462" t="s">
        <v>1845</v>
      </c>
      <c r="C197" s="4263" t="s">
        <v>6220</v>
      </c>
      <c r="D197" s="4263"/>
      <c r="E197" s="4263"/>
      <c r="F197" s="4263"/>
      <c r="G197" s="4263"/>
      <c r="H197" s="4263"/>
      <c r="I197" s="4263"/>
      <c r="J197" s="4263"/>
      <c r="K197" s="4263"/>
      <c r="L197" s="4263"/>
      <c r="M197" s="1125" t="s">
        <v>1963</v>
      </c>
      <c r="N197" s="415" t="s">
        <v>1845</v>
      </c>
      <c r="O197" s="1158"/>
      <c r="P197" s="1157"/>
      <c r="Q197" s="1214"/>
      <c r="V197" s="2070"/>
      <c r="W197" s="2070"/>
    </row>
    <row r="198" spans="1:24" s="33" customFormat="1" ht="23.25" customHeight="1">
      <c r="A198" s="521"/>
      <c r="B198" s="462" t="s">
        <v>1847</v>
      </c>
      <c r="C198" s="4358" t="s">
        <v>6261</v>
      </c>
      <c r="D198" s="4358"/>
      <c r="E198" s="4358"/>
      <c r="F198" s="4358"/>
      <c r="G198" s="4358"/>
      <c r="H198" s="4358"/>
      <c r="I198" s="4358"/>
      <c r="J198" s="4358"/>
      <c r="K198" s="4358"/>
      <c r="L198" s="4358"/>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2" t="s">
        <v>6968</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448" t="s">
        <v>3207</v>
      </c>
      <c r="K207" s="4449"/>
      <c r="L207" s="4450"/>
      <c r="M207" s="4451"/>
      <c r="N207" s="2150"/>
      <c r="O207" s="1202"/>
      <c r="P207" s="2121"/>
      <c r="Q207" s="27"/>
      <c r="R207" s="2151"/>
      <c r="S207" s="2148"/>
    </row>
    <row r="208" spans="1:24" customFormat="1" ht="12.75" customHeight="1">
      <c r="C208" s="2152" t="s">
        <v>6263</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c r="P210" s="847"/>
      <c r="Q210" s="1532" t="str">
        <f>IF(O210&lt;=M210,"","*CHECK!*")</f>
        <v/>
      </c>
      <c r="R210" s="1001" t="s">
        <v>4063</v>
      </c>
      <c r="S210" s="2130"/>
      <c r="T210" s="2130"/>
      <c r="U210" s="2130"/>
    </row>
    <row r="211" spans="1:37" customFormat="1">
      <c r="C211" s="2154" t="s">
        <v>6227</v>
      </c>
      <c r="D211" s="27"/>
      <c r="E211" s="4245" t="s">
        <v>6226</v>
      </c>
      <c r="F211" s="4245"/>
      <c r="G211" s="4245"/>
      <c r="H211" s="4245"/>
      <c r="I211" s="2085" t="s">
        <v>6253</v>
      </c>
      <c r="J211" s="4245" t="s">
        <v>6226</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6224</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4.9" customHeight="1" thickTop="1" thickBot="1">
      <c r="A219" s="4242" t="s">
        <v>6967</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v>
      </c>
      <c r="J225" s="488" t="s">
        <v>3964</v>
      </c>
      <c r="K225" s="4412" t="str">
        <f>'Part V-Revenues &amp; Expenses'!$O$53</f>
        <v>Income Averaging</v>
      </c>
      <c r="L225" s="4413"/>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6968</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v>3</v>
      </c>
      <c r="P241" s="1124"/>
      <c r="Q241" s="110" t="s">
        <v>416</v>
      </c>
      <c r="R241" s="1001" t="s">
        <v>4063</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t="s">
        <v>2651</v>
      </c>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t="s">
        <v>6936</v>
      </c>
      <c r="H243" s="412" t="s">
        <v>574</v>
      </c>
      <c r="I243" s="4272" t="s">
        <v>6937</v>
      </c>
      <c r="J243" s="4272"/>
      <c r="L243" s="2187" t="s">
        <v>6267</v>
      </c>
      <c r="M243" s="4273">
        <v>44623</v>
      </c>
      <c r="N243" s="4273"/>
    </row>
    <row r="244" spans="1:27" s="118" customFormat="1" ht="11.25" customHeight="1">
      <c r="A244" s="399"/>
      <c r="B244" s="462" t="s">
        <v>1847</v>
      </c>
      <c r="C244" s="2140" t="s">
        <v>6266</v>
      </c>
      <c r="E244" s="458" t="s">
        <v>3312</v>
      </c>
      <c r="G244" s="2165"/>
      <c r="H244" s="412" t="s">
        <v>574</v>
      </c>
      <c r="I244" s="4407"/>
      <c r="J244" s="4407"/>
      <c r="L244" s="2187" t="s">
        <v>6267</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2"/>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242" t="s">
        <v>6969</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6620</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6621</v>
      </c>
      <c r="D263" s="61"/>
      <c r="E263" s="61"/>
      <c r="F263" s="44"/>
      <c r="G263" s="27"/>
      <c r="L263" s="401"/>
      <c r="M263" s="1019">
        <v>2</v>
      </c>
      <c r="N263" s="2440" t="s">
        <v>1847</v>
      </c>
      <c r="O263" s="389" t="s">
        <v>6930</v>
      </c>
      <c r="P263" s="550"/>
      <c r="Q263" s="1004"/>
      <c r="R263" s="1103"/>
      <c r="T263" s="1077"/>
      <c r="U263" s="1077"/>
    </row>
    <row r="264" spans="1:21" s="103" customFormat="1" ht="10.5" customHeight="1">
      <c r="A264" s="139"/>
      <c r="B264" s="462" t="s">
        <v>2333</v>
      </c>
      <c r="C264" s="40" t="s">
        <v>6622</v>
      </c>
      <c r="D264" s="61"/>
      <c r="E264" s="61"/>
      <c r="F264" s="44"/>
      <c r="G264" s="27"/>
      <c r="K264" s="478"/>
      <c r="M264" s="1019">
        <v>1</v>
      </c>
      <c r="N264" s="2440" t="s">
        <v>2333</v>
      </c>
      <c r="O264" s="231" t="s">
        <v>6930</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6623</v>
      </c>
      <c r="C266" s="4021"/>
      <c r="D266" s="4021"/>
      <c r="E266" s="4021"/>
      <c r="F266" s="4021"/>
      <c r="G266" s="4021"/>
      <c r="H266" s="4021"/>
      <c r="I266" s="4021"/>
      <c r="J266" s="4021"/>
      <c r="K266" s="4021"/>
      <c r="L266" s="4021"/>
      <c r="M266" s="7"/>
      <c r="N266" s="478"/>
      <c r="O266" s="1198" t="s">
        <v>6930</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6624</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6580</v>
      </c>
      <c r="C273" s="92"/>
      <c r="D273" s="59"/>
      <c r="E273" s="59"/>
      <c r="G273" s="2117"/>
      <c r="H273" s="185"/>
      <c r="I273" s="2112" t="s">
        <v>6146</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6581</v>
      </c>
      <c r="D275" s="634"/>
      <c r="E275" s="634"/>
      <c r="F275" s="634"/>
      <c r="G275" s="634"/>
      <c r="H275" s="634"/>
      <c r="L275" s="1013"/>
      <c r="M275" s="2327">
        <v>1</v>
      </c>
      <c r="N275" s="478" t="s">
        <v>1842</v>
      </c>
      <c r="O275" s="230" t="s">
        <v>6930</v>
      </c>
      <c r="P275" s="549"/>
      <c r="Q275" s="1023">
        <f>IF(L275="Yes",1,0)</f>
        <v>0</v>
      </c>
      <c r="R275" s="2130"/>
      <c r="S275" s="2130"/>
      <c r="T275" s="2130"/>
      <c r="U275" s="2130"/>
      <c r="V275" s="2130"/>
    </row>
    <row r="276" spans="1:24" ht="11.25" customHeight="1">
      <c r="A276" s="1675" t="s">
        <v>1844</v>
      </c>
      <c r="B276" s="1128" t="s">
        <v>6582</v>
      </c>
      <c r="D276" s="634"/>
      <c r="L276" s="1013"/>
      <c r="M276" s="2327">
        <v>2</v>
      </c>
      <c r="N276" s="478" t="s">
        <v>1844</v>
      </c>
      <c r="O276" s="2423" t="s">
        <v>6930</v>
      </c>
      <c r="P276" s="551"/>
      <c r="Q276" s="1023">
        <f>IF(L276="Yes",1,0)</f>
        <v>0</v>
      </c>
      <c r="R276" s="2130"/>
      <c r="S276" s="2130"/>
      <c r="T276" s="2130"/>
      <c r="U276" s="2130"/>
      <c r="V276" s="2130"/>
    </row>
    <row r="277" spans="1:24" ht="11.25" customHeight="1">
      <c r="B277" s="2217" t="s">
        <v>6692</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6970</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6585</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6702</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6701</v>
      </c>
      <c r="G287" s="185"/>
      <c r="I287" s="4461" t="s">
        <v>2854</v>
      </c>
      <c r="J287" s="4462"/>
      <c r="M287" s="595"/>
      <c r="O287" s="2589"/>
      <c r="P287" s="2590"/>
      <c r="Q287" s="110"/>
      <c r="R287" s="2130"/>
      <c r="S287" s="2130"/>
      <c r="T287" s="2130"/>
      <c r="U287" s="2130"/>
      <c r="V287" s="2130"/>
      <c r="W287" s="43"/>
      <c r="X287" s="43"/>
    </row>
    <row r="288" spans="1:24" s="103" customFormat="1" ht="11.25" customHeight="1">
      <c r="A288" s="154"/>
      <c r="C288" s="36" t="s">
        <v>6703</v>
      </c>
      <c r="G288" s="185"/>
      <c r="I288" s="4463" t="s">
        <v>6985</v>
      </c>
      <c r="J288" s="4464"/>
      <c r="K288" s="4465"/>
      <c r="L288" s="4466"/>
      <c r="M288" s="595"/>
      <c r="O288" s="4467" t="s">
        <v>3152</v>
      </c>
      <c r="P288" s="4467" t="s">
        <v>3153</v>
      </c>
      <c r="Q288" s="110"/>
      <c r="R288" s="2130"/>
      <c r="S288" s="2130"/>
      <c r="T288" s="2130"/>
      <c r="U288" s="2130"/>
      <c r="V288" s="2130"/>
      <c r="W288" s="43"/>
      <c r="X288" s="43"/>
    </row>
    <row r="289" spans="1:22" s="43" customFormat="1" ht="11.25" customHeight="1">
      <c r="A289" s="154"/>
      <c r="B289" s="36" t="s">
        <v>6589</v>
      </c>
      <c r="D289" s="41"/>
      <c r="H289" s="177"/>
      <c r="M289" s="2419"/>
      <c r="N289" s="478"/>
      <c r="O289" s="4468"/>
      <c r="P289" s="4468"/>
      <c r="Q289" s="110"/>
      <c r="R289" s="2437"/>
      <c r="S289" s="2437"/>
      <c r="T289" s="2437"/>
      <c r="U289" s="2437"/>
    </row>
    <row r="290" spans="1:22" s="43" customFormat="1" ht="11.25" customHeight="1">
      <c r="A290" s="2588"/>
      <c r="B290" s="1012" t="s">
        <v>2241</v>
      </c>
      <c r="C290" s="36" t="s">
        <v>6588</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6590</v>
      </c>
      <c r="D292" s="1120"/>
      <c r="E292" s="103"/>
      <c r="F292" s="103"/>
      <c r="G292" s="103"/>
      <c r="H292" s="45"/>
      <c r="I292" s="49"/>
      <c r="J292" s="48"/>
      <c r="K292" s="48"/>
      <c r="L292" s="103"/>
      <c r="M292" s="103"/>
      <c r="N292" s="400" t="s">
        <v>2243</v>
      </c>
      <c r="O292" s="2423" t="s">
        <v>2651</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6586</v>
      </c>
      <c r="D294" s="634"/>
      <c r="E294" s="634"/>
      <c r="G294" s="634" t="s">
        <v>6594</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6595</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6596</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6587</v>
      </c>
      <c r="D297" s="634"/>
      <c r="G297" s="457" t="s">
        <v>6597</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6598</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6599</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6600</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6601</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6602</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2"/>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6591</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6592</v>
      </c>
      <c r="D310" s="634"/>
      <c r="E310" s="634" t="s">
        <v>6603</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6593</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6997</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6583</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6584</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57" t="s">
        <v>6064</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242" t="s">
        <v>6971</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3277</v>
      </c>
      <c r="L344" s="4405"/>
      <c r="M344" s="4405"/>
      <c r="N344" s="400" t="s">
        <v>2242</v>
      </c>
      <c r="O344" s="389"/>
      <c r="P344" s="550"/>
      <c r="R344" s="4401"/>
      <c r="S344" s="4401"/>
    </row>
    <row r="345" spans="1:20" s="101" customFormat="1" ht="12.75" customHeight="1">
      <c r="B345" s="400" t="s">
        <v>2243</v>
      </c>
      <c r="C345" s="135" t="s">
        <v>3276</v>
      </c>
      <c r="L345" s="4405"/>
      <c r="M345" s="4405"/>
      <c r="N345" s="400" t="s">
        <v>2243</v>
      </c>
      <c r="O345" s="389"/>
      <c r="P345" s="550"/>
      <c r="R345" s="4401"/>
      <c r="S345" s="4401"/>
    </row>
    <row r="346" spans="1:20" s="101" customFormat="1" ht="33.75" customHeight="1">
      <c r="B346" s="413" t="s">
        <v>2244</v>
      </c>
      <c r="C346" s="4358" t="s">
        <v>6604</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6721</v>
      </c>
      <c r="C349" s="1007"/>
      <c r="D349" s="1007"/>
      <c r="E349" s="1007"/>
      <c r="F349" s="1007"/>
      <c r="G349" s="1007"/>
      <c r="H349" s="1007"/>
      <c r="I349" s="1007"/>
      <c r="N349" s="27"/>
      <c r="O349" s="2049"/>
      <c r="P349" s="2107"/>
      <c r="R349" s="1076"/>
      <c r="S349" s="1076"/>
      <c r="T349" s="1819"/>
    </row>
    <row r="350" spans="1:20" ht="12.75" customHeight="1">
      <c r="A350" s="1020"/>
      <c r="B350" s="2622" t="s">
        <v>6720</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6606</v>
      </c>
      <c r="C351" s="36" t="s">
        <v>1389</v>
      </c>
      <c r="I351" s="400" t="s">
        <v>2241</v>
      </c>
      <c r="J351" s="4335"/>
      <c r="K351" s="4336"/>
      <c r="L351" s="400" t="s">
        <v>2241</v>
      </c>
      <c r="M351" s="4445"/>
      <c r="N351" s="4446"/>
      <c r="O351" s="4446"/>
      <c r="P351" s="44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6240</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6607</v>
      </c>
      <c r="I359" s="412" t="s">
        <v>2264</v>
      </c>
      <c r="J359" s="4340"/>
      <c r="K359" s="4341"/>
      <c r="L359" s="412" t="s">
        <v>2264</v>
      </c>
      <c r="M359" s="4342"/>
      <c r="N359" s="4343"/>
      <c r="O359" s="4343"/>
      <c r="P359" s="4344"/>
      <c r="R359" s="401"/>
    </row>
    <row r="360" spans="1:22" ht="12.75" customHeight="1">
      <c r="B360" s="412" t="s">
        <v>3159</v>
      </c>
      <c r="C360" s="36" t="s">
        <v>3830</v>
      </c>
      <c r="I360" s="412" t="s">
        <v>3159</v>
      </c>
      <c r="J360" s="4340"/>
      <c r="K360" s="4341"/>
      <c r="L360" s="412" t="s">
        <v>3159</v>
      </c>
      <c r="M360" s="4342"/>
      <c r="N360" s="4343"/>
      <c r="O360" s="4343"/>
      <c r="P360" s="4344"/>
      <c r="R360" s="401"/>
    </row>
    <row r="361" spans="1:22" ht="12.75" customHeight="1" thickBot="1">
      <c r="B361" s="412" t="s">
        <v>6241</v>
      </c>
      <c r="C361" s="36" t="s">
        <v>6242</v>
      </c>
      <c r="I361" s="412" t="s">
        <v>6241</v>
      </c>
      <c r="J361" s="4340"/>
      <c r="K361" s="4341"/>
      <c r="L361" s="412" t="s">
        <v>6241</v>
      </c>
      <c r="M361" s="4436"/>
      <c r="N361" s="4437"/>
      <c r="O361" s="4437"/>
      <c r="P361" s="4438"/>
      <c r="R361" s="401"/>
    </row>
    <row r="362" spans="1:22" ht="12.75" customHeight="1" thickBot="1">
      <c r="B362" s="1178" t="s">
        <v>6608</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455">
        <f>'Part V-Revenues &amp; Expenses'!$P$67</f>
        <v>64</v>
      </c>
      <c r="K364" s="4456"/>
      <c r="L364" s="560"/>
      <c r="M364" s="516"/>
      <c r="N364" s="516"/>
      <c r="O364" s="1121"/>
      <c r="P364" s="516"/>
    </row>
    <row r="365" spans="1:22" ht="13.5" customHeight="1">
      <c r="C365" s="1006"/>
      <c r="D365" s="1006"/>
      <c r="E365" s="1006"/>
      <c r="F365" s="461" t="s">
        <v>6244</v>
      </c>
      <c r="J365" s="4453">
        <f>IF(J364=0,0,J362/J364)</f>
        <v>0</v>
      </c>
      <c r="K365" s="4454"/>
      <c r="M365" s="4337">
        <f>IF($J364=0,0,$M362/$J364)</f>
        <v>0</v>
      </c>
      <c r="N365" s="4338"/>
      <c r="O365" s="4338"/>
      <c r="P365" s="4339"/>
    </row>
    <row r="366" spans="1:22" s="43" customFormat="1" ht="12.75" customHeight="1">
      <c r="C366" s="1006"/>
      <c r="D366" s="1006"/>
      <c r="E366" s="1006"/>
      <c r="F366" s="1064" t="s">
        <v>6245</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6609</v>
      </c>
      <c r="D369" s="4003"/>
      <c r="E369" s="4003"/>
      <c r="F369" s="4003"/>
      <c r="G369" s="4003"/>
      <c r="H369" s="4003"/>
      <c r="I369" s="4003"/>
      <c r="J369" s="4003"/>
      <c r="K369" s="4003"/>
      <c r="L369" s="4003"/>
      <c r="M369" s="4003"/>
      <c r="N369" s="2190" t="s">
        <v>1845</v>
      </c>
      <c r="O369" s="2125" t="s">
        <v>6930</v>
      </c>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t="s">
        <v>6930</v>
      </c>
      <c r="P370" s="550"/>
      <c r="V370" s="1077"/>
    </row>
    <row r="371" spans="1:22" ht="12.75" customHeight="1">
      <c r="B371" s="399" t="s">
        <v>2333</v>
      </c>
      <c r="C371" s="457" t="s">
        <v>3831</v>
      </c>
      <c r="N371" s="874" t="s">
        <v>2333</v>
      </c>
      <c r="O371" s="2423" t="s">
        <v>6930</v>
      </c>
      <c r="P371" s="551"/>
    </row>
    <row r="372" spans="1:22" ht="12" customHeight="1" thickBot="1">
      <c r="B372" s="1197" t="s">
        <v>3243</v>
      </c>
    </row>
    <row r="373" spans="1:22" s="43" customFormat="1" ht="21.75" customHeight="1" thickTop="1" thickBot="1">
      <c r="A373" s="4242" t="s">
        <v>6971</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3890</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431" t="s">
        <v>6610</v>
      </c>
      <c r="C382" s="4431"/>
      <c r="D382" s="4431"/>
      <c r="E382" s="4431"/>
      <c r="F382" s="4431"/>
      <c r="G382" s="4431"/>
      <c r="H382" s="4431"/>
      <c r="I382" s="4431"/>
      <c r="J382" s="4431"/>
      <c r="K382" s="4431"/>
      <c r="L382" s="4431"/>
      <c r="M382" s="4435" t="s">
        <v>3891</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64</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3417</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64</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2" t="s">
        <v>6967</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6612</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6613</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6614</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6615</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6616</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242" t="s">
        <v>6972</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242"/>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6617</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6618</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242"/>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6619</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242"/>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6752</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65</v>
      </c>
      <c r="P441" s="2104">
        <f>-P10+P63+P88+P102+P112+P151+P168+P189+P204+P224+P232+P241+P251+P260+P273+P284+P309+P317+P333+P341+P377+P396+P404+P423+P427+P433</f>
        <v>25</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6707</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2583</v>
      </c>
      <c r="B1" s="4545"/>
      <c r="C1" s="4545"/>
      <c r="D1" s="4545"/>
      <c r="E1" s="4545"/>
      <c r="F1" s="4545"/>
      <c r="G1" s="4545"/>
      <c r="H1" s="4545"/>
      <c r="I1" s="4545"/>
      <c r="J1" s="4545"/>
    </row>
    <row r="2" spans="1:16" ht="15.75">
      <c r="A2" s="4545" t="str">
        <f>'Sensitivity Analysis'!C8</f>
        <v>Arbours at Town Branch</v>
      </c>
      <c r="B2" s="4545"/>
      <c r="C2" s="4545"/>
      <c r="D2" s="4545"/>
      <c r="E2" s="4545"/>
      <c r="F2" s="4545"/>
      <c r="G2" s="4545"/>
      <c r="H2" s="4545"/>
      <c r="I2" s="4545"/>
      <c r="J2" s="4545"/>
    </row>
    <row r="3" spans="1:16" ht="15.75">
      <c r="A3" s="4545" t="str">
        <f>'Subsidy Layering Memo'!F14</f>
        <v>Villa Rica, Carroll</v>
      </c>
      <c r="B3" s="4545"/>
      <c r="C3" s="4545"/>
      <c r="D3" s="4545"/>
      <c r="E3" s="4545"/>
      <c r="F3" s="4545"/>
      <c r="G3" s="4545"/>
      <c r="H3" s="4545"/>
      <c r="I3" s="4545"/>
      <c r="J3" s="4545"/>
    </row>
    <row r="4" spans="1:16" ht="15.75">
      <c r="A4" s="4546" t="s">
        <v>2584</v>
      </c>
      <c r="B4" s="4545"/>
      <c r="C4" s="4545"/>
      <c r="D4" s="4545"/>
      <c r="E4" s="4545"/>
      <c r="F4" s="4545"/>
      <c r="G4" s="4545"/>
      <c r="H4" s="4545"/>
      <c r="I4" s="4545"/>
      <c r="J4" s="4545"/>
    </row>
    <row r="5" spans="1:16" ht="5.25" customHeight="1"/>
    <row r="6" spans="1:16" ht="5.25" customHeight="1"/>
    <row r="7" spans="1:16" ht="15.75">
      <c r="A7" s="4547" t="s">
        <v>2585</v>
      </c>
      <c r="B7" s="4547"/>
      <c r="C7" s="4548"/>
      <c r="M7" s="4549"/>
      <c r="N7" s="4549"/>
      <c r="O7" s="4549"/>
      <c r="P7" s="4549"/>
    </row>
    <row r="8" spans="1:16" ht="57" customHeight="1">
      <c r="A8" s="4550" t="s">
        <v>6159</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2587</v>
      </c>
      <c r="B14" s="657"/>
    </row>
    <row r="15" spans="1:16">
      <c r="A15" s="654" t="s">
        <v>2588</v>
      </c>
      <c r="D15" s="1588" t="s">
        <v>2589</v>
      </c>
    </row>
    <row r="16" spans="1:16">
      <c r="A16" s="654" t="s">
        <v>2590</v>
      </c>
      <c r="D16" s="1586">
        <f>'Sensitivity Analysis'!C25</f>
        <v>4410000</v>
      </c>
    </row>
    <row r="17" spans="1:11">
      <c r="A17" s="658" t="s">
        <v>2591</v>
      </c>
      <c r="D17" s="1587">
        <f>'Sensitivity Analysis'!C13</f>
        <v>64</v>
      </c>
    </row>
    <row r="18" spans="1:11" ht="14.25" customHeight="1"/>
    <row r="19" spans="1:11" ht="15.75">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9158834 via the syndication of the 2021 Federal LIHTC allocation of 1035000 per annum. will make a capital contribution totaling 5640750 via the syndication of the 2021 State LIHTC allocation of 1035000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1.43 (0.885 Federal tax credit and 0.545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6160</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Arbours at Town Branch</v>
      </c>
    </row>
    <row r="13" spans="1:10" ht="15">
      <c r="A13" s="664"/>
      <c r="D13" s="663" t="s">
        <v>2606</v>
      </c>
      <c r="F13" s="1585" t="str">
        <f>'Sensitivity Analysis'!E8</f>
        <v>2022-0</v>
      </c>
    </row>
    <row r="14" spans="1:10" ht="15">
      <c r="A14" s="664"/>
      <c r="D14" s="663" t="s">
        <v>2607</v>
      </c>
      <c r="F14" s="1585" t="str">
        <f>'Sensitivity Analysis'!H8</f>
        <v>Villa Rica, Carroll</v>
      </c>
    </row>
    <row r="15" spans="1:10" ht="15">
      <c r="A15" s="664"/>
      <c r="D15" s="663" t="s">
        <v>2948</v>
      </c>
      <c r="F15" s="4567">
        <f>'Sensitivity Analysis'!$C$25</f>
        <v>4410000</v>
      </c>
      <c r="G15" s="4567"/>
      <c r="H15" s="4567"/>
    </row>
    <row r="16" spans="1:10" ht="15">
      <c r="A16" s="664"/>
      <c r="D16" s="666" t="s">
        <v>2608</v>
      </c>
      <c r="F16" s="667">
        <f>'Sensitivity Analysis'!C13</f>
        <v>64</v>
      </c>
      <c r="G16" s="668" t="s">
        <v>2949</v>
      </c>
      <c r="H16" s="1241">
        <f>'Sensitivity Analysis'!E13</f>
        <v>64</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6162</v>
      </c>
    </row>
    <row r="22" spans="1:18" ht="111.75" customHeight="1">
      <c r="A22" s="4557" t="s">
        <v>3101</v>
      </c>
      <c r="B22" s="4557"/>
      <c r="C22" s="4557"/>
      <c r="D22" s="4557"/>
      <c r="E22" s="4557"/>
      <c r="F22" s="4557"/>
      <c r="G22" s="4557"/>
      <c r="H22" s="4557"/>
      <c r="I22" s="4557"/>
      <c r="J22" s="4557"/>
      <c r="K22" s="4556" t="s">
        <v>3902</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6161</v>
      </c>
    </row>
    <row r="27" spans="1:18" ht="14.25" customHeight="1">
      <c r="A27" s="4559" t="s">
        <v>6163</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6164</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2609</v>
      </c>
    </row>
    <row r="47" spans="1:10" ht="135" customHeight="1">
      <c r="A47" s="4555" t="s">
        <v>6165</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2610</v>
      </c>
    </row>
    <row r="50" spans="1:12" ht="33" customHeight="1">
      <c r="A50" s="4550" t="s">
        <v>3455</v>
      </c>
      <c r="B50" s="4552"/>
      <c r="C50" s="4552"/>
      <c r="D50" s="4552"/>
      <c r="E50" s="4552"/>
      <c r="F50" s="4552"/>
      <c r="G50" s="4552"/>
      <c r="H50" s="4552"/>
      <c r="I50" s="4552"/>
      <c r="J50" s="4550"/>
    </row>
    <row r="51" spans="1:12" ht="3" customHeight="1"/>
    <row r="52" spans="1:12" ht="72.75" customHeight="1">
      <c r="A52" s="4550" t="s">
        <v>3456</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3457</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3458</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3459</v>
      </c>
      <c r="B60" s="4563"/>
      <c r="C60" s="4563"/>
      <c r="D60" s="4563"/>
      <c r="E60" s="4563"/>
      <c r="F60" s="4563"/>
      <c r="G60" s="4563"/>
      <c r="H60" s="4563"/>
      <c r="I60" s="4563"/>
      <c r="J60" s="4563"/>
    </row>
    <row r="61" spans="1:12" ht="3" customHeight="1"/>
    <row r="62" spans="1:12" ht="73.5" customHeight="1">
      <c r="A62" s="4550" t="s">
        <v>3460</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7" t="s">
        <v>2612</v>
      </c>
      <c r="B65" s="4557"/>
      <c r="C65" s="4557"/>
      <c r="D65" s="4557"/>
      <c r="E65" s="4557"/>
      <c r="F65" s="4557"/>
      <c r="G65" s="4557"/>
      <c r="H65" s="4557"/>
      <c r="I65" s="4557"/>
      <c r="J65" s="4557"/>
      <c r="L65" s="671">
        <f>'Closing term sheet'!C135</f>
        <v>488689.5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9158834 via the syndication of the 2021 Federal LIHTC allocation of 1035000 per annum. will make a capital contribution totaling 5640750 via the syndication of the 2021 State LIHTC allocation of 1035000 per annum.</v>
      </c>
      <c r="B67" s="4563"/>
      <c r="C67" s="4563"/>
      <c r="D67" s="4563"/>
      <c r="E67" s="4563"/>
      <c r="F67" s="4563"/>
      <c r="G67" s="4563"/>
      <c r="H67" s="4563"/>
      <c r="I67" s="4563"/>
      <c r="J67" s="676"/>
      <c r="L67" s="677">
        <f>'Part II-Sources of Funds'!I51</f>
        <v>9158834</v>
      </c>
      <c r="M67" s="678">
        <f>'Part III-A-Uses of Funds'!$J$191</f>
        <v>1035000</v>
      </c>
      <c r="N67" s="679">
        <f>'Part III-A-Uses of Funds'!N182</f>
        <v>0.88500000000000001</v>
      </c>
      <c r="O67" s="677">
        <f>'Part II-Sources of Funds'!I52</f>
        <v>5640750</v>
      </c>
      <c r="P67" s="678">
        <f>M67</f>
        <v>1035000</v>
      </c>
      <c r="Q67" s="679">
        <f>'Part III-A-Uses of Funds'!Q182</f>
        <v>0.54500000000000004</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(0.885 Federal tax credit and 0.545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6166</v>
      </c>
      <c r="B70" s="4563"/>
      <c r="C70" s="4563"/>
      <c r="D70" s="4563"/>
      <c r="E70" s="4563"/>
      <c r="F70" s="4563"/>
      <c r="G70" s="4563"/>
      <c r="H70" s="4563"/>
      <c r="I70" s="4563"/>
      <c r="J70" s="4563"/>
      <c r="L70" s="681">
        <f>'Part VI-Pro Forma'!K72</f>
        <v>2381558.1533881119</v>
      </c>
      <c r="M70" s="4565" t="s">
        <v>3100</v>
      </c>
      <c r="N70" s="4566"/>
    </row>
    <row r="71" spans="1:17" ht="6" customHeight="1">
      <c r="A71" s="669"/>
    </row>
    <row r="72" spans="1:17" ht="15">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5">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5">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3662</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6167</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5">
      <c r="A99" s="669" t="s">
        <v>2634</v>
      </c>
    </row>
    <row r="100" spans="1:14" ht="110.45" customHeight="1">
      <c r="A100" s="4557" t="s">
        <v>2635</v>
      </c>
      <c r="B100" s="4557"/>
      <c r="C100" s="4557"/>
      <c r="D100" s="4557"/>
      <c r="E100" s="4557"/>
      <c r="F100" s="4557"/>
      <c r="G100" s="4557"/>
      <c r="H100" s="4557"/>
      <c r="I100" s="4557"/>
      <c r="J100" s="4557"/>
      <c r="L100" s="1245">
        <f>'Part VI-Pro Forma'!K72</f>
        <v>2381558.1533881119</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5">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8" t="s">
        <v>6069</v>
      </c>
      <c r="B120" s="4568"/>
      <c r="C120" s="4568"/>
      <c r="D120" s="4568"/>
      <c r="E120" s="4569"/>
      <c r="F120" s="1895" t="s">
        <v>6070</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Arbours at Town Branch</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Arbours at Town Branch</v>
      </c>
      <c r="D8" s="4574"/>
      <c r="E8" s="1294" t="str">
        <f>'Part I-Project Identification'!O7</f>
        <v>2022-0</v>
      </c>
      <c r="F8" s="693" t="s">
        <v>2650</v>
      </c>
      <c r="G8" s="692"/>
      <c r="H8" s="4574" t="str">
        <f>CONCATENATE('Part I-Project Identification'!F30,", ",'Part I-Project Identification'!J30)</f>
        <v>Villa Rica, Carroll</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64</v>
      </c>
      <c r="E13" s="1239">
        <f>'Part V-Revenues &amp; Expenses'!$P$63</f>
        <v>64</v>
      </c>
      <c r="F13" s="693" t="s">
        <v>3454</v>
      </c>
      <c r="G13" s="692"/>
      <c r="H13" s="1295" t="e">
        <f>'Part I-Project Identification'!#REF!</f>
        <v>#REF!</v>
      </c>
      <c r="I13" s="1240"/>
      <c r="J13" s="1240"/>
      <c r="K13" s="1295">
        <f>'Part V-Revenues &amp; Expenses'!K175</f>
        <v>70752</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5" t="s">
        <v>3102</v>
      </c>
      <c r="I14" s="4575"/>
      <c r="J14" s="4575"/>
      <c r="K14" s="4575" t="s">
        <v>3102</v>
      </c>
      <c r="L14" s="4575"/>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19915205</v>
      </c>
      <c r="D18" s="1276">
        <f>IF(C18=0,"",$C$29/C18)</f>
        <v>0.22143884534454955</v>
      </c>
      <c r="E18" s="692" t="s">
        <v>2955</v>
      </c>
      <c r="F18" s="693" t="s">
        <v>2956</v>
      </c>
      <c r="G18" s="692"/>
      <c r="H18" s="4576">
        <f>'Part III-A-Uses of Funds'!C49</f>
        <v>13976592</v>
      </c>
      <c r="I18" s="4576"/>
      <c r="J18" s="1275">
        <f>IF(H18=0,"",$C$29/H18)</f>
        <v>0.31552756208380411</v>
      </c>
      <c r="K18" s="4574" t="s">
        <v>2957</v>
      </c>
      <c r="L18" s="4574"/>
      <c r="M18" s="654"/>
    </row>
    <row r="19" spans="1:13" ht="15.75">
      <c r="A19" s="657" t="s">
        <v>2662</v>
      </c>
      <c r="B19" s="654"/>
      <c r="C19" s="1296">
        <f>C18/C13</f>
        <v>311175.078125</v>
      </c>
      <c r="D19" s="692"/>
      <c r="E19" s="654"/>
      <c r="F19" s="657" t="s">
        <v>2662</v>
      </c>
      <c r="G19" s="654"/>
      <c r="H19" s="4577">
        <f>H18/C13</f>
        <v>218384.25</v>
      </c>
      <c r="I19" s="4577"/>
      <c r="J19" s="654"/>
      <c r="K19" s="654"/>
      <c r="L19" s="654"/>
      <c r="M19" s="654"/>
    </row>
    <row r="20" spans="1:13" ht="15.75">
      <c r="A20" s="657" t="s">
        <v>2663</v>
      </c>
      <c r="B20" s="654"/>
      <c r="C20" s="1298">
        <f>C18/K13</f>
        <v>281.47903946178201</v>
      </c>
      <c r="D20" s="697"/>
      <c r="E20" s="698"/>
      <c r="F20" s="657" t="s">
        <v>2663</v>
      </c>
      <c r="G20" s="654"/>
      <c r="H20" s="4578">
        <f>H18/K13</f>
        <v>197.54341926729987</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ServisFirst</v>
      </c>
      <c r="C25" s="704">
        <f>'Part II-Sources of Funds'!I40</f>
        <v>4410000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4410000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14799584</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4410000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0.22143884534454955</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0.31552756208380411</v>
      </c>
      <c r="D40" s="654"/>
      <c r="E40" s="654"/>
      <c r="F40" s="657"/>
      <c r="G40" s="657" t="s">
        <v>2683</v>
      </c>
      <c r="H40" s="654"/>
      <c r="I40" s="654"/>
      <c r="K40" s="706">
        <f>C30/C18</f>
        <v>0.74312988492963039</v>
      </c>
      <c r="L40" s="654"/>
      <c r="M40" s="654"/>
    </row>
    <row r="46" spans="1:13" ht="15.75">
      <c r="A46" s="717" t="s">
        <v>2684</v>
      </c>
      <c r="B46" s="687"/>
      <c r="C46" s="687"/>
      <c r="D46" s="687"/>
      <c r="E46" s="687"/>
      <c r="F46" s="687"/>
      <c r="G46" s="687"/>
      <c r="H46" s="687"/>
      <c r="I46" s="687"/>
      <c r="J46" s="687"/>
      <c r="K46" s="687"/>
      <c r="L46" s="687"/>
      <c r="M46" s="654"/>
    </row>
    <row r="47" spans="1:13" ht="15.75">
      <c r="A47" s="717" t="str">
        <f>C8</f>
        <v>Arbours at Town Branch</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9" t="s">
        <v>2687</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766692</v>
      </c>
      <c r="D52" s="723"/>
      <c r="E52" s="723">
        <f>$C$52</f>
        <v>766692</v>
      </c>
      <c r="F52" s="723"/>
      <c r="G52" s="723">
        <f>$C$52</f>
        <v>766692</v>
      </c>
      <c r="H52" s="723"/>
      <c r="I52" s="723">
        <f>$C$52</f>
        <v>766692</v>
      </c>
      <c r="J52" s="723"/>
      <c r="K52" s="723">
        <f>$C$52</f>
        <v>766692</v>
      </c>
      <c r="L52" s="724"/>
      <c r="M52" s="27"/>
      <c r="N52" s="27"/>
    </row>
    <row r="53" spans="1:14" s="654" customFormat="1" ht="18.75" customHeight="1">
      <c r="B53" s="722" t="s">
        <v>2691</v>
      </c>
      <c r="C53" s="723">
        <f>'Part VI-Pro Forma'!B16</f>
        <v>15333.84</v>
      </c>
      <c r="D53" s="723"/>
      <c r="E53" s="723">
        <f>$C$53</f>
        <v>15333.84</v>
      </c>
      <c r="F53" s="723"/>
      <c r="G53" s="723">
        <f>$C$53</f>
        <v>15333.84</v>
      </c>
      <c r="H53" s="723"/>
      <c r="I53" s="723">
        <f>$C$53</f>
        <v>15333.84</v>
      </c>
      <c r="J53" s="723"/>
      <c r="K53" s="723">
        <f>$C$53</f>
        <v>15333.84</v>
      </c>
      <c r="L53" s="724"/>
      <c r="M53" s="27"/>
      <c r="N53" s="27"/>
    </row>
    <row r="54" spans="1:14" s="654" customFormat="1" ht="18.75" customHeight="1">
      <c r="B54" s="722" t="s">
        <v>2689</v>
      </c>
      <c r="C54" s="723">
        <f>'Part VI-Pro Forma'!B17</f>
        <v>-54741.808800000006</v>
      </c>
      <c r="D54" s="723"/>
      <c r="E54" s="723">
        <f>-($C$52+E53)*F50</f>
        <v>-78202.584000000003</v>
      </c>
      <c r="F54" s="725"/>
      <c r="G54" s="723">
        <f>-($C$52+G53)*0.07</f>
        <v>-54741.808800000006</v>
      </c>
      <c r="H54" s="723"/>
      <c r="I54" s="723">
        <f>-($C$52+I53)*0.07</f>
        <v>-54741.808800000006</v>
      </c>
      <c r="J54" s="723"/>
      <c r="K54" s="723">
        <f>-($C$52+K53)*L54</f>
        <v>-78202.584000000003</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727284.03119999997</v>
      </c>
      <c r="D56" s="723"/>
      <c r="E56" s="729">
        <f>SUM(E52:E55)</f>
        <v>703823.25599999994</v>
      </c>
      <c r="F56" s="723"/>
      <c r="G56" s="729">
        <f>SUM(G52:G55)</f>
        <v>727284.03119999997</v>
      </c>
      <c r="H56" s="723"/>
      <c r="I56" s="729">
        <f>SUM(I52:I55)</f>
        <v>727284.03119999997</v>
      </c>
      <c r="J56" s="723"/>
      <c r="K56" s="729">
        <f>SUM(K52:K55)</f>
        <v>703823.25599999994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146010</v>
      </c>
      <c r="D58" s="723"/>
      <c r="E58" s="723">
        <f>$C$58</f>
        <v>146010</v>
      </c>
      <c r="F58" s="723"/>
      <c r="G58" s="723">
        <f>$C$58</f>
        <v>146010</v>
      </c>
      <c r="H58" s="723"/>
      <c r="I58" s="723">
        <f>$C$58</f>
        <v>146010</v>
      </c>
      <c r="J58" s="723"/>
      <c r="K58" s="723">
        <f>$C$58</f>
        <v>146010</v>
      </c>
      <c r="L58" s="724"/>
      <c r="M58" s="27"/>
      <c r="N58" s="27"/>
    </row>
    <row r="59" spans="1:14" s="654" customFormat="1" ht="18.75" customHeight="1">
      <c r="B59" s="722" t="s">
        <v>2694</v>
      </c>
      <c r="C59" s="723">
        <f>+'Part V-Revenues &amp; Expenses'!F247</f>
        <v>32400</v>
      </c>
      <c r="D59" s="723"/>
      <c r="E59" s="723">
        <f>$C$59</f>
        <v>32400</v>
      </c>
      <c r="F59" s="723"/>
      <c r="G59" s="723">
        <f>$C$59</f>
        <v>32400</v>
      </c>
      <c r="H59" s="723"/>
      <c r="I59" s="723">
        <f>$C$59</f>
        <v>32400</v>
      </c>
      <c r="J59" s="723"/>
      <c r="K59" s="723">
        <f>$C$59*(1+$L$59)</f>
        <v>33696</v>
      </c>
      <c r="L59" s="731">
        <v>0.04</v>
      </c>
      <c r="M59" s="27"/>
      <c r="N59" s="27"/>
    </row>
    <row r="60" spans="1:14" s="654" customFormat="1" ht="18.75" customHeight="1">
      <c r="B60" s="722" t="s">
        <v>1298</v>
      </c>
      <c r="C60" s="723">
        <f>+'Part V-Revenues &amp; Expenses'!L241</f>
        <v>37760</v>
      </c>
      <c r="D60" s="723"/>
      <c r="E60" s="723">
        <f>$C$60</f>
        <v>37760</v>
      </c>
      <c r="F60" s="723"/>
      <c r="G60" s="723">
        <f>$C$60</f>
        <v>37760</v>
      </c>
      <c r="H60" s="723"/>
      <c r="I60" s="723">
        <f>$C$60*(1+$J$50)</f>
        <v>38892.800000000003</v>
      </c>
      <c r="J60" s="725"/>
      <c r="K60" s="723">
        <f>$C$60*(1+$J$50)</f>
        <v>38892.800000000003</v>
      </c>
      <c r="L60" s="726">
        <v>0.03</v>
      </c>
      <c r="M60" s="27"/>
      <c r="N60" s="27"/>
    </row>
    <row r="61" spans="1:14" s="654" customFormat="1" ht="18.75" customHeight="1">
      <c r="B61" s="722" t="s">
        <v>1299</v>
      </c>
      <c r="C61" s="723">
        <f>+'Part V-Revenues &amp; Expenses'!L247</f>
        <v>78400</v>
      </c>
      <c r="D61" s="723"/>
      <c r="E61" s="723">
        <f>$C$61</f>
        <v>78400</v>
      </c>
      <c r="F61" s="723"/>
      <c r="G61" s="723">
        <f>$C$61*(1+H50)</f>
        <v>82320</v>
      </c>
      <c r="H61" s="725"/>
      <c r="I61" s="723">
        <f>$C$61</f>
        <v>78400</v>
      </c>
      <c r="J61" s="723"/>
      <c r="K61" s="723">
        <f>$C$61*(1+$L$61)</f>
        <v>82320</v>
      </c>
      <c r="L61" s="726">
        <v>0.05</v>
      </c>
      <c r="M61" s="27"/>
      <c r="N61" s="27"/>
    </row>
    <row r="62" spans="1:14" s="654" customFormat="1" ht="18.75" customHeight="1">
      <c r="B62" s="728" t="s">
        <v>2695</v>
      </c>
      <c r="C62" s="729">
        <f>SUM(C58:C61)</f>
        <v>294570</v>
      </c>
      <c r="D62" s="723"/>
      <c r="E62" s="729">
        <f>SUM(E58:E61)</f>
        <v>294570</v>
      </c>
      <c r="F62" s="723"/>
      <c r="G62" s="729">
        <f>SUM(G58:G61)</f>
        <v>298490</v>
      </c>
      <c r="H62" s="723"/>
      <c r="I62" s="729">
        <f>SUM(I58:I61)</f>
        <v>295702.8</v>
      </c>
      <c r="J62" s="723"/>
      <c r="K62" s="729">
        <f>SUM(K58:K61)</f>
        <v>300918.8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432714.03119999997</v>
      </c>
      <c r="D64" s="735"/>
      <c r="E64" s="735">
        <f>E56-E62</f>
        <v>409253.25599999994</v>
      </c>
      <c r="F64" s="735"/>
      <c r="G64" s="735">
        <f>G56-G62</f>
        <v>428794.03119999997</v>
      </c>
      <c r="H64" s="735"/>
      <c r="I64" s="735">
        <f>I56-I62</f>
        <v>431581.23119999998</v>
      </c>
      <c r="J64" s="735"/>
      <c r="K64" s="735">
        <f>K56-K62</f>
        <v>402904.45599999995</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16000</v>
      </c>
      <c r="D66" s="730"/>
      <c r="E66" s="730">
        <f>$C$66</f>
        <v>16000</v>
      </c>
      <c r="F66" s="730"/>
      <c r="G66" s="730">
        <f>$C$66</f>
        <v>16000</v>
      </c>
      <c r="H66" s="730"/>
      <c r="I66" s="730">
        <f>$C$66</f>
        <v>16000</v>
      </c>
      <c r="J66" s="730"/>
      <c r="K66" s="730">
        <f>$C$66</f>
        <v>16000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36364</v>
      </c>
      <c r="D68" s="730"/>
      <c r="E68" s="730">
        <f>$C$68</f>
        <v>36364</v>
      </c>
      <c r="F68" s="730"/>
      <c r="G68" s="730">
        <f>$C$68</f>
        <v>36364</v>
      </c>
      <c r="H68" s="730"/>
      <c r="I68" s="730">
        <f>$C$68</f>
        <v>36364</v>
      </c>
      <c r="J68" s="730"/>
      <c r="K68" s="730">
        <f>$C$68</f>
        <v>36364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380350.03119999997</v>
      </c>
      <c r="D70" s="739"/>
      <c r="E70" s="738">
        <f>E64-E66-E68</f>
        <v>356889.25599999994</v>
      </c>
      <c r="F70" s="739"/>
      <c r="G70" s="738">
        <f>G64-G66-G68</f>
        <v>376430.03119999997</v>
      </c>
      <c r="H70" s="739"/>
      <c r="I70" s="738">
        <f>I64-I66-I68</f>
        <v>379217.23119999998</v>
      </c>
      <c r="J70" s="739"/>
      <c r="K70" s="738">
        <f>K64-K66-K68</f>
        <v>350540.45599999995</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1.1987754296678592</v>
      </c>
      <c r="D72" s="741"/>
      <c r="E72" s="1277">
        <f>-E70/E75</f>
        <v>1.1248324861587196</v>
      </c>
      <c r="F72" s="741"/>
      <c r="G72" s="1277">
        <f>-G70/G75</f>
        <v>1.186420495268427</v>
      </c>
      <c r="H72" s="741"/>
      <c r="I72" s="1277">
        <f>-I70/I75</f>
        <v>1.1952051057679416</v>
      </c>
      <c r="J72" s="741"/>
      <c r="K72" s="1277">
        <f>-K70/K75</f>
        <v>1.1048225352620065</v>
      </c>
      <c r="L72" s="742"/>
      <c r="M72" s="265"/>
      <c r="N72" s="265"/>
    </row>
    <row r="73" spans="1:14" s="654" customFormat="1" ht="18.75" customHeight="1">
      <c r="A73" s="27"/>
      <c r="B73" s="722" t="s">
        <v>2701</v>
      </c>
      <c r="C73" s="1278">
        <f>C76/C62</f>
        <v>0.21410154900079259</v>
      </c>
      <c r="D73" s="743"/>
      <c r="E73" s="1278">
        <f>E76/E62</f>
        <v>0.13445740601270817</v>
      </c>
      <c r="F73" s="743"/>
      <c r="G73" s="1278">
        <f>G76/G62</f>
        <v>0.19815703470522791</v>
      </c>
      <c r="H73" s="743"/>
      <c r="I73" s="1278">
        <f>I76/I62</f>
        <v>0.20945047963415797</v>
      </c>
      <c r="J73" s="743"/>
      <c r="K73" s="1278">
        <f>K76/K62</f>
        <v>0.11052256651682599</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-317282.13791083649</v>
      </c>
      <c r="D75" s="723"/>
      <c r="E75" s="723">
        <f>$C$75</f>
        <v>-317282.13791083649</v>
      </c>
      <c r="F75" s="723"/>
      <c r="G75" s="723">
        <f>$C$75</f>
        <v>-317282.13791083649</v>
      </c>
      <c r="H75" s="723"/>
      <c r="I75" s="723">
        <f>$C$75</f>
        <v>-317282.13791083649</v>
      </c>
      <c r="J75" s="723"/>
      <c r="K75" s="723">
        <f>$C$75</f>
        <v>-317282.13791083649</v>
      </c>
      <c r="L75" s="33"/>
      <c r="M75" s="27"/>
      <c r="N75" s="27"/>
    </row>
    <row r="76" spans="1:14" s="654" customFormat="1" ht="18.75" customHeight="1">
      <c r="A76" s="27"/>
      <c r="B76" s="722" t="s">
        <v>1097</v>
      </c>
      <c r="C76" s="723">
        <f>C70+C75</f>
        <v>63067.893289163476</v>
      </c>
      <c r="D76" s="723"/>
      <c r="E76" s="723">
        <f>E70+E75</f>
        <v>39607.118089163443</v>
      </c>
      <c r="F76" s="723"/>
      <c r="G76" s="723">
        <f>G70+G75</f>
        <v>59147.893289163476</v>
      </c>
      <c r="H76" s="723"/>
      <c r="I76" s="723">
        <f>I70+I75</f>
        <v>61935.093289163487</v>
      </c>
      <c r="J76" s="723"/>
      <c r="K76" s="723">
        <f>K70+K75</f>
        <v>33258.318089163455</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19915205</v>
      </c>
    </row>
    <row r="5" spans="1:7">
      <c r="A5" s="1221" t="s">
        <v>3450</v>
      </c>
      <c r="B5" s="1222">
        <f>+B18+B26+B38</f>
        <v>3635487.4111190327</v>
      </c>
    </row>
    <row r="6" spans="1:7">
      <c r="A6" s="1221" t="s">
        <v>3420</v>
      </c>
      <c r="B6" s="1223">
        <f>+B5-B4</f>
        <v>-16279717.588880967</v>
      </c>
    </row>
    <row r="7" spans="1:7">
      <c r="A7" s="1221" t="s">
        <v>3421</v>
      </c>
      <c r="B7" s="1224">
        <f>+B6/B4</f>
        <v>-0.81745167016262033</v>
      </c>
    </row>
    <row r="8" spans="1:7" ht="9" customHeight="1"/>
    <row r="9" spans="1:7">
      <c r="A9" s="1221" t="s">
        <v>3422</v>
      </c>
      <c r="B9" s="1222">
        <f>+B18+B26+B33</f>
        <v>3635487.4111190327</v>
      </c>
    </row>
    <row r="10" spans="1:7">
      <c r="A10" s="1221" t="s">
        <v>3420</v>
      </c>
      <c r="B10" s="1223">
        <f>+B9-B4</f>
        <v>-16279717.588880967</v>
      </c>
    </row>
    <row r="11" spans="1:7">
      <c r="A11" s="1221" t="s">
        <v>3421</v>
      </c>
      <c r="B11" s="1224">
        <f>+B10/B4</f>
        <v>-0.81745167016262033</v>
      </c>
    </row>
    <row r="12" spans="1:7" ht="24" customHeight="1"/>
    <row r="13" spans="1:7">
      <c r="A13" s="1220" t="s">
        <v>3423</v>
      </c>
      <c r="D13" s="1283" t="s">
        <v>3667</v>
      </c>
      <c r="E13" s="1284"/>
    </row>
    <row r="14" spans="1:7">
      <c r="A14" s="1221" t="s">
        <v>3424</v>
      </c>
      <c r="B14" s="1225">
        <f>+SUM('Part II-Sources of Funds'!L51:M52)</f>
        <v>14800500</v>
      </c>
      <c r="D14" s="1284"/>
      <c r="E14" s="1284"/>
    </row>
    <row r="15" spans="1:7">
      <c r="A15" s="1221" t="s">
        <v>3425</v>
      </c>
      <c r="B15" s="1226">
        <f>+'Part III-A-Uses of Funds'!J180</f>
        <v>1550520.5</v>
      </c>
      <c r="D15" s="1284" t="s">
        <v>1896</v>
      </c>
      <c r="G15" s="1285">
        <f>'Part III-A-Uses of Funds'!J168</f>
        <v>24080062.5</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11452477.725</v>
      </c>
    </row>
    <row r="20" spans="1:7">
      <c r="A20" s="1221" t="s">
        <v>3428</v>
      </c>
      <c r="B20" s="1225">
        <f>+B18-B14</f>
        <v>-14800500</v>
      </c>
      <c r="D20" s="1284" t="s">
        <v>3672</v>
      </c>
      <c r="G20" s="1287">
        <f>+B14-G19</f>
        <v>3348022.2750000004</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4410000</v>
      </c>
    </row>
    <row r="25" spans="1:7">
      <c r="A25" s="1221" t="s">
        <v>3432</v>
      </c>
      <c r="B25" s="1229">
        <f>IF('Part II-Sources of Funds'!E6="Yes","N/A",MAX(B46:P46))</f>
        <v>323.77857750316616</v>
      </c>
    </row>
    <row r="26" spans="1:7">
      <c r="A26" s="1221" t="s">
        <v>3433</v>
      </c>
      <c r="B26" s="1219">
        <f>IFERROR(PV('Part II-Sources of Funds'!K40,'Part II-Sources of Funds'!L40,B25+B45),B24)</f>
        <v>3635487.4111190327</v>
      </c>
    </row>
    <row r="27" spans="1:7" ht="9" customHeight="1">
      <c r="B27" s="1219"/>
    </row>
    <row r="28" spans="1:7">
      <c r="A28" s="1221" t="s">
        <v>3434</v>
      </c>
      <c r="B28" s="1230">
        <f>+B26-B24</f>
        <v>-774512.58888096735</v>
      </c>
      <c r="C28" s="1231"/>
    </row>
    <row r="29" spans="1:7">
      <c r="A29" s="1221" t="s">
        <v>3429</v>
      </c>
      <c r="B29" s="1232">
        <f>+B28/B24</f>
        <v>-0.17562643738797445</v>
      </c>
    </row>
    <row r="30" spans="1:7" ht="24" customHeight="1"/>
    <row r="31" spans="1:7">
      <c r="A31" s="1220" t="s">
        <v>3364</v>
      </c>
    </row>
    <row r="32" spans="1:7">
      <c r="A32" s="1221" t="s">
        <v>3435</v>
      </c>
      <c r="B32" s="1233">
        <f>+'Part II-Sources of Funds'!I45</f>
        <v>705621</v>
      </c>
    </row>
    <row r="33" spans="1:11">
      <c r="A33" s="1221" t="s">
        <v>3436</v>
      </c>
      <c r="B33" s="1219"/>
    </row>
    <row r="34" spans="1:11" ht="9" customHeight="1">
      <c r="B34" s="1219"/>
    </row>
    <row r="35" spans="1:11">
      <c r="A35" s="1221" t="s">
        <v>3437</v>
      </c>
      <c r="B35" s="1233">
        <f>+B33-B32</f>
        <v>-705621</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380350.03119999997</v>
      </c>
      <c r="C44" s="1222">
        <f>+'Part VI-Pro Forma'!C25</f>
        <v>384851.61182399996</v>
      </c>
      <c r="D44" s="1222">
        <f>+'Part VI-Pro Forma'!D25</f>
        <v>389349.59306047997</v>
      </c>
      <c r="E44" s="1222">
        <f>+'Part VI-Pro Forma'!E25</f>
        <v>393841.40779168962</v>
      </c>
      <c r="F44" s="1222">
        <f>+'Part VI-Pro Forma'!F25</f>
        <v>398324.35370362352</v>
      </c>
      <c r="G44" s="1222">
        <f>+'Part VI-Pro Forma'!G25</f>
        <v>402795.5880664789</v>
      </c>
      <c r="H44" s="1222">
        <f>+'Part VI-Pro Forma'!H25</f>
        <v>407251.12233525503</v>
      </c>
      <c r="I44" s="1222">
        <f>+'Part VI-Pro Forma'!I25</f>
        <v>411687.81656462967</v>
      </c>
      <c r="J44" s="1222">
        <f>+'Part VI-Pro Forma'!J25</f>
        <v>416102.37363207247</v>
      </c>
      <c r="K44" s="1222">
        <f>+'Part VI-Pro Forma'!K25</f>
        <v>420489.33326294838</v>
      </c>
    </row>
    <row r="45" spans="1:11">
      <c r="A45" s="1221" t="s">
        <v>3441</v>
      </c>
      <c r="B45" s="1222">
        <f>SUM('Part VI-Pro Forma'!B26:B29)</f>
        <v>-317282.13791083649</v>
      </c>
      <c r="C45" s="1222">
        <f>SUM('Part VI-Pro Forma'!C26:C29)</f>
        <v>-317282.13791083649</v>
      </c>
      <c r="D45" s="1222">
        <f>SUM('Part VI-Pro Forma'!D26:D29)</f>
        <v>-317282.13791083649</v>
      </c>
      <c r="E45" s="1222">
        <f>SUM('Part VI-Pro Forma'!E26:E29)</f>
        <v>-317282.13791083649</v>
      </c>
      <c r="F45" s="1222">
        <f>SUM('Part VI-Pro Forma'!F26:F29)</f>
        <v>-317282.13791083649</v>
      </c>
      <c r="G45" s="1222">
        <f>SUM('Part VI-Pro Forma'!G26:G29)</f>
        <v>-317282.13791083649</v>
      </c>
      <c r="H45" s="1222">
        <f>SUM('Part VI-Pro Forma'!H26:H29)</f>
        <v>-317282.13791083649</v>
      </c>
      <c r="I45" s="1222">
        <f>SUM('Part VI-Pro Forma'!I26:I29)</f>
        <v>-317282.13791083649</v>
      </c>
      <c r="J45" s="1222">
        <f>SUM('Part VI-Pro Forma'!J26:J29)</f>
        <v>-317282.13791083649</v>
      </c>
      <c r="K45" s="1222">
        <f>SUM('Part VI-Pro Forma'!K26:K29)</f>
        <v>-317282.13791083649</v>
      </c>
    </row>
    <row r="46" spans="1:11">
      <c r="A46" s="1221" t="s">
        <v>3442</v>
      </c>
      <c r="B46" s="1223">
        <f t="shared" ref="B46:K46" si="0">-B44/B48-B45</f>
        <v>323.77857750316616</v>
      </c>
      <c r="C46" s="1223">
        <f t="shared" si="0"/>
        <v>-3427.5386091634864</v>
      </c>
      <c r="D46" s="1223">
        <f t="shared" si="0"/>
        <v>-7175.8563062301837</v>
      </c>
      <c r="E46" s="1223">
        <f t="shared" si="0"/>
        <v>-10919.035248904896</v>
      </c>
      <c r="F46" s="1223">
        <f t="shared" si="0"/>
        <v>-14654.823508849775</v>
      </c>
      <c r="G46" s="1223">
        <f t="shared" si="0"/>
        <v>-18380.852144562581</v>
      </c>
      <c r="H46" s="1223">
        <f t="shared" si="0"/>
        <v>-22093.797368542699</v>
      </c>
      <c r="I46" s="1223">
        <f t="shared" si="0"/>
        <v>-25791.042559688271</v>
      </c>
      <c r="J46" s="1223">
        <f t="shared" si="0"/>
        <v>-29469.840115890605</v>
      </c>
      <c r="K46" s="1223">
        <f t="shared" si="0"/>
        <v>-33125.639808287146</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380350.03119999997</v>
      </c>
      <c r="C51" s="1223">
        <f t="shared" ref="C51:K51" si="2">+C44</f>
        <v>384851.61182399996</v>
      </c>
      <c r="D51" s="1223">
        <f t="shared" si="2"/>
        <v>389349.59306047997</v>
      </c>
      <c r="E51" s="1223">
        <f t="shared" si="2"/>
        <v>393841.40779168962</v>
      </c>
      <c r="F51" s="1223">
        <f t="shared" si="2"/>
        <v>398324.35370362352</v>
      </c>
      <c r="G51" s="1223">
        <f t="shared" si="2"/>
        <v>402795.5880664789</v>
      </c>
      <c r="H51" s="1223">
        <f t="shared" si="2"/>
        <v>407251.12233525503</v>
      </c>
      <c r="I51" s="1223">
        <f t="shared" si="2"/>
        <v>411687.81656462967</v>
      </c>
      <c r="J51" s="1223">
        <f t="shared" si="2"/>
        <v>416102.37363207247</v>
      </c>
      <c r="K51" s="1223">
        <f t="shared" si="2"/>
        <v>420489.33326294838</v>
      </c>
    </row>
    <row r="52" spans="1:17">
      <c r="A52" s="1221" t="s">
        <v>3444</v>
      </c>
      <c r="B52" s="1223">
        <f>IF($B$25="N/A",B45,B45+$B$25)</f>
        <v>-316958.35933333333</v>
      </c>
      <c r="C52" s="1223">
        <f t="shared" ref="C52:K52" si="3">IF($B$25="N/A",C45,C45+$B$25)</f>
        <v>-316958.35933333333</v>
      </c>
      <c r="D52" s="1223">
        <f t="shared" si="3"/>
        <v>-316958.35933333333</v>
      </c>
      <c r="E52" s="1223">
        <f t="shared" si="3"/>
        <v>-316958.35933333333</v>
      </c>
      <c r="F52" s="1223">
        <f t="shared" si="3"/>
        <v>-316958.35933333333</v>
      </c>
      <c r="G52" s="1223">
        <f t="shared" si="3"/>
        <v>-316958.35933333333</v>
      </c>
      <c r="H52" s="1223">
        <f t="shared" si="3"/>
        <v>-316958.35933333333</v>
      </c>
      <c r="I52" s="1223">
        <f t="shared" si="3"/>
        <v>-316958.35933333333</v>
      </c>
      <c r="J52" s="1223">
        <f t="shared" si="3"/>
        <v>-316958.35933333333</v>
      </c>
      <c r="K52" s="1223">
        <f t="shared" si="3"/>
        <v>-316958.35933333333</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58391.671866666642</v>
      </c>
      <c r="C54" s="1223">
        <f t="shared" ref="C54:K54" si="4">+SUM(C51:C53)</f>
        <v>62893.252490666637</v>
      </c>
      <c r="D54" s="1223">
        <f t="shared" si="4"/>
        <v>67391.233727146639</v>
      </c>
      <c r="E54" s="1223">
        <f t="shared" si="4"/>
        <v>71883.048458356294</v>
      </c>
      <c r="F54" s="1223">
        <f t="shared" si="4"/>
        <v>76365.994370290195</v>
      </c>
      <c r="G54" s="1223">
        <f t="shared" si="4"/>
        <v>80837.228733145574</v>
      </c>
      <c r="H54" s="1223">
        <f t="shared" si="4"/>
        <v>85292.763001921703</v>
      </c>
      <c r="I54" s="1223">
        <f t="shared" si="4"/>
        <v>89729.457231296343</v>
      </c>
      <c r="J54" s="1223">
        <f t="shared" si="4"/>
        <v>94144.014298739145</v>
      </c>
      <c r="K54" s="1223">
        <f t="shared" si="4"/>
        <v>98530.973929615051</v>
      </c>
    </row>
    <row r="55" spans="1:17">
      <c r="A55" s="1221" t="s">
        <v>3364</v>
      </c>
      <c r="B55" s="1223">
        <f>-B54</f>
        <v>-58391.671866666642</v>
      </c>
      <c r="C55" s="1223">
        <f t="shared" ref="C55:K55" si="5">-C54</f>
        <v>-62893.252490666637</v>
      </c>
      <c r="D55" s="1223">
        <f t="shared" si="5"/>
        <v>-67391.233727146639</v>
      </c>
      <c r="E55" s="1223">
        <f t="shared" si="5"/>
        <v>-71883.048458356294</v>
      </c>
      <c r="F55" s="1223">
        <f t="shared" si="5"/>
        <v>-76365.994370290195</v>
      </c>
      <c r="G55" s="1223">
        <f t="shared" si="5"/>
        <v>-80837.228733145574</v>
      </c>
      <c r="H55" s="1223">
        <f t="shared" si="5"/>
        <v>-85292.763001921703</v>
      </c>
      <c r="I55" s="1223">
        <f t="shared" si="5"/>
        <v>-89729.457231296343</v>
      </c>
      <c r="J55" s="1223">
        <f t="shared" si="5"/>
        <v>-94144.014298739145</v>
      </c>
      <c r="K55" s="1223">
        <f t="shared" si="5"/>
        <v>-98530.973929615051</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3533894.6854337626</v>
      </c>
      <c r="C58" s="1222">
        <f>IF($B$26="","",-FV('Part II-Sources of Funds'!$K$40/12,12,C52/12,B58))</f>
        <v>3426035.9427268747</v>
      </c>
      <c r="D58" s="1222">
        <f>IF($B$26="","",-FV('Part II-Sources of Funds'!$K$40/12,12,D52/12,C58))</f>
        <v>3311524.7087793704</v>
      </c>
      <c r="E58" s="1222">
        <f>IF($B$26="","",-FV('Part II-Sources of Funds'!$K$40/12,12,E52/12,D58))</f>
        <v>3189950.6724880803</v>
      </c>
      <c r="F58" s="1222">
        <f>IF($B$26="","",-FV('Part II-Sources of Funds'!$K$40/12,12,F52/12,E58))</f>
        <v>3060878.2156588086</v>
      </c>
      <c r="G58" s="1222">
        <f>IF($B$26="","",-FV('Part II-Sources of Funds'!$K$40/12,12,G52/12,F58))</f>
        <v>2923844.8521203324</v>
      </c>
      <c r="H58" s="1222">
        <f>IF($B$26="","",-FV('Part II-Sources of Funds'!$K$40/12,12,H52/12,G58))</f>
        <v>2778359.5705663706</v>
      </c>
      <c r="I58" s="1222">
        <f>IF($B$26="","",-FV('Part II-Sources of Funds'!$K$40/12,12,I52/12,H58))</f>
        <v>2623901.0751876701</v>
      </c>
      <c r="J58" s="1222">
        <f>IF($B$26="","",-FV('Part II-Sources of Funds'!$K$40/12,12,J52/12,I58))</f>
        <v>2459915.9177901288</v>
      </c>
      <c r="K58" s="1222">
        <f>IF($B$26="","",-FV('Part II-Sources of Funds'!$K$40/12,12,K52/12,J58))</f>
        <v>2285816.5147060519</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424847.06585118896</v>
      </c>
      <c r="C64" s="1222">
        <f>+'Part VI-Pro Forma'!C57</f>
        <v>429170.76606888353</v>
      </c>
      <c r="D64" s="1222">
        <f>+'Part VI-Pro Forma'!D57</f>
        <v>433454.44625795243</v>
      </c>
      <c r="E64" s="1222">
        <f>+'Part VI-Pro Forma'!E57</f>
        <v>437695.9295968333</v>
      </c>
      <c r="F64" s="1222">
        <f>+'Part VI-Pro Forma'!F57</f>
        <v>441888.8430349034</v>
      </c>
      <c r="G64" s="1222">
        <f>+'Part VI-Pro Forma'!G57</f>
        <v>446029.60998711886</v>
      </c>
      <c r="H64" s="1222">
        <f>+'Part VI-Pro Forma'!H57</f>
        <v>450111.44278112438</v>
      </c>
      <c r="I64" s="1222">
        <f>+'Part VI-Pro Forma'!I57</f>
        <v>454129.33484883787</v>
      </c>
      <c r="J64" s="1222">
        <f>+'Part VI-Pro Forma'!J57</f>
        <v>458079.05265426805</v>
      </c>
      <c r="K64" s="1222">
        <f>+'Part VI-Pro Forma'!K57</f>
        <v>461953.12734906073</v>
      </c>
    </row>
    <row r="65" spans="1:11">
      <c r="A65" s="1221" t="s">
        <v>3441</v>
      </c>
      <c r="B65" s="1222">
        <f>SUM('Part VI-Pro Forma'!B58:B61)</f>
        <v>-317282.13791083649</v>
      </c>
      <c r="C65" s="1222">
        <f>SUM('Part VI-Pro Forma'!C58:C61)</f>
        <v>-317282.13791083649</v>
      </c>
      <c r="D65" s="1222">
        <f>SUM('Part VI-Pro Forma'!D58:D61)</f>
        <v>-317282.13791083649</v>
      </c>
      <c r="E65" s="1222">
        <f>SUM('Part VI-Pro Forma'!E58:E61)</f>
        <v>-317282.13791083649</v>
      </c>
      <c r="F65" s="1222">
        <f>SUM('Part VI-Pro Forma'!F58:F61)</f>
        <v>-317282.13791083649</v>
      </c>
      <c r="G65" s="1222">
        <f>SUM('Part VI-Pro Forma'!G58:G61)</f>
        <v>-317282.13791083649</v>
      </c>
      <c r="H65" s="1222">
        <f>SUM('Part VI-Pro Forma'!H58:H61)</f>
        <v>-317282.13791083649</v>
      </c>
      <c r="I65" s="1222">
        <f>SUM('Part VI-Pro Forma'!I58:I61)</f>
        <v>-317282.13791083649</v>
      </c>
      <c r="J65" s="1222">
        <f>SUM('Part VI-Pro Forma'!J58:J61)</f>
        <v>-317282.13791083649</v>
      </c>
      <c r="K65" s="1222">
        <f>SUM('Part VI-Pro Forma'!K58:K61)</f>
        <v>-317282.13791083649</v>
      </c>
    </row>
    <row r="66" spans="1:11">
      <c r="A66" s="1221" t="s">
        <v>3442</v>
      </c>
      <c r="B66" s="1223">
        <f t="shared" ref="B66:K66" si="7">-B64/B68-B65</f>
        <v>-36757.083631820977</v>
      </c>
      <c r="C66" s="1223">
        <f t="shared" si="7"/>
        <v>-40360.16714656644</v>
      </c>
      <c r="D66" s="1223">
        <f t="shared" si="7"/>
        <v>-43929.900637457205</v>
      </c>
      <c r="E66" s="1223">
        <f t="shared" si="7"/>
        <v>-47464.470086524612</v>
      </c>
      <c r="F66" s="1223">
        <f t="shared" si="7"/>
        <v>-50958.564618249715</v>
      </c>
      <c r="G66" s="1223">
        <f t="shared" si="7"/>
        <v>-54409.203745095932</v>
      </c>
      <c r="H66" s="1223">
        <f t="shared" si="7"/>
        <v>-57810.731073433824</v>
      </c>
      <c r="I66" s="1223">
        <f t="shared" si="7"/>
        <v>-61158.974463195074</v>
      </c>
      <c r="J66" s="1223">
        <f t="shared" si="7"/>
        <v>-64450.405967720202</v>
      </c>
      <c r="K66" s="1223">
        <f t="shared" si="7"/>
        <v>-67678.801546714152</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424847.06585118896</v>
      </c>
      <c r="C71" s="1223">
        <f t="shared" si="9"/>
        <v>429170.76606888353</v>
      </c>
      <c r="D71" s="1223">
        <f t="shared" si="9"/>
        <v>433454.44625795243</v>
      </c>
      <c r="E71" s="1223">
        <f t="shared" si="9"/>
        <v>437695.9295968333</v>
      </c>
      <c r="F71" s="1223">
        <f t="shared" si="9"/>
        <v>441888.8430349034</v>
      </c>
      <c r="G71" s="1223">
        <f t="shared" si="9"/>
        <v>446029.60998711886</v>
      </c>
      <c r="H71" s="1223">
        <f>+H64</f>
        <v>450111.44278112438</v>
      </c>
      <c r="I71" s="1223">
        <f>+I64</f>
        <v>454129.33484883787</v>
      </c>
      <c r="J71" s="1223">
        <f>+J64</f>
        <v>458079.05265426805</v>
      </c>
      <c r="K71" s="1223">
        <f>+K64</f>
        <v>461953.12734906073</v>
      </c>
    </row>
    <row r="72" spans="1:11">
      <c r="A72" s="1221" t="s">
        <v>3444</v>
      </c>
      <c r="B72" s="1223">
        <f t="shared" ref="B72:G72" si="10">IF($B$25="N/A",B65,B65+$B$25)</f>
        <v>-316958.35933333333</v>
      </c>
      <c r="C72" s="1223">
        <f t="shared" si="10"/>
        <v>-316958.35933333333</v>
      </c>
      <c r="D72" s="1223">
        <f t="shared" si="10"/>
        <v>-316958.35933333333</v>
      </c>
      <c r="E72" s="1223">
        <f t="shared" si="10"/>
        <v>-316958.35933333333</v>
      </c>
      <c r="F72" s="1223">
        <f t="shared" si="10"/>
        <v>-316958.35933333333</v>
      </c>
      <c r="G72" s="1223">
        <f t="shared" si="10"/>
        <v>-316958.35933333333</v>
      </c>
      <c r="H72" s="1223">
        <f>IF($B$25="N/A",H65,H65+$B$25)</f>
        <v>-316958.35933333333</v>
      </c>
      <c r="I72" s="1223">
        <f>IF($B$25="N/A",I65,I65+$B$25)</f>
        <v>-316958.35933333333</v>
      </c>
      <c r="J72" s="1223">
        <f>IF($B$25="N/A",J65,J65+$B$25)</f>
        <v>-316958.35933333333</v>
      </c>
      <c r="K72" s="1223">
        <f>IF($B$25="N/A",K65,K65+$B$25)</f>
        <v>-316958.35933333333</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3446</v>
      </c>
      <c r="B74" s="1223">
        <f t="shared" ref="B74:G74" si="11">+SUM(B71:B73)</f>
        <v>102888.70651785564</v>
      </c>
      <c r="C74" s="1223">
        <f t="shared" si="11"/>
        <v>107212.4067355502</v>
      </c>
      <c r="D74" s="1223">
        <f t="shared" si="11"/>
        <v>111496.0869246191</v>
      </c>
      <c r="E74" s="1223">
        <f t="shared" si="11"/>
        <v>115737.57026349998</v>
      </c>
      <c r="F74" s="1223">
        <f t="shared" si="11"/>
        <v>119930.48370157008</v>
      </c>
      <c r="G74" s="1223">
        <f t="shared" si="11"/>
        <v>124071.25065378554</v>
      </c>
      <c r="H74" s="1223">
        <f>+SUM(H71:H73)</f>
        <v>128153.08344779105</v>
      </c>
      <c r="I74" s="1223">
        <f>+SUM(I71:I73)</f>
        <v>132170.97551550454</v>
      </c>
      <c r="J74" s="1223">
        <f>+SUM(J71:J73)</f>
        <v>136120.69332093472</v>
      </c>
      <c r="K74" s="1223">
        <f>+SUM(K71:K73)</f>
        <v>139994.7680157274</v>
      </c>
    </row>
    <row r="75" spans="1:11">
      <c r="A75" s="1221" t="s">
        <v>3364</v>
      </c>
      <c r="B75" s="1223">
        <f t="shared" ref="B75:G75" si="12">-B74</f>
        <v>-102888.70651785564</v>
      </c>
      <c r="C75" s="1223">
        <f t="shared" si="12"/>
        <v>-107212.4067355502</v>
      </c>
      <c r="D75" s="1223">
        <f t="shared" si="12"/>
        <v>-111496.0869246191</v>
      </c>
      <c r="E75" s="1223">
        <f t="shared" si="12"/>
        <v>-115737.57026349998</v>
      </c>
      <c r="F75" s="1223">
        <f t="shared" si="12"/>
        <v>-119930.48370157008</v>
      </c>
      <c r="G75" s="1223">
        <f t="shared" si="12"/>
        <v>-124071.25065378554</v>
      </c>
      <c r="H75" s="1223">
        <f>-H74</f>
        <v>-128153.08344779105</v>
      </c>
      <c r="I75" s="1223">
        <f>-I74</f>
        <v>-132170.97551550454</v>
      </c>
      <c r="J75" s="1223">
        <f>-J74</f>
        <v>-136120.69332093472</v>
      </c>
      <c r="K75" s="1223">
        <f>-K74</f>
        <v>-139994.7680157274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2100979.0413928339</v>
      </c>
      <c r="C78" s="1222">
        <f>IF($B$26="","",-FV('Part II-Sources of Funds'!$K$40/12,12,C72/12,B78))</f>
        <v>1904741.1971750944</v>
      </c>
      <c r="D78" s="1222">
        <f>IF($B$26="","",-FV('Part II-Sources of Funds'!$K$40/12,12,D72/12,C78))</f>
        <v>1696399.8321209985</v>
      </c>
      <c r="E78" s="1222">
        <f>IF($B$26="","",-FV('Part II-Sources of Funds'!$K$40/12,12,E72/12,D78))</f>
        <v>1475208.4275495035</v>
      </c>
      <c r="F78" s="1222">
        <f>IF($B$26="","",-FV('Part II-Sources of Funds'!$K$40/12,12,F72/12,E78))</f>
        <v>1240374.4211408037</v>
      </c>
      <c r="G78" s="1222">
        <f>IF($B$26="","",-FV('Part II-Sources of Funds'!$K$40/12,12,G72/12,F78))</f>
        <v>991056.36706544203</v>
      </c>
      <c r="H78" s="1222">
        <f>IF($B$26="","",-FV('Part II-Sources of Funds'!$K$40/12,12,H72/12,G78))</f>
        <v>726360.92095639743</v>
      </c>
      <c r="I78" s="1222">
        <f>IF($B$26="","",-FV('Part II-Sources of Funds'!$K$40/12,12,I72/12,H78))</f>
        <v>445339.63892084995</v>
      </c>
      <c r="J78" s="1222">
        <f>IF($B$26="","",-FV('Part II-Sources of Funds'!$K$40/12,12,J72/12,I78))</f>
        <v>146985.57912199403</v>
      </c>
      <c r="K78" s="1222">
        <f>IF($B$26="","",-FV('Part II-Sources of Funds'!$K$40/12,12,K72/12,J78))</f>
        <v>-169770.30624614478</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Arbours at Town Branch</v>
      </c>
    </row>
    <row r="2" spans="1:15" ht="13.5" customHeight="1"/>
    <row r="3" spans="1:15" ht="13.5" customHeight="1">
      <c r="A3" s="664" t="s">
        <v>2708</v>
      </c>
      <c r="C3" s="663" t="s">
        <v>2709</v>
      </c>
      <c r="E3" s="749">
        <f>SUM('Part III-A-Uses of Funds'!J162,'Part III-A-Uses of Funds'!M162,'Part III-A-Uses of Funds'!P162)</f>
        <v>18523125</v>
      </c>
      <c r="F3" s="1299" t="s">
        <v>2710</v>
      </c>
      <c r="H3" s="1279">
        <v>27.5</v>
      </c>
      <c r="I3" s="663" t="s">
        <v>2274</v>
      </c>
      <c r="K3" s="668" t="s">
        <v>2731</v>
      </c>
      <c r="M3" s="1299"/>
      <c r="O3" s="750"/>
    </row>
    <row r="4" spans="1:15" ht="13.5" customHeight="1">
      <c r="C4" s="663" t="s">
        <v>3130</v>
      </c>
      <c r="E4" s="749">
        <f>SUM('Part III-A-Uses of Funds'!G97:H101)</f>
        <v>74100</v>
      </c>
      <c r="F4" s="1299" t="s">
        <v>3664</v>
      </c>
      <c r="H4" s="664">
        <f>'Part II-Sources of Funds'!M40</f>
        <v>30</v>
      </c>
      <c r="I4" s="663" t="s">
        <v>2274</v>
      </c>
      <c r="K4" s="751" t="s">
        <v>2959</v>
      </c>
      <c r="M4" s="1299"/>
    </row>
    <row r="5" spans="1:15" ht="13.5" customHeight="1">
      <c r="C5" s="663" t="s">
        <v>3131</v>
      </c>
      <c r="E5" s="749">
        <f>SUM('Part III-A-Uses of Funds'!G105:H111)</f>
        <v>154300</v>
      </c>
      <c r="F5" s="1299" t="s">
        <v>3663</v>
      </c>
      <c r="H5" s="1279">
        <v>15</v>
      </c>
      <c r="I5" s="663" t="s">
        <v>2274</v>
      </c>
      <c r="K5" s="750">
        <f>-E6</f>
        <v>-14799584</v>
      </c>
    </row>
    <row r="6" spans="1:15" ht="13.5" customHeight="1">
      <c r="C6" s="663" t="s">
        <v>2711</v>
      </c>
      <c r="E6" s="752">
        <f>'Part II-Sources of Funds'!$I$51+'Part II-Sources of Funds'!$I$52</f>
        <v>14799584</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v>
      </c>
      <c r="D9" s="757">
        <f>'Part VI-Pro Forma'!C33</f>
        <v>0</v>
      </c>
      <c r="E9" s="757">
        <f>'Part VI-Pro Forma'!D33</f>
        <v>0</v>
      </c>
      <c r="F9" s="757">
        <f>'Part VI-Pro Forma'!E33</f>
        <v>0</v>
      </c>
      <c r="G9" s="757">
        <f>'Part VI-Pro Forma'!F33</f>
        <v>0</v>
      </c>
      <c r="H9" s="757">
        <f>'Part VI-Pro Forma'!G33</f>
        <v>0</v>
      </c>
      <c r="I9" s="757">
        <f>'Part VI-Pro Forma'!H33</f>
        <v>0</v>
      </c>
      <c r="K9" s="750" t="e">
        <f>F24</f>
        <v>#VALUE!</v>
      </c>
      <c r="N9" s="758" t="s">
        <v>2717</v>
      </c>
    </row>
    <row r="10" spans="1:15" ht="13.5" customHeight="1">
      <c r="A10" s="663" t="s">
        <v>2716</v>
      </c>
      <c r="C10" s="1248">
        <f>'Part II-Sources of Funds'!I40-'Part VI-Pro Forma'!B40</f>
        <v>54155.316511401907</v>
      </c>
      <c r="D10" s="759">
        <f>'Part VI-Pro Forma'!B40-'Part VI-Pro Forma'!C40</f>
        <v>57495.497934654355</v>
      </c>
      <c r="E10" s="759">
        <f>'Part VI-Pro Forma'!C40-'Part VI-Pro Forma'!D40</f>
        <v>61041.694439323619</v>
      </c>
      <c r="F10" s="759">
        <f>'Part VI-Pro Forma'!D40-'Part VI-Pro Forma'!E40</f>
        <v>64806.612584841903</v>
      </c>
      <c r="G10" s="759">
        <f>'Part VI-Pro Forma'!E40-'Part VI-Pro Forma'!F40</f>
        <v>68803.742643425241</v>
      </c>
      <c r="H10" s="759">
        <f>'Part VI-Pro Forma'!F40-'Part VI-Pro Forma'!G40</f>
        <v>73047.40693775937</v>
      </c>
      <c r="I10" s="759">
        <f>'Part VI-Pro Forma'!G40-'Part VI-Pro Forma'!H40</f>
        <v>77552.81116005592</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-16000</v>
      </c>
      <c r="D13" s="1249">
        <f>'Part VI-Pro Forma'!C23</f>
        <v>-16480</v>
      </c>
      <c r="E13" s="1249">
        <f>'Part VI-Pro Forma'!D23</f>
        <v>-16974.399999999998</v>
      </c>
      <c r="F13" s="1249">
        <f>'Part VI-Pro Forma'!E23</f>
        <v>-17483.632000000001</v>
      </c>
      <c r="G13" s="1249">
        <f>'Part VI-Pro Forma'!F23</f>
        <v>-18008.140959999997</v>
      </c>
      <c r="H13" s="1249">
        <f>'Part VI-Pro Forma'!G23</f>
        <v>-18548.385188799999</v>
      </c>
      <c r="I13" s="1249">
        <f>'Part VI-Pro Forma'!H23</f>
        <v>-19104.836744463999</v>
      </c>
      <c r="K13" s="750" t="e">
        <f>C44</f>
        <v>#VALUE!</v>
      </c>
      <c r="O13" s="755"/>
    </row>
    <row r="14" spans="1:15" ht="13.5" customHeight="1">
      <c r="A14" s="761" t="s">
        <v>3133</v>
      </c>
      <c r="B14" s="762"/>
      <c r="C14" s="1249">
        <f>'Part VI-Pro Forma'!B32</f>
        <v>-58067.893289163476</v>
      </c>
      <c r="D14" s="1249">
        <f>'Part VI-Pro Forma'!C32</f>
        <v>-62569.473913163471</v>
      </c>
      <c r="E14" s="1249">
        <f>'Part VI-Pro Forma'!D32</f>
        <v>-67067.455149643472</v>
      </c>
      <c r="F14" s="1249">
        <f>'Part VI-Pro Forma'!E32</f>
        <v>-71559.269880853128</v>
      </c>
      <c r="G14" s="1249">
        <f>'Part VI-Pro Forma'!F32</f>
        <v>-76042.215792787028</v>
      </c>
      <c r="H14" s="1249">
        <f>'Part VI-Pro Forma'!G32</f>
        <v>-80513.450155642407</v>
      </c>
      <c r="I14" s="1249">
        <f>'Part VI-Pro Forma'!H32</f>
        <v>-84968.984424418537</v>
      </c>
      <c r="K14" s="750" t="e">
        <f>D44</f>
        <v>#VALUE!</v>
      </c>
      <c r="M14" s="663" t="s">
        <v>2723</v>
      </c>
      <c r="O14" s="755" t="e">
        <f>O6-O8-O12</f>
        <v>#VALUE!</v>
      </c>
    </row>
    <row r="15" spans="1:15" ht="13.5" customHeight="1">
      <c r="A15" s="763" t="s">
        <v>2719</v>
      </c>
      <c r="C15" s="764">
        <f t="shared" ref="C15:I15" si="0">$E$3/$H$3</f>
        <v>673568.18181818177</v>
      </c>
      <c r="D15" s="764">
        <f t="shared" si="0"/>
        <v>673568.18181818177</v>
      </c>
      <c r="E15" s="764">
        <f t="shared" si="0"/>
        <v>673568.18181818177</v>
      </c>
      <c r="F15" s="764">
        <f t="shared" si="0"/>
        <v>673568.18181818177</v>
      </c>
      <c r="G15" s="764">
        <f t="shared" si="0"/>
        <v>673568.18181818177</v>
      </c>
      <c r="H15" s="764">
        <f t="shared" si="0"/>
        <v>673568.18181818177</v>
      </c>
      <c r="I15" s="764">
        <f t="shared" si="0"/>
        <v>673568.18181818177</v>
      </c>
      <c r="K15" s="750" t="e">
        <f>E44</f>
        <v>#VALUE!</v>
      </c>
      <c r="O15" s="755"/>
    </row>
    <row r="16" spans="1:15" ht="13.5" customHeight="1">
      <c r="A16" s="763" t="s">
        <v>2721</v>
      </c>
      <c r="C16" s="764">
        <f>IF(C$8&lt;=$H$4,($E$4/$H$4),0)+IF(C$8&lt;=$H$5,($E$5/$H$5),0)</f>
        <v>12756.666666666666</v>
      </c>
      <c r="D16" s="764">
        <f t="shared" ref="D16:I16" si="1">IF(D$8&lt;=$H$4,($E$4/$H$4),0)+IF(D$8&lt;=$H$5,($E$5/$H$5),0)</f>
        <v>12756.666666666666</v>
      </c>
      <c r="E16" s="764">
        <f t="shared" si="1"/>
        <v>12756.666666666666</v>
      </c>
      <c r="F16" s="764">
        <f t="shared" si="1"/>
        <v>12756.666666666666</v>
      </c>
      <c r="G16" s="764">
        <f t="shared" si="1"/>
        <v>12756.666666666666</v>
      </c>
      <c r="H16" s="764">
        <f t="shared" si="1"/>
        <v>12756.666666666666</v>
      </c>
      <c r="I16" s="764">
        <f t="shared" si="1"/>
        <v>12756.666666666666</v>
      </c>
      <c r="K16" s="750" t="e">
        <f>F44</f>
        <v>#VALUE!</v>
      </c>
      <c r="M16" s="663" t="s">
        <v>2725</v>
      </c>
      <c r="O16" s="755">
        <f>E3</f>
        <v>18523125</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13471363.636363635</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5051761.3636363652</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5051761.3636363652</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-5051761.3636363652</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0</v>
      </c>
      <c r="D29" s="757">
        <f>'Part VI-Pro Forma'!J33</f>
        <v>0</v>
      </c>
      <c r="E29" s="757">
        <f>'Part VI-Pro Forma'!K33</f>
        <v>76601.195352111885</v>
      </c>
      <c r="F29" s="757">
        <f>'Part VI-Pro Forma'!B65</f>
        <v>102564.92794035247</v>
      </c>
      <c r="G29" s="757">
        <f>'Part VI-Pro Forma'!C65</f>
        <v>106888.62815804704</v>
      </c>
      <c r="H29" s="757">
        <f>'Part VI-Pro Forma'!D65</f>
        <v>111172.30834711593</v>
      </c>
      <c r="I29" s="757">
        <f>'Part VI-Pro Forma'!E65</f>
        <v>115413.79168599681</v>
      </c>
      <c r="N29" s="768"/>
      <c r="O29" s="768"/>
    </row>
    <row r="30" spans="1:17" ht="13.5" customHeight="1">
      <c r="A30" s="663" t="s">
        <v>2716</v>
      </c>
      <c r="C30" s="759">
        <f>'Part VI-Pro Forma'!H40-'Part VI-Pro Forma'!I40</f>
        <v>82336.098856349476</v>
      </c>
      <c r="D30" s="759">
        <f>'Part VI-Pro Forma'!I40-'Part VI-Pro Forma'!J40</f>
        <v>87414.409271267708</v>
      </c>
      <c r="E30" s="759">
        <f>'Part VI-Pro Forma'!J40-'Part VI-Pro Forma'!K40</f>
        <v>92805.938760546967</v>
      </c>
      <c r="F30" s="1246">
        <f>'Part VI-Pro Forma'!K40-'Part VI-Pro Forma'!B72</f>
        <v>98530.005991328042</v>
      </c>
      <c r="G30" s="1246">
        <f>'Part VI-Pro Forma'!B72-'Part VI-Pro Forma'!C72</f>
        <v>104607.12116386928</v>
      </c>
      <c r="H30" s="1246">
        <f>'Part VI-Pro Forma'!C72-'Part VI-Pro Forma'!D72</f>
        <v>111059.05950270128</v>
      </c>
      <c r="I30" s="1246">
        <f>'Part VI-Pro Forma'!D72-'Part VI-Pro Forma'!E72</f>
        <v>117908.93928055651</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-1010352.2727272731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-19677.98184679792</v>
      </c>
      <c r="D33" s="1249">
        <f>'Part VI-Pro Forma'!J23</f>
        <v>-20268.321302201854</v>
      </c>
      <c r="E33" s="1249">
        <f>'Part VI-Pro Forma'!K23</f>
        <v>-20876.370941267913</v>
      </c>
      <c r="F33" s="1249">
        <f>'Part VI-Pro Forma'!B55</f>
        <v>-21502.66206950595</v>
      </c>
      <c r="G33" s="1249">
        <f>'Part VI-Pro Forma'!C55</f>
        <v>-22147.741931591128</v>
      </c>
      <c r="H33" s="1249">
        <f>'Part VI-Pro Forma'!D55</f>
        <v>-22812.174189538859</v>
      </c>
      <c r="I33" s="1249">
        <f>'Part VI-Pro Forma'!E55</f>
        <v>-23496.539415225023</v>
      </c>
      <c r="K33" s="663" t="s">
        <v>233</v>
      </c>
      <c r="M33" s="663" t="s">
        <v>2736</v>
      </c>
      <c r="O33" s="757" t="e">
        <f>O14-O31</f>
        <v>#VALUE!</v>
      </c>
    </row>
    <row r="34" spans="1:15" ht="13.5" customHeight="1">
      <c r="A34" s="761" t="s">
        <v>3133</v>
      </c>
      <c r="B34" s="762"/>
      <c r="C34" s="1249">
        <f>'Part VI-Pro Forma'!I32</f>
        <v>-89405.678653793177</v>
      </c>
      <c r="D34" s="1249">
        <f>'Part VI-Pro Forma'!J32</f>
        <v>-93820.235721235978</v>
      </c>
      <c r="E34" s="1249">
        <f>'Part VI-Pro Forma'!K32</f>
        <v>-21606</v>
      </c>
      <c r="F34" s="1249">
        <f>'Part VI-Pro Forma'!B64</f>
        <v>0</v>
      </c>
      <c r="G34" s="1249">
        <f>'Part VI-Pro Forma'!C64</f>
        <v>0</v>
      </c>
      <c r="H34" s="1249">
        <f>'Part VI-Pro Forma'!D64</f>
        <v>0</v>
      </c>
      <c r="I34" s="1249">
        <f>'Part VI-Pro Forma'!E64</f>
        <v>0</v>
      </c>
    </row>
    <row r="35" spans="1:15" ht="13.5" customHeight="1">
      <c r="A35" s="763" t="s">
        <v>2719</v>
      </c>
      <c r="C35" s="764">
        <f t="shared" ref="C35:I35" si="8">$E$3/$H$3</f>
        <v>673568.18181818177</v>
      </c>
      <c r="D35" s="764">
        <f t="shared" si="8"/>
        <v>673568.18181818177</v>
      </c>
      <c r="E35" s="764">
        <f t="shared" si="8"/>
        <v>673568.18181818177</v>
      </c>
      <c r="F35" s="764">
        <f t="shared" si="8"/>
        <v>673568.18181818177</v>
      </c>
      <c r="G35" s="764">
        <f t="shared" si="8"/>
        <v>673568.18181818177</v>
      </c>
      <c r="H35" s="764">
        <f t="shared" si="8"/>
        <v>673568.18181818177</v>
      </c>
      <c r="I35" s="764">
        <f t="shared" si="8"/>
        <v>673568.18181818177</v>
      </c>
    </row>
    <row r="36" spans="1:15" ht="13.5" customHeight="1">
      <c r="A36" s="763" t="s">
        <v>2721</v>
      </c>
      <c r="C36" s="757">
        <f>IF(C$28&lt;=$H$4,($E$4/$H$4),0)+IF(C$28&lt;=$H$5,($E$5/$H$5),0)</f>
        <v>12756.666666666666</v>
      </c>
      <c r="D36" s="757">
        <f t="shared" ref="D36:I36" si="9">IF(D$28&lt;=$H$4,($E$4/$H$4),0)+IF(D$28&lt;=$H$5,($E$5/$H$5),0)</f>
        <v>12756.666666666666</v>
      </c>
      <c r="E36" s="757">
        <f t="shared" si="9"/>
        <v>12756.666666666666</v>
      </c>
      <c r="F36" s="757">
        <f t="shared" si="9"/>
        <v>12756.666666666666</v>
      </c>
      <c r="G36" s="757">
        <f t="shared" si="9"/>
        <v>12756.666666666666</v>
      </c>
      <c r="H36" s="757">
        <f t="shared" si="9"/>
        <v>12756.666666666666</v>
      </c>
      <c r="I36" s="757">
        <f t="shared" si="9"/>
        <v>12756.666666666666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119606.70512406691</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125181.30465464527</v>
      </c>
      <c r="D50" s="1247">
        <f>'Part VI-Pro Forma'!F72-'Part VI-Pro Forma'!G72</f>
        <v>132902.21361208707</v>
      </c>
      <c r="E50" s="1247">
        <f>'Part VI-Pro Forma'!G72-'Part VI-Pro Forma'!H72</f>
        <v>141099.33133962844</v>
      </c>
      <c r="F50" s="1247">
        <f>'Part VI-Pro Forma'!H72-'Part VI-Pro Forma'!I72</f>
        <v>149802.02935220068</v>
      </c>
      <c r="G50" s="1247">
        <f>'Part VI-Pro Forma'!I72-'Part VI-Pro Forma'!J72</f>
        <v>159041.49073550571</v>
      </c>
      <c r="H50" s="1247">
        <f>'Part VI-Pro Forma'!J72-'Part VI-Pro Forma'!K72</f>
        <v>168850.82187973941</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-24201.435597681775</v>
      </c>
      <c r="D53" s="1249">
        <f>'Part VI-Pro Forma'!G55</f>
        <v>-24927.478665612231</v>
      </c>
      <c r="E53" s="1249">
        <f>'Part VI-Pro Forma'!H55</f>
        <v>-25675.303025580593</v>
      </c>
      <c r="F53" s="1249">
        <f>'Part VI-Pro Forma'!I55</f>
        <v>-26445.56211634801</v>
      </c>
      <c r="G53" s="1249">
        <f>'Part VI-Pro Forma'!J55</f>
        <v>-27238.928979838453</v>
      </c>
      <c r="H53" s="1249">
        <f>'Part VI-Pro Forma'!K55</f>
        <v>-28056.096849233603</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673568.18181818177</v>
      </c>
      <c r="D55" s="764">
        <f t="shared" si="14"/>
        <v>673568.18181818177</v>
      </c>
      <c r="E55" s="764">
        <f t="shared" si="14"/>
        <v>673568.18181818177</v>
      </c>
      <c r="F55" s="764">
        <f t="shared" si="14"/>
        <v>673568.18181818177</v>
      </c>
      <c r="G55" s="764">
        <f t="shared" si="14"/>
        <v>673568.18181818177</v>
      </c>
      <c r="H55" s="764">
        <f t="shared" si="14"/>
        <v>673568.18181818177</v>
      </c>
    </row>
    <row r="56" spans="1:10" ht="13.5" customHeight="1">
      <c r="A56" s="763" t="s">
        <v>2721</v>
      </c>
      <c r="C56" s="757">
        <f t="shared" ref="C56:H56" si="15">IF(C$48&lt;=$H$4,($E$4/$H$4),0)+IF(C$48&lt;=$H$5,($E$5/$H$5),0)</f>
        <v>12756.666666666666</v>
      </c>
      <c r="D56" s="757">
        <f t="shared" si="15"/>
        <v>2470</v>
      </c>
      <c r="E56" s="757">
        <f t="shared" si="15"/>
        <v>2470</v>
      </c>
      <c r="F56" s="757">
        <f t="shared" si="15"/>
        <v>2470</v>
      </c>
      <c r="G56" s="757">
        <f t="shared" si="15"/>
        <v>2470</v>
      </c>
      <c r="H56" s="757">
        <f t="shared" si="15"/>
        <v>2470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opLeftCell="A2" zoomScaleNormal="100" workbookViewId="0">
      <selection activeCell="A2" sqref="A2:P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09" t="str">
        <f>CONCATENATE("PART ONE - PROJECT INFORMATION"," - ",$O$7," ",$F$29,", ",'Part I-Project Identification'!F30,", ",'Part I-Project Identification'!J30," County")</f>
        <v>PART ONE - PROJECT INFORMATION - 2022-0 Arbours at Town Branch, Villa Rica, Carroll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6753</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6750</v>
      </c>
      <c r="B6" s="3324"/>
      <c r="C6" s="3324"/>
      <c r="D6" s="3324"/>
      <c r="F6" s="316"/>
      <c r="G6" s="292" t="s">
        <v>3828</v>
      </c>
      <c r="L6" s="862"/>
      <c r="P6" s="2357" t="s">
        <v>3292</v>
      </c>
      <c r="Z6" s="2246">
        <v>6</v>
      </c>
    </row>
    <row r="7" spans="1:26" s="315" customFormat="1" ht="12" customHeight="1" thickBot="1">
      <c r="A7" s="3324"/>
      <c r="B7" s="3324"/>
      <c r="C7" s="3324"/>
      <c r="D7" s="3324"/>
      <c r="E7" s="1272"/>
      <c r="F7" s="318"/>
      <c r="G7" s="292" t="s">
        <v>6088</v>
      </c>
      <c r="H7" s="1046"/>
      <c r="I7" s="1046"/>
      <c r="J7" s="1046"/>
      <c r="O7" s="3312" t="s">
        <v>6515</v>
      </c>
      <c r="P7" s="3313"/>
      <c r="Q7" s="3354" t="s">
        <v>6644</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3269</v>
      </c>
      <c r="I10" s="3314">
        <f>'Part III-A-Uses of Funds'!$J$191</f>
        <v>1035000</v>
      </c>
      <c r="J10" s="3315"/>
      <c r="L10" s="315" t="s">
        <v>3270</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6909</v>
      </c>
      <c r="G12" s="3319"/>
      <c r="H12" s="3320"/>
      <c r="I12" s="2364" t="s">
        <v>6526</v>
      </c>
      <c r="J12" s="516" t="s">
        <v>6525</v>
      </c>
      <c r="K12" s="326"/>
      <c r="L12" s="1046"/>
      <c r="O12" s="3321" t="s">
        <v>6910</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3675</v>
      </c>
      <c r="D14" s="1664"/>
      <c r="E14" s="2556"/>
      <c r="G14" s="2556"/>
      <c r="H14" s="2556"/>
      <c r="I14" s="2556"/>
      <c r="L14" s="2557"/>
      <c r="Q14" s="3356"/>
      <c r="R14" s="3357"/>
      <c r="S14" s="3358"/>
      <c r="Z14" s="2246">
        <v>14</v>
      </c>
    </row>
    <row r="15" spans="1:26" s="1661" customFormat="1">
      <c r="B15" s="1661" t="s">
        <v>3298</v>
      </c>
      <c r="F15" s="3339" t="s">
        <v>6911</v>
      </c>
      <c r="G15" s="3340"/>
      <c r="H15" s="3341"/>
      <c r="I15" s="2558" t="s">
        <v>1671</v>
      </c>
      <c r="J15" s="3339" t="s">
        <v>6912</v>
      </c>
      <c r="K15" s="3340"/>
      <c r="L15" s="3341"/>
      <c r="M15" s="2559" t="s">
        <v>1839</v>
      </c>
      <c r="N15" s="3342" t="s">
        <v>6913</v>
      </c>
      <c r="O15" s="3343"/>
      <c r="P15" s="3344"/>
      <c r="Q15" s="3356"/>
      <c r="R15" s="3357"/>
      <c r="S15" s="3358"/>
      <c r="Z15" s="2246">
        <v>15</v>
      </c>
    </row>
    <row r="16" spans="1:26" s="1661" customFormat="1">
      <c r="B16" s="1664" t="s">
        <v>1840</v>
      </c>
      <c r="F16" s="3345" t="s">
        <v>6914</v>
      </c>
      <c r="G16" s="3346"/>
      <c r="H16" s="3346"/>
      <c r="I16" s="3346"/>
      <c r="J16" s="3346"/>
      <c r="K16" s="3346"/>
      <c r="L16" s="3347"/>
      <c r="M16" s="3374" t="s">
        <v>3297</v>
      </c>
      <c r="N16" s="3374"/>
      <c r="O16" s="3374"/>
      <c r="P16" s="3374"/>
      <c r="Q16" s="3356"/>
      <c r="R16" s="3357"/>
      <c r="S16" s="3358"/>
      <c r="Z16" s="2246">
        <v>16</v>
      </c>
    </row>
    <row r="17" spans="1:26" s="1661" customFormat="1">
      <c r="B17" s="1664" t="s">
        <v>575</v>
      </c>
      <c r="F17" s="3349" t="s">
        <v>6915</v>
      </c>
      <c r="G17" s="3350"/>
      <c r="H17" s="3351"/>
      <c r="I17" s="2563" t="s">
        <v>1672</v>
      </c>
      <c r="J17" s="2560" t="s">
        <v>781</v>
      </c>
      <c r="K17" s="2566"/>
      <c r="L17" s="2564"/>
      <c r="M17" s="3374"/>
      <c r="N17" s="3374"/>
      <c r="O17" s="3374"/>
      <c r="P17" s="3374"/>
      <c r="Q17" s="3356"/>
      <c r="R17" s="3357"/>
      <c r="S17" s="3358"/>
      <c r="Z17" s="2246">
        <v>17</v>
      </c>
    </row>
    <row r="18" spans="1:26" s="1661" customFormat="1">
      <c r="B18" s="1664" t="s">
        <v>2062</v>
      </c>
      <c r="F18" s="3327">
        <v>352424834</v>
      </c>
      <c r="G18" s="3328"/>
      <c r="H18" s="3329"/>
      <c r="I18" s="2565" t="s">
        <v>1600</v>
      </c>
      <c r="J18" s="3330">
        <v>2059813300</v>
      </c>
      <c r="K18" s="3331"/>
      <c r="L18" s="2561" t="s">
        <v>1599</v>
      </c>
      <c r="M18" s="834"/>
      <c r="N18" s="1664" t="s">
        <v>1601</v>
      </c>
      <c r="O18" s="3332">
        <v>2059813393</v>
      </c>
      <c r="P18" s="3333"/>
      <c r="Q18" s="3356"/>
      <c r="R18" s="3357"/>
      <c r="S18" s="3358"/>
      <c r="Z18" s="2246">
        <v>18</v>
      </c>
    </row>
    <row r="19" spans="1:26" s="1661" customFormat="1">
      <c r="B19" s="1664" t="s">
        <v>1843</v>
      </c>
      <c r="F19" s="3334" t="s">
        <v>6916</v>
      </c>
      <c r="G19" s="3335"/>
      <c r="H19" s="3335"/>
      <c r="I19" s="3335"/>
      <c r="J19" s="3335"/>
      <c r="K19" s="3336"/>
      <c r="N19" s="1664" t="s">
        <v>1838</v>
      </c>
      <c r="O19" s="3337">
        <v>2052664583</v>
      </c>
      <c r="P19" s="3338"/>
      <c r="Q19" s="3356"/>
      <c r="R19" s="3357"/>
      <c r="S19" s="3358"/>
      <c r="Z19" s="2246">
        <v>19</v>
      </c>
    </row>
    <row r="20" spans="1:26" s="1661" customFormat="1">
      <c r="A20" s="2562"/>
      <c r="B20" s="1665" t="s">
        <v>3674</v>
      </c>
      <c r="C20" s="181"/>
      <c r="H20" s="2561"/>
      <c r="J20" s="181"/>
      <c r="P20" s="2561"/>
      <c r="Q20" s="3356"/>
      <c r="R20" s="3357"/>
      <c r="S20" s="3358"/>
      <c r="Z20" s="2246">
        <v>20</v>
      </c>
    </row>
    <row r="21" spans="1:26" s="1661" customFormat="1">
      <c r="B21" s="1661" t="s">
        <v>3298</v>
      </c>
      <c r="F21" s="3339" t="s">
        <v>6917</v>
      </c>
      <c r="G21" s="3340"/>
      <c r="H21" s="3341"/>
      <c r="I21" s="2558" t="s">
        <v>1671</v>
      </c>
      <c r="J21" s="3339" t="s">
        <v>6918</v>
      </c>
      <c r="K21" s="3340"/>
      <c r="L21" s="3341"/>
      <c r="M21" s="2559" t="s">
        <v>1839</v>
      </c>
      <c r="N21" s="3342" t="s">
        <v>6945</v>
      </c>
      <c r="O21" s="3343"/>
      <c r="P21" s="3344"/>
      <c r="Q21" s="3356"/>
      <c r="R21" s="3357"/>
      <c r="S21" s="3358"/>
      <c r="Z21" s="2245">
        <v>21</v>
      </c>
    </row>
    <row r="22" spans="1:26" s="1661" customFormat="1">
      <c r="B22" s="1664" t="s">
        <v>1840</v>
      </c>
      <c r="F22" s="3345" t="s">
        <v>6914</v>
      </c>
      <c r="G22" s="3346"/>
      <c r="H22" s="3346"/>
      <c r="I22" s="3346"/>
      <c r="J22" s="3346"/>
      <c r="K22" s="3346"/>
      <c r="L22" s="3347"/>
      <c r="M22" s="3348" t="s">
        <v>3297</v>
      </c>
      <c r="N22" s="3348"/>
      <c r="O22" s="3348"/>
      <c r="P22" s="3348"/>
      <c r="Q22" s="3356"/>
      <c r="R22" s="3357"/>
      <c r="S22" s="3358"/>
      <c r="Z22" s="2246">
        <v>22</v>
      </c>
    </row>
    <row r="23" spans="1:26" s="1661" customFormat="1">
      <c r="B23" s="1664" t="s">
        <v>575</v>
      </c>
      <c r="F23" s="3349" t="s">
        <v>6915</v>
      </c>
      <c r="G23" s="3350"/>
      <c r="H23" s="3351"/>
      <c r="I23" s="2567" t="s">
        <v>1672</v>
      </c>
      <c r="J23" s="2560" t="s">
        <v>781</v>
      </c>
      <c r="K23" s="2566"/>
      <c r="L23" s="2564"/>
      <c r="M23" s="3348"/>
      <c r="N23" s="3348"/>
      <c r="O23" s="3348"/>
      <c r="P23" s="3348"/>
      <c r="Q23" s="3356"/>
      <c r="R23" s="3357"/>
      <c r="S23" s="3358"/>
      <c r="Z23" s="2246">
        <v>23</v>
      </c>
    </row>
    <row r="24" spans="1:26" s="1661" customFormat="1">
      <c r="B24" s="1664" t="s">
        <v>2062</v>
      </c>
      <c r="F24" s="3327">
        <v>352424834</v>
      </c>
      <c r="G24" s="3328"/>
      <c r="H24" s="3329"/>
      <c r="I24" s="2565" t="s">
        <v>1600</v>
      </c>
      <c r="J24" s="3330">
        <v>2059813300</v>
      </c>
      <c r="K24" s="3331"/>
      <c r="L24" s="2561" t="s">
        <v>1599</v>
      </c>
      <c r="M24" s="834"/>
      <c r="N24" s="1664" t="s">
        <v>1601</v>
      </c>
      <c r="O24" s="3332">
        <v>2059090055</v>
      </c>
      <c r="P24" s="3333"/>
      <c r="Q24" s="3356"/>
      <c r="R24" s="3357"/>
      <c r="S24" s="3358"/>
      <c r="Z24" s="2246">
        <v>24</v>
      </c>
    </row>
    <row r="25" spans="1:26" s="1661" customFormat="1">
      <c r="B25" s="1664" t="s">
        <v>1843</v>
      </c>
      <c r="F25" s="3334" t="s">
        <v>6919</v>
      </c>
      <c r="G25" s="3335"/>
      <c r="H25" s="3335"/>
      <c r="I25" s="3335"/>
      <c r="J25" s="3335"/>
      <c r="K25" s="3336"/>
      <c r="N25" s="1664" t="s">
        <v>1838</v>
      </c>
      <c r="O25" s="3337">
        <v>2058074657</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6920</v>
      </c>
      <c r="G29" s="3299"/>
      <c r="H29" s="3299"/>
      <c r="I29" s="3300"/>
      <c r="J29" s="3299"/>
      <c r="K29" s="3301"/>
      <c r="M29" s="1034" t="s">
        <v>425</v>
      </c>
      <c r="P29" s="2568" t="s">
        <v>2651</v>
      </c>
      <c r="Q29" s="3356"/>
      <c r="R29" s="3357"/>
      <c r="S29" s="3358"/>
      <c r="Z29" s="2246">
        <v>29</v>
      </c>
    </row>
    <row r="30" spans="1:26" s="315" customFormat="1">
      <c r="A30" s="495"/>
      <c r="B30" s="315" t="s">
        <v>575</v>
      </c>
      <c r="F30" s="3306" t="s">
        <v>1584</v>
      </c>
      <c r="G30" s="3307"/>
      <c r="H30" s="3308"/>
      <c r="I30" s="340" t="s">
        <v>576</v>
      </c>
      <c r="J30" s="3302" t="str">
        <f>IF(F30="","",VLOOKUP(F30,'DCA Underwriting Assumptions'!$T$136:$U$765,2,FALSE))</f>
        <v>Carroll</v>
      </c>
      <c r="K30" s="3303"/>
      <c r="M30" s="2618" t="s">
        <v>426</v>
      </c>
      <c r="P30" s="2641" t="s">
        <v>2654</v>
      </c>
      <c r="Q30" s="3356"/>
      <c r="R30" s="3357"/>
      <c r="S30" s="3358"/>
      <c r="U30" s="2562"/>
      <c r="W30" s="1661"/>
      <c r="X30" s="1661"/>
      <c r="Y30" s="1661"/>
      <c r="Z30" s="2246">
        <v>30</v>
      </c>
    </row>
    <row r="31" spans="1:26" s="315" customFormat="1" ht="13.5">
      <c r="A31" s="2120"/>
      <c r="B31" s="1661" t="s">
        <v>3911</v>
      </c>
      <c r="C31" s="330"/>
      <c r="D31" s="331"/>
      <c r="E31" s="331"/>
      <c r="F31" s="3306" t="s">
        <v>6921</v>
      </c>
      <c r="G31" s="3307"/>
      <c r="H31" s="3308"/>
      <c r="I31" s="2617"/>
      <c r="J31" s="515" t="s">
        <v>6730</v>
      </c>
      <c r="K31" s="2617"/>
      <c r="M31" s="1664" t="s">
        <v>6676</v>
      </c>
      <c r="N31" s="1661"/>
      <c r="O31" s="3325">
        <v>8.09</v>
      </c>
      <c r="P31" s="3326"/>
      <c r="Q31" s="3356"/>
      <c r="R31" s="3357"/>
      <c r="S31" s="3358"/>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MSA</v>
      </c>
      <c r="O32" s="3304" t="str">
        <f>IF($F$30="","",VLOOKUP($J$30,'DCA Underwriting Assumptions'!$G$136:$L$295,3,FALSE))</f>
        <v>Atlanta-Sandy Springs-Marietta</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6663</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6662</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3937</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83" fitToHeight="0" orientation="portrait"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Arbours at Town Branch</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 customHeight="1">
      <c r="A5" s="4586" t="str">
        <f>'Part II-Sources of Funds'!E40</f>
        <v>ServisFirst</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26440.178159236373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26440.178159236373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26440.178159236373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26440.178159236373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26440.178159236373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26440.178159236373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26440.178159236373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26440.178159236373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26440.178159236373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26440.178159236373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26440.178159236373</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26440.178159236373</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26440.178159236373</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26440.178159236373</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26440.178159236373</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26440.178159236373</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26440.178159236373</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26440.178159236373</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26440.178159236373</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26440.178159236373</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26440.178159236373</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26440.178159236373</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26440.178159236373</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26440.178159236373</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26440.178159236373</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26440.178159236373</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26440.178159236373</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26440.178159236373</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26440.178159236373</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26440.178159236373</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26440.178159236373</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26440.178159236373</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26440.178159236373</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26440.178159236373</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26440.178159236373</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Arbours at Town Branch</v>
      </c>
      <c r="B1" s="4588"/>
      <c r="C1" s="4588"/>
      <c r="D1" s="4588"/>
      <c r="E1" s="4588"/>
      <c r="F1" s="4588"/>
      <c r="G1" s="4588"/>
      <c r="H1" s="4588"/>
    </row>
    <row r="3" spans="1:13" ht="12" customHeight="1">
      <c r="A3" s="4589" t="s">
        <v>3107</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Arbours at Town Branch</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12000000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240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64</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2381558.1533881119</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331946</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86734</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2962</v>
      </c>
      <c r="B1" s="4595"/>
      <c r="C1" s="4595"/>
      <c r="D1" s="4595"/>
      <c r="E1" s="4595"/>
      <c r="F1" s="4595"/>
      <c r="G1" s="4595"/>
      <c r="H1" s="4595"/>
      <c r="I1" s="4595"/>
      <c r="J1" s="4595"/>
    </row>
    <row r="2" spans="1:13" ht="15">
      <c r="A2" s="4595" t="str">
        <f>'Sensitivity Analysis'!E8&amp;"  "&amp;'Sensitivity Analysis'!C8</f>
        <v>2022-0  Arbours at Town Branch</v>
      </c>
      <c r="B2" s="4595"/>
      <c r="C2" s="4595"/>
      <c r="D2" s="4595"/>
      <c r="E2" s="4595"/>
      <c r="F2" s="4595"/>
      <c r="G2" s="4595"/>
      <c r="H2" s="4595"/>
      <c r="I2" s="4595"/>
      <c r="J2" s="4595"/>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Arbours at Town Branch</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596" t="str">
        <f>_xlfn.CONCAT('Part VII-Threshold Criteria'!K192," and ",'Part VII-Threshold Criteria'!K193)</f>
        <v>Room and Gazebo</v>
      </c>
      <c r="D39" s="4596"/>
      <c r="E39" s="4596"/>
      <c r="F39" s="4596"/>
      <c r="G39" s="4596"/>
      <c r="H39" s="4596"/>
      <c r="I39" s="4596"/>
      <c r="J39" s="4596"/>
    </row>
    <row r="40" spans="1:10" ht="25.5" customHeight="1">
      <c r="A40" s="787" t="s">
        <v>6173</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Equipped Computer Center and WiFi , , ,   , ,   , and  </v>
      </c>
      <c r="D40" s="4596"/>
      <c r="E40" s="4596"/>
      <c r="F40" s="4596"/>
      <c r="G40" s="4596"/>
      <c r="H40" s="4596"/>
      <c r="I40" s="4596"/>
      <c r="J40" s="4596"/>
    </row>
    <row r="41" spans="1:10" ht="3" customHeight="1">
      <c r="G41" s="711"/>
      <c r="H41" s="711"/>
      <c r="I41" s="711"/>
    </row>
    <row r="42" spans="1:10" ht="25.5" customHeight="1">
      <c r="A42" s="787" t="s">
        <v>2800</v>
      </c>
      <c r="C42" s="4597" t="s">
        <v>3111</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Carroll</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12000000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240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2381558.1533881119</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ServisFirst</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ServisFirst</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6177</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488689.5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331946</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16000</v>
      </c>
      <c r="F174" s="780" t="s">
        <v>2873</v>
      </c>
      <c r="J174" s="810"/>
      <c r="K174" s="810"/>
      <c r="L174" s="810"/>
      <c r="M174" s="810"/>
    </row>
    <row r="175" spans="1:13">
      <c r="E175" s="813">
        <f>E174/12</f>
        <v>1333.3333333333333</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86734</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6161</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6164</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Arbours at Town Branch</v>
      </c>
      <c r="E3" s="4667"/>
      <c r="F3" s="4667"/>
      <c r="G3" s="4667"/>
      <c r="H3" s="4667"/>
      <c r="I3" s="4667"/>
      <c r="J3" s="4668" t="s">
        <v>6178</v>
      </c>
      <c r="K3" s="4669"/>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2011">
        <v>1</v>
      </c>
      <c r="D8" s="1718" t="s">
        <v>3977</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2011">
        <v>2</v>
      </c>
      <c r="D11" s="1718" t="s">
        <v>3979</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3980</v>
      </c>
      <c r="B13" s="4688"/>
      <c r="C13" s="4688"/>
      <c r="D13" s="4688"/>
      <c r="E13" s="4688"/>
      <c r="F13" s="4688"/>
      <c r="G13" s="4688"/>
      <c r="H13" s="4688"/>
      <c r="I13" s="4688"/>
      <c r="J13" s="4688"/>
      <c r="K13" s="4689"/>
    </row>
    <row r="14" spans="1:11" ht="14.25" customHeight="1">
      <c r="A14" s="1697"/>
      <c r="B14" s="1697"/>
      <c r="C14" s="2012">
        <v>3</v>
      </c>
      <c r="D14" s="1722" t="s">
        <v>3981</v>
      </c>
      <c r="E14" s="1722"/>
      <c r="F14" s="1722"/>
      <c r="G14" s="1722"/>
      <c r="H14" s="1722"/>
      <c r="I14" s="1722"/>
      <c r="J14" s="4678"/>
      <c r="K14" s="4679"/>
    </row>
    <row r="15" spans="1:11" ht="14.25" customHeight="1">
      <c r="A15" s="1697"/>
      <c r="B15" s="1697"/>
      <c r="C15" s="2013">
        <v>4</v>
      </c>
      <c r="D15" s="1697" t="s">
        <v>3982</v>
      </c>
      <c r="E15" s="1697"/>
      <c r="F15" s="1697"/>
      <c r="G15" s="1697"/>
      <c r="H15" s="1697"/>
      <c r="I15" s="1697"/>
      <c r="J15" s="4615"/>
      <c r="K15" s="4616"/>
    </row>
    <row r="16" spans="1:11" ht="14.25" customHeight="1">
      <c r="A16" s="1697"/>
      <c r="B16" s="1697"/>
      <c r="C16" s="2013">
        <v>5</v>
      </c>
      <c r="D16" s="1697" t="s">
        <v>3983</v>
      </c>
      <c r="E16" s="1697"/>
      <c r="F16" s="1697"/>
      <c r="G16" s="1697"/>
      <c r="H16" s="1697"/>
      <c r="I16" s="1697"/>
      <c r="J16" s="4615"/>
      <c r="K16" s="4616"/>
    </row>
    <row r="17" spans="1:13" ht="14.25" customHeight="1">
      <c r="A17" s="1717"/>
      <c r="B17" s="1717"/>
      <c r="C17" s="2014">
        <v>6</v>
      </c>
      <c r="D17" s="1700" t="s">
        <v>3984</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3985</v>
      </c>
      <c r="E19" s="1722"/>
      <c r="F19" s="1722"/>
      <c r="G19" s="1722"/>
      <c r="H19" s="1722"/>
      <c r="I19" s="1722"/>
      <c r="J19" s="4611" t="str">
        <f>IF(J17="No",J14-J15,IF(J17="Yes",J14-J15-J16,"Error"))</f>
        <v>Error</v>
      </c>
      <c r="K19" s="4612"/>
    </row>
    <row r="20" spans="1:13" ht="14.25" customHeight="1">
      <c r="A20" s="1717"/>
      <c r="B20" s="1717"/>
      <c r="C20" s="201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3987</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657" t="s">
        <v>6178</v>
      </c>
      <c r="C31" s="4657"/>
      <c r="D31" s="4657"/>
      <c r="E31" s="4657"/>
      <c r="F31" s="4657"/>
      <c r="G31" s="4658" t="s">
        <v>3989</v>
      </c>
      <c r="H31" s="4659"/>
      <c r="I31" s="4659"/>
      <c r="J31" s="4659"/>
      <c r="K31" s="4660"/>
    </row>
    <row r="32" spans="1:13" ht="56.25" customHeight="1">
      <c r="A32" s="1992"/>
      <c r="B32" s="1735" t="s">
        <v>4017</v>
      </c>
      <c r="C32" s="1736" t="s">
        <v>4013</v>
      </c>
      <c r="D32" s="1736" t="s">
        <v>4012</v>
      </c>
      <c r="E32" s="4661" t="s">
        <v>6103</v>
      </c>
      <c r="F32" s="4662"/>
      <c r="G32" s="1737" t="s">
        <v>3990</v>
      </c>
      <c r="H32" s="1737" t="s">
        <v>3991</v>
      </c>
      <c r="J32" s="1737" t="s">
        <v>3992</v>
      </c>
      <c r="K32" s="1737" t="s">
        <v>3993</v>
      </c>
      <c r="L32" s="4663" t="s">
        <v>3994</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990"/>
      <c r="C53" s="4649" t="s">
        <v>3997</v>
      </c>
      <c r="D53" s="4649"/>
      <c r="E53" s="4649"/>
      <c r="F53" s="4649"/>
      <c r="G53" s="4649"/>
      <c r="H53" s="4649"/>
      <c r="I53" s="4649"/>
      <c r="J53" s="4650"/>
      <c r="K53" s="1730" t="str">
        <f>IF(J17="no",0,IF(J17="yes",J16,"Error"))</f>
        <v>Error</v>
      </c>
      <c r="L53" s="4663"/>
      <c r="M53" s="4663"/>
    </row>
    <row r="54" spans="1:13" ht="15" customHeight="1" thickBot="1">
      <c r="A54" s="1715"/>
      <c r="B54" s="1990"/>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6068</v>
      </c>
      <c r="E57" s="4634" t="s">
        <v>4016</v>
      </c>
      <c r="F57" s="4635"/>
      <c r="G57" s="4636" t="s">
        <v>4001</v>
      </c>
      <c r="H57" s="4637"/>
      <c r="I57" s="4634" t="s">
        <v>4015</v>
      </c>
      <c r="J57" s="4635"/>
      <c r="K57" s="4638"/>
    </row>
    <row r="58" spans="1:13" ht="15" customHeight="1">
      <c r="A58" s="1991"/>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Arbours at Town Branch</v>
      </c>
      <c r="E3" s="4667"/>
      <c r="F3" s="4667"/>
      <c r="G3" s="4667"/>
      <c r="H3" s="4667"/>
      <c r="I3" s="4667"/>
      <c r="J3" s="4707" t="s">
        <v>3975</v>
      </c>
      <c r="K3" s="4708"/>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1731">
        <v>1</v>
      </c>
      <c r="D8" s="1718" t="s">
        <v>3977</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1731">
        <v>2</v>
      </c>
      <c r="D11" s="1718" t="s">
        <v>3979</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3980</v>
      </c>
      <c r="B13" s="4688"/>
      <c r="C13" s="4688"/>
      <c r="D13" s="4688"/>
      <c r="E13" s="4688"/>
      <c r="F13" s="4688"/>
      <c r="G13" s="4688"/>
      <c r="H13" s="4688"/>
      <c r="I13" s="4688"/>
      <c r="J13" s="4688"/>
      <c r="K13" s="4689"/>
    </row>
    <row r="14" spans="1:11" ht="14.25" customHeight="1">
      <c r="A14" s="1697"/>
      <c r="B14" s="1697"/>
      <c r="C14" s="1732">
        <v>3</v>
      </c>
      <c r="D14" s="1722" t="s">
        <v>3981</v>
      </c>
      <c r="E14" s="1722"/>
      <c r="F14" s="1722"/>
      <c r="G14" s="1722"/>
      <c r="H14" s="1722"/>
      <c r="I14" s="1722"/>
      <c r="J14" s="4692"/>
      <c r="K14" s="4693"/>
    </row>
    <row r="15" spans="1:11" ht="14.25" customHeight="1">
      <c r="A15" s="1697"/>
      <c r="B15" s="1697"/>
      <c r="C15" s="1733">
        <v>4</v>
      </c>
      <c r="D15" s="1697" t="s">
        <v>3982</v>
      </c>
      <c r="E15" s="1697"/>
      <c r="F15" s="1697"/>
      <c r="G15" s="1697"/>
      <c r="H15" s="1697"/>
      <c r="I15" s="1697"/>
      <c r="J15" s="4690"/>
      <c r="K15" s="4691"/>
    </row>
    <row r="16" spans="1:11" ht="14.25" customHeight="1">
      <c r="A16" s="1697"/>
      <c r="B16" s="1697"/>
      <c r="C16" s="1733">
        <v>5</v>
      </c>
      <c r="D16" s="1697" t="s">
        <v>3983</v>
      </c>
      <c r="E16" s="1697"/>
      <c r="F16" s="1697"/>
      <c r="G16" s="1697"/>
      <c r="H16" s="1697"/>
      <c r="I16" s="1697"/>
      <c r="J16" s="4690"/>
      <c r="K16" s="4691"/>
    </row>
    <row r="17" spans="1:13" ht="14.25" customHeight="1">
      <c r="A17" s="1717"/>
      <c r="B17" s="1717"/>
      <c r="C17" s="1734">
        <v>6</v>
      </c>
      <c r="D17" s="1700" t="s">
        <v>3984</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3985</v>
      </c>
      <c r="E19" s="1722"/>
      <c r="F19" s="1722"/>
      <c r="G19" s="1722"/>
      <c r="H19" s="1722"/>
      <c r="I19" s="1722"/>
      <c r="J19" s="4611" t="str">
        <f>IF(J17="No",J14-J15,IF(J17="Yes",J14-J15-J16,"Error"))</f>
        <v>Error</v>
      </c>
      <c r="K19" s="4612"/>
    </row>
    <row r="20" spans="1:13" ht="14.25" customHeight="1">
      <c r="A20" s="1717"/>
      <c r="B20" s="1717"/>
      <c r="C20" s="173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3987</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704" t="s">
        <v>3975</v>
      </c>
      <c r="C31" s="4704"/>
      <c r="D31" s="4704"/>
      <c r="E31" s="4704"/>
      <c r="F31" s="4704"/>
      <c r="G31" s="4658" t="s">
        <v>3989</v>
      </c>
      <c r="H31" s="4659"/>
      <c r="I31" s="4659"/>
      <c r="J31" s="4659"/>
      <c r="K31" s="4660"/>
    </row>
    <row r="32" spans="1:13" ht="56.25" customHeight="1">
      <c r="A32" s="1716"/>
      <c r="B32" s="1735" t="s">
        <v>4017</v>
      </c>
      <c r="C32" s="1736" t="s">
        <v>4013</v>
      </c>
      <c r="D32" s="1736" t="s">
        <v>4012</v>
      </c>
      <c r="E32" s="4661" t="s">
        <v>6103</v>
      </c>
      <c r="F32" s="4662"/>
      <c r="G32" s="1737" t="s">
        <v>3990</v>
      </c>
      <c r="H32" s="1737" t="s">
        <v>3991</v>
      </c>
      <c r="J32" s="1737" t="s">
        <v>3992</v>
      </c>
      <c r="K32" s="1737" t="s">
        <v>3993</v>
      </c>
      <c r="L32" s="4663" t="s">
        <v>3994</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729"/>
      <c r="C53" s="4649" t="s">
        <v>3997</v>
      </c>
      <c r="D53" s="4649"/>
      <c r="E53" s="4649"/>
      <c r="F53" s="4649"/>
      <c r="G53" s="4649"/>
      <c r="H53" s="4649"/>
      <c r="I53" s="4649"/>
      <c r="J53" s="4650"/>
      <c r="K53" s="1730" t="str">
        <f>IF(J17="no",0,IF(J17="yes",J16,"Error"))</f>
        <v>Error</v>
      </c>
      <c r="L53" s="4663"/>
      <c r="M53" s="4663"/>
    </row>
    <row r="54" spans="1:13" ht="15" customHeight="1" thickBot="1">
      <c r="A54" s="1715"/>
      <c r="B54" s="1729"/>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6068</v>
      </c>
      <c r="E57" s="4634" t="s">
        <v>4016</v>
      </c>
      <c r="F57" s="4635"/>
      <c r="G57" s="4636" t="s">
        <v>4001</v>
      </c>
      <c r="H57" s="4637"/>
      <c r="I57" s="4634" t="s">
        <v>4015</v>
      </c>
      <c r="J57" s="4635"/>
      <c r="K57" s="4638"/>
    </row>
    <row r="58" spans="1:13" ht="15" customHeight="1">
      <c r="A58" s="1867"/>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Arbours at Town Branch</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60607.0026</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14799584</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4085</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4090</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3124</v>
      </c>
      <c r="F33" s="4709"/>
      <c r="G33" s="4709"/>
      <c r="H33" s="4709"/>
    </row>
    <row r="34" spans="1:11" ht="12.75" customHeight="1">
      <c r="C34" s="1850"/>
      <c r="D34" s="1848" t="s">
        <v>2986</v>
      </c>
      <c r="E34" s="4712" t="s">
        <v>3125</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3124</v>
      </c>
      <c r="F38" s="4709"/>
      <c r="G38" s="4709"/>
      <c r="H38" s="4709"/>
    </row>
    <row r="39" spans="1:11" ht="12.75" customHeight="1">
      <c r="C39" s="1850"/>
      <c r="D39" s="1848" t="s">
        <v>2986</v>
      </c>
      <c r="E39" s="4712" t="s">
        <v>3125</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3124</v>
      </c>
      <c r="F43" s="4709"/>
      <c r="G43" s="4709"/>
      <c r="H43" s="4709"/>
    </row>
    <row r="44" spans="1:11" ht="12.75" customHeight="1">
      <c r="C44" s="1850"/>
      <c r="D44" s="1848" t="s">
        <v>2986</v>
      </c>
      <c r="E44" s="4712" t="s">
        <v>3125</v>
      </c>
      <c r="F44" s="4712"/>
      <c r="G44" s="4712"/>
      <c r="H44" s="4712"/>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3124</v>
      </c>
      <c r="F50" s="4709"/>
      <c r="G50" s="4709"/>
      <c r="H50" s="4709"/>
    </row>
    <row r="51" spans="1:11" ht="12.75" customHeight="1">
      <c r="C51" s="1850"/>
      <c r="D51" s="1847" t="s">
        <v>2986</v>
      </c>
      <c r="E51" s="4713" t="s">
        <v>3125</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3124</v>
      </c>
      <c r="F55" s="4709"/>
      <c r="G55" s="4709"/>
      <c r="H55" s="4709"/>
    </row>
    <row r="56" spans="1:11" ht="12.75" customHeight="1">
      <c r="C56" s="1850"/>
      <c r="D56" s="1848" t="s">
        <v>2986</v>
      </c>
      <c r="E56" s="4712" t="s">
        <v>3125</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3124</v>
      </c>
      <c r="F60" s="4709"/>
      <c r="G60" s="4709"/>
      <c r="H60" s="4709"/>
    </row>
    <row r="61" spans="1:11" ht="12.75" customHeight="1">
      <c r="C61" s="1850"/>
      <c r="D61" s="1848" t="s">
        <v>2986</v>
      </c>
      <c r="E61" s="4712" t="s">
        <v>3125</v>
      </c>
      <c r="F61" s="4712"/>
      <c r="G61" s="4712"/>
      <c r="H61" s="4712"/>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3124</v>
      </c>
      <c r="F67" s="4709"/>
      <c r="G67" s="4709"/>
      <c r="H67" s="4709"/>
    </row>
    <row r="68" spans="1:8" ht="12.75" customHeight="1">
      <c r="C68" s="1850"/>
      <c r="D68" s="1847" t="s">
        <v>2986</v>
      </c>
      <c r="E68" s="4713" t="s">
        <v>3125</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3124</v>
      </c>
      <c r="F72" s="4709"/>
      <c r="G72" s="4709"/>
      <c r="H72" s="4709"/>
    </row>
    <row r="73" spans="1:8" ht="12.75" customHeight="1">
      <c r="C73" s="1850"/>
      <c r="D73" s="1848" t="s">
        <v>2986</v>
      </c>
      <c r="E73" s="4712" t="s">
        <v>3125</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3124</v>
      </c>
      <c r="F77" s="4709"/>
      <c r="G77" s="4709"/>
      <c r="H77" s="4709"/>
    </row>
    <row r="78" spans="1:8" ht="12.75" customHeight="1">
      <c r="C78" s="1850"/>
      <c r="D78" s="1848" t="s">
        <v>2986</v>
      </c>
      <c r="E78" s="4712" t="s">
        <v>3125</v>
      </c>
      <c r="F78" s="4712"/>
      <c r="G78" s="4712"/>
      <c r="H78" s="4712"/>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3124</v>
      </c>
      <c r="F84" s="4709"/>
      <c r="G84" s="4709"/>
      <c r="H84" s="4709"/>
    </row>
    <row r="85" spans="3:8" ht="12.75" customHeight="1">
      <c r="C85" s="1850"/>
      <c r="D85" s="1847" t="s">
        <v>2986</v>
      </c>
      <c r="E85" s="4713" t="s">
        <v>3125</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3124</v>
      </c>
      <c r="F89" s="4709"/>
      <c r="G89" s="4709"/>
      <c r="H89" s="4709"/>
    </row>
    <row r="90" spans="3:8" ht="12.75" customHeight="1">
      <c r="C90" s="1850"/>
      <c r="D90" s="1848" t="s">
        <v>2986</v>
      </c>
      <c r="E90" s="4712" t="s">
        <v>3125</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3124</v>
      </c>
      <c r="F94" s="4709"/>
      <c r="G94" s="4709"/>
      <c r="H94" s="4709"/>
    </row>
    <row r="95" spans="3:8" ht="12.75" customHeight="1">
      <c r="C95" s="1850"/>
      <c r="D95" s="1848" t="s">
        <v>2986</v>
      </c>
      <c r="E95" s="4712" t="s">
        <v>3125</v>
      </c>
      <c r="F95" s="4712"/>
      <c r="G95" s="4712"/>
      <c r="H95" s="4712"/>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4091</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3124</v>
      </c>
      <c r="F112" s="4709"/>
      <c r="G112" s="4709"/>
      <c r="H112" s="4709"/>
    </row>
    <row r="113" spans="1:8" ht="12.75" customHeight="1">
      <c r="C113" s="1850"/>
      <c r="D113" s="1848" t="s">
        <v>2986</v>
      </c>
      <c r="E113" s="4712" t="s">
        <v>3125</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3124</v>
      </c>
      <c r="F117" s="4709"/>
      <c r="G117" s="4709"/>
      <c r="H117" s="4709"/>
    </row>
    <row r="118" spans="1:8" ht="12.75" customHeight="1">
      <c r="C118" s="1850"/>
      <c r="D118" s="1848" t="s">
        <v>2986</v>
      </c>
      <c r="E118" s="4712" t="s">
        <v>3125</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3124</v>
      </c>
      <c r="F122" s="4709"/>
      <c r="G122" s="4709"/>
      <c r="H122" s="4709"/>
    </row>
    <row r="123" spans="1:8" ht="12.75" customHeight="1">
      <c r="C123" s="1850"/>
      <c r="D123" s="1848" t="s">
        <v>2986</v>
      </c>
      <c r="E123" s="4712" t="s">
        <v>3125</v>
      </c>
      <c r="F123" s="4712"/>
      <c r="G123" s="4712"/>
      <c r="H123" s="4712"/>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3124</v>
      </c>
      <c r="F129" s="4709"/>
      <c r="G129" s="4709"/>
      <c r="H129" s="4709"/>
    </row>
    <row r="130" spans="1:8" ht="12.75" customHeight="1">
      <c r="C130" s="1850"/>
      <c r="D130" s="1847" t="s">
        <v>2986</v>
      </c>
      <c r="E130" s="4713" t="s">
        <v>3125</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3124</v>
      </c>
      <c r="F134" s="4709"/>
      <c r="G134" s="4709"/>
      <c r="H134" s="4709"/>
    </row>
    <row r="135" spans="1:8" ht="12.75" customHeight="1">
      <c r="C135" s="1850"/>
      <c r="D135" s="1848" t="s">
        <v>2986</v>
      </c>
      <c r="E135" s="4712" t="s">
        <v>3125</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3124</v>
      </c>
      <c r="F139" s="4709"/>
      <c r="G139" s="4709"/>
      <c r="H139" s="4709"/>
    </row>
    <row r="140" spans="1:8" ht="12.75" customHeight="1">
      <c r="C140" s="1850"/>
      <c r="D140" s="1848" t="s">
        <v>2986</v>
      </c>
      <c r="E140" s="4712" t="s">
        <v>3125</v>
      </c>
      <c r="F140" s="4712"/>
      <c r="G140" s="4712"/>
      <c r="H140" s="4712"/>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3124</v>
      </c>
      <c r="F146" s="4709"/>
      <c r="G146" s="4709"/>
      <c r="H146" s="4709"/>
    </row>
    <row r="147" spans="1:8" ht="12.75" customHeight="1">
      <c r="C147" s="1850"/>
      <c r="D147" s="1847" t="s">
        <v>2986</v>
      </c>
      <c r="E147" s="4713" t="s">
        <v>3125</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3124</v>
      </c>
      <c r="F151" s="4709"/>
      <c r="G151" s="4709"/>
      <c r="H151" s="4709"/>
    </row>
    <row r="152" spans="1:8" ht="12.75" customHeight="1">
      <c r="C152" s="1850"/>
      <c r="D152" s="1848" t="s">
        <v>2986</v>
      </c>
      <c r="E152" s="4712" t="s">
        <v>3125</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3124</v>
      </c>
      <c r="F156" s="4709"/>
      <c r="G156" s="4709"/>
      <c r="H156" s="4709"/>
    </row>
    <row r="157" spans="1:8" ht="12.75" customHeight="1">
      <c r="C157" s="1850"/>
      <c r="D157" s="1848" t="s">
        <v>2986</v>
      </c>
      <c r="E157" s="4712" t="s">
        <v>3125</v>
      </c>
      <c r="F157" s="4712"/>
      <c r="G157" s="4712"/>
      <c r="H157" s="4712"/>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3124</v>
      </c>
      <c r="F163" s="4709"/>
      <c r="G163" s="4709"/>
      <c r="H163" s="4709"/>
    </row>
    <row r="164" spans="1:8" ht="12.75" customHeight="1">
      <c r="C164" s="1850"/>
      <c r="D164" s="1847" t="s">
        <v>2986</v>
      </c>
      <c r="E164" s="4713" t="s">
        <v>3125</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3124</v>
      </c>
      <c r="F168" s="4709"/>
      <c r="G168" s="4709"/>
      <c r="H168" s="4709"/>
    </row>
    <row r="169" spans="1:8" ht="12.75" customHeight="1">
      <c r="C169" s="1850"/>
      <c r="D169" s="1848" t="s">
        <v>2986</v>
      </c>
      <c r="E169" s="4712" t="s">
        <v>3125</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3124</v>
      </c>
      <c r="F173" s="4709"/>
      <c r="G173" s="4709"/>
      <c r="H173" s="4709"/>
    </row>
    <row r="174" spans="1:8" ht="12.75" customHeight="1">
      <c r="C174" s="1850"/>
      <c r="D174" s="1848" t="s">
        <v>2986</v>
      </c>
      <c r="E174" s="4712" t="s">
        <v>3125</v>
      </c>
      <c r="F174" s="4712"/>
      <c r="G174" s="4712"/>
      <c r="H174" s="4712"/>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4092</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3124</v>
      </c>
      <c r="F191" s="4709"/>
      <c r="G191" s="4709"/>
      <c r="H191" s="4709"/>
    </row>
    <row r="192" spans="1:11" ht="12.75" customHeight="1">
      <c r="C192" s="1850"/>
      <c r="D192" s="1848" t="s">
        <v>2986</v>
      </c>
      <c r="E192" s="4712" t="s">
        <v>3125</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3124</v>
      </c>
      <c r="F196" s="4709"/>
      <c r="G196" s="4709"/>
      <c r="H196" s="4709"/>
    </row>
    <row r="197" spans="1:8" ht="12.75" customHeight="1">
      <c r="C197" s="1850"/>
      <c r="D197" s="1848" t="s">
        <v>2986</v>
      </c>
      <c r="E197" s="4712" t="s">
        <v>3125</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3124</v>
      </c>
      <c r="F201" s="4709"/>
      <c r="G201" s="4709"/>
      <c r="H201" s="4709"/>
    </row>
    <row r="202" spans="1:8" ht="12.75" customHeight="1">
      <c r="C202" s="1850"/>
      <c r="D202" s="1848" t="s">
        <v>2986</v>
      </c>
      <c r="E202" s="4712" t="s">
        <v>3125</v>
      </c>
      <c r="F202" s="4712"/>
      <c r="G202" s="4712"/>
      <c r="H202" s="4712"/>
    </row>
    <row r="203" spans="1:8" ht="6" customHeight="1">
      <c r="D203" s="821"/>
      <c r="E203" s="1846"/>
      <c r="F203" s="1846"/>
      <c r="G203" s="1846"/>
      <c r="H203" s="1846"/>
    </row>
    <row r="204" spans="1:8">
      <c r="A204" s="792" t="s">
        <v>2982</v>
      </c>
      <c r="B204" s="819">
        <f>IF('Part V-Revenues &amp; Expenses'!$L$60=0,"",'Part V-Revenues &amp; Expenses'!$L$60)</f>
        <v>2</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3124</v>
      </c>
      <c r="F208" s="4709"/>
      <c r="G208" s="4709"/>
      <c r="H208" s="4709"/>
    </row>
    <row r="209" spans="1:8" ht="12.75" customHeight="1">
      <c r="C209" s="1850"/>
      <c r="D209" s="1847" t="s">
        <v>2986</v>
      </c>
      <c r="E209" s="4713" t="s">
        <v>3125</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3124</v>
      </c>
      <c r="F213" s="4709"/>
      <c r="G213" s="4709"/>
      <c r="H213" s="4709"/>
    </row>
    <row r="214" spans="1:8" ht="12.75" customHeight="1">
      <c r="C214" s="1850"/>
      <c r="D214" s="1848" t="s">
        <v>2986</v>
      </c>
      <c r="E214" s="4712" t="s">
        <v>3125</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3124</v>
      </c>
      <c r="F218" s="4709"/>
      <c r="G218" s="4709"/>
      <c r="H218" s="4709"/>
    </row>
    <row r="219" spans="1:8" ht="12.75" customHeight="1">
      <c r="C219" s="1850"/>
      <c r="D219" s="1848" t="s">
        <v>2986</v>
      </c>
      <c r="E219" s="4712" t="s">
        <v>3125</v>
      </c>
      <c r="F219" s="4712"/>
      <c r="G219" s="4712"/>
      <c r="H219" s="4712"/>
    </row>
    <row r="220" spans="1:8" ht="6" customHeight="1">
      <c r="D220" s="821"/>
      <c r="E220" s="1846"/>
      <c r="F220" s="1846"/>
      <c r="G220" s="1846"/>
      <c r="H220" s="1846"/>
    </row>
    <row r="221" spans="1:8">
      <c r="A221" s="792" t="s">
        <v>2982</v>
      </c>
      <c r="B221" s="819">
        <f>IF('Part V-Revenues &amp; Expenses'!$M$60=0,"",'Part V-Revenues &amp; Expenses'!$M$60)</f>
        <v>3</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3124</v>
      </c>
      <c r="F225" s="4709"/>
      <c r="G225" s="4709"/>
      <c r="H225" s="4709"/>
    </row>
    <row r="226" spans="1:8" ht="12.75" customHeight="1">
      <c r="C226" s="1850"/>
      <c r="D226" s="1847" t="s">
        <v>2986</v>
      </c>
      <c r="E226" s="4713" t="s">
        <v>3125</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3124</v>
      </c>
      <c r="F230" s="4709"/>
      <c r="G230" s="4709"/>
      <c r="H230" s="4709"/>
    </row>
    <row r="231" spans="1:8" ht="12.75" customHeight="1">
      <c r="C231" s="1850"/>
      <c r="D231" s="1848" t="s">
        <v>2986</v>
      </c>
      <c r="E231" s="4712" t="s">
        <v>3125</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3124</v>
      </c>
      <c r="F235" s="4709"/>
      <c r="G235" s="4709"/>
      <c r="H235" s="4709"/>
    </row>
    <row r="236" spans="1:8" ht="12.75" customHeight="1">
      <c r="C236" s="1850"/>
      <c r="D236" s="1848" t="s">
        <v>2986</v>
      </c>
      <c r="E236" s="4712" t="s">
        <v>3125</v>
      </c>
      <c r="F236" s="4712"/>
      <c r="G236" s="4712"/>
      <c r="H236" s="4712"/>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3124</v>
      </c>
      <c r="F242" s="4709"/>
      <c r="G242" s="4709"/>
      <c r="H242" s="4709"/>
    </row>
    <row r="243" spans="1:8" ht="12.75" customHeight="1">
      <c r="C243" s="1850"/>
      <c r="D243" s="1847" t="s">
        <v>2986</v>
      </c>
      <c r="E243" s="4713" t="s">
        <v>3125</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3124</v>
      </c>
      <c r="F247" s="4709"/>
      <c r="G247" s="4709"/>
      <c r="H247" s="4709"/>
    </row>
    <row r="248" spans="1:8" ht="12.75" customHeight="1">
      <c r="C248" s="1850"/>
      <c r="D248" s="1848" t="s">
        <v>2986</v>
      </c>
      <c r="E248" s="4712" t="s">
        <v>3125</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3124</v>
      </c>
      <c r="F252" s="4709"/>
      <c r="G252" s="4709"/>
      <c r="H252" s="4709"/>
    </row>
    <row r="253" spans="1:8" ht="12.75" customHeight="1">
      <c r="C253" s="1850"/>
      <c r="D253" s="1848" t="s">
        <v>2986</v>
      </c>
      <c r="E253" s="4712" t="s">
        <v>3125</v>
      </c>
      <c r="F253" s="4712"/>
      <c r="G253" s="4712"/>
      <c r="H253" s="4712"/>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4089</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3124</v>
      </c>
      <c r="F270" s="4709"/>
      <c r="G270" s="4709"/>
      <c r="H270" s="4709"/>
    </row>
    <row r="271" spans="1:11" ht="12.75" customHeight="1">
      <c r="C271" s="1850"/>
      <c r="D271" s="1848" t="s">
        <v>2986</v>
      </c>
      <c r="E271" s="4712" t="s">
        <v>3125</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3124</v>
      </c>
      <c r="F275" s="4709"/>
      <c r="G275" s="4709"/>
      <c r="H275" s="4709"/>
    </row>
    <row r="276" spans="1:8" ht="12.75" customHeight="1">
      <c r="C276" s="1850"/>
      <c r="D276" s="1848" t="s">
        <v>2986</v>
      </c>
      <c r="E276" s="4712" t="s">
        <v>3125</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3124</v>
      </c>
      <c r="F280" s="4709"/>
      <c r="G280" s="4709"/>
      <c r="H280" s="4709"/>
    </row>
    <row r="281" spans="1:8" ht="12.75" customHeight="1">
      <c r="C281" s="1850"/>
      <c r="D281" s="1848" t="s">
        <v>2986</v>
      </c>
      <c r="E281" s="4712" t="s">
        <v>3125</v>
      </c>
      <c r="F281" s="4712"/>
      <c r="G281" s="4712"/>
      <c r="H281" s="4712"/>
    </row>
    <row r="282" spans="1:8" ht="6" customHeight="1">
      <c r="D282" s="821"/>
      <c r="E282" s="1846"/>
      <c r="F282" s="1846"/>
      <c r="G282" s="1846"/>
      <c r="H282" s="1846"/>
    </row>
    <row r="283" spans="1:8">
      <c r="A283" s="792" t="s">
        <v>2982</v>
      </c>
      <c r="B283" s="819">
        <f>IF('Part V-Revenues &amp; Expenses'!$L$59=0,"",'Part V-Revenues &amp; Expenses'!$L$59)</f>
        <v>3</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3124</v>
      </c>
      <c r="F287" s="4709"/>
      <c r="G287" s="4709"/>
      <c r="H287" s="4709"/>
    </row>
    <row r="288" spans="1:8" ht="12.75" customHeight="1">
      <c r="C288" s="1850"/>
      <c r="D288" s="1847" t="s">
        <v>2986</v>
      </c>
      <c r="E288" s="4713" t="s">
        <v>3125</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3124</v>
      </c>
      <c r="F292" s="4709"/>
      <c r="G292" s="4709"/>
      <c r="H292" s="4709"/>
    </row>
    <row r="293" spans="1:8" ht="12.75" customHeight="1">
      <c r="C293" s="1850"/>
      <c r="D293" s="1848" t="s">
        <v>2986</v>
      </c>
      <c r="E293" s="4712" t="s">
        <v>3125</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3124</v>
      </c>
      <c r="F297" s="4709"/>
      <c r="G297" s="4709"/>
      <c r="H297" s="4709"/>
    </row>
    <row r="298" spans="1:8" ht="12.75" customHeight="1">
      <c r="C298" s="1850"/>
      <c r="D298" s="1848" t="s">
        <v>2986</v>
      </c>
      <c r="E298" s="4712" t="s">
        <v>3125</v>
      </c>
      <c r="F298" s="4712"/>
      <c r="G298" s="4712"/>
      <c r="H298" s="4712"/>
    </row>
    <row r="299" spans="1:8" ht="6" customHeight="1">
      <c r="D299" s="821"/>
      <c r="E299" s="1846"/>
      <c r="F299" s="1846"/>
      <c r="G299" s="1846"/>
      <c r="H299" s="1846"/>
    </row>
    <row r="300" spans="1:8">
      <c r="A300" s="792" t="s">
        <v>2982</v>
      </c>
      <c r="B300" s="819">
        <f>IF('Part V-Revenues &amp; Expenses'!$M$59=0,"",'Part V-Revenues &amp; Expenses'!$M$59)</f>
        <v>5</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3124</v>
      </c>
      <c r="F304" s="4709"/>
      <c r="G304" s="4709"/>
      <c r="H304" s="4709"/>
    </row>
    <row r="305" spans="1:8" ht="12.75" customHeight="1">
      <c r="C305" s="1850"/>
      <c r="D305" s="1847" t="s">
        <v>2986</v>
      </c>
      <c r="E305" s="4713" t="s">
        <v>3125</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3124</v>
      </c>
      <c r="F309" s="4709"/>
      <c r="G309" s="4709"/>
      <c r="H309" s="4709"/>
    </row>
    <row r="310" spans="1:8" ht="12.75" customHeight="1">
      <c r="C310" s="1850"/>
      <c r="D310" s="1848" t="s">
        <v>2986</v>
      </c>
      <c r="E310" s="4712" t="s">
        <v>3125</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3124</v>
      </c>
      <c r="F314" s="4709"/>
      <c r="G314" s="4709"/>
      <c r="H314" s="4709"/>
    </row>
    <row r="315" spans="1:8" ht="12.75" customHeight="1">
      <c r="C315" s="1850"/>
      <c r="D315" s="1848" t="s">
        <v>2986</v>
      </c>
      <c r="E315" s="4712" t="s">
        <v>3125</v>
      </c>
      <c r="F315" s="4712"/>
      <c r="G315" s="4712"/>
      <c r="H315" s="4712"/>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3124</v>
      </c>
      <c r="F321" s="4709"/>
      <c r="G321" s="4709"/>
      <c r="H321" s="4709"/>
    </row>
    <row r="322" spans="1:11" ht="12.75" customHeight="1">
      <c r="C322" s="1850"/>
      <c r="D322" s="1847" t="s">
        <v>2986</v>
      </c>
      <c r="E322" s="4713" t="s">
        <v>3125</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3124</v>
      </c>
      <c r="F326" s="4709"/>
      <c r="G326" s="4709"/>
      <c r="H326" s="4709"/>
    </row>
    <row r="327" spans="1:11" ht="12.75" customHeight="1">
      <c r="C327" s="1850"/>
      <c r="D327" s="1848" t="s">
        <v>2986</v>
      </c>
      <c r="E327" s="4712" t="s">
        <v>3125</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3124</v>
      </c>
      <c r="F331" s="4709"/>
      <c r="G331" s="4709"/>
      <c r="H331" s="4709"/>
    </row>
    <row r="332" spans="1:11" ht="12.75" customHeight="1">
      <c r="C332" s="1850"/>
      <c r="D332" s="1848" t="s">
        <v>2986</v>
      </c>
      <c r="E332" s="4712" t="s">
        <v>3125</v>
      </c>
      <c r="F332" s="4712"/>
      <c r="G332" s="4712"/>
      <c r="H332" s="4712"/>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4093</v>
      </c>
      <c r="B344" s="4714"/>
      <c r="C344" s="4714"/>
      <c r="D344" s="4714"/>
      <c r="E344" s="4714"/>
      <c r="F344" s="4714"/>
      <c r="G344" s="4714"/>
      <c r="H344" s="4714"/>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3124</v>
      </c>
      <c r="F350" s="4709"/>
      <c r="G350" s="4709"/>
      <c r="H350" s="4709"/>
    </row>
    <row r="351" spans="1:8" ht="12.75" customHeight="1">
      <c r="C351" s="1850"/>
      <c r="D351" s="1848" t="s">
        <v>2986</v>
      </c>
      <c r="E351" s="4712" t="s">
        <v>3125</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3124</v>
      </c>
      <c r="F355" s="4709"/>
      <c r="G355" s="4709"/>
      <c r="H355" s="4709"/>
    </row>
    <row r="356" spans="1:8" ht="12.75" customHeight="1">
      <c r="C356" s="1850"/>
      <c r="D356" s="1848" t="s">
        <v>2986</v>
      </c>
      <c r="E356" s="4712" t="s">
        <v>3125</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3124</v>
      </c>
      <c r="F360" s="4709"/>
      <c r="G360" s="4709"/>
      <c r="H360" s="4709"/>
    </row>
    <row r="361" spans="1:8" ht="12.75" customHeight="1">
      <c r="C361" s="1850"/>
      <c r="D361" s="1848" t="s">
        <v>2986</v>
      </c>
      <c r="E361" s="4712" t="s">
        <v>3125</v>
      </c>
      <c r="F361" s="4712"/>
      <c r="G361" s="4712"/>
      <c r="H361" s="4712"/>
    </row>
    <row r="362" spans="1:8" ht="6" customHeight="1">
      <c r="D362" s="821"/>
      <c r="E362" s="1846"/>
      <c r="F362" s="1846"/>
      <c r="G362" s="1846"/>
      <c r="H362" s="1846"/>
    </row>
    <row r="363" spans="1:8">
      <c r="A363" s="792" t="s">
        <v>2982</v>
      </c>
      <c r="B363" s="819">
        <f>IF('Part V-Revenues &amp; Expenses'!$L$58=0,"",'Part V-Revenues &amp; Expenses'!$L$58)</f>
        <v>17</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3124</v>
      </c>
      <c r="F367" s="4709"/>
      <c r="G367" s="4709"/>
      <c r="H367" s="4709"/>
    </row>
    <row r="368" spans="1:8" ht="12.75" customHeight="1">
      <c r="C368" s="1850"/>
      <c r="D368" s="1847" t="s">
        <v>2986</v>
      </c>
      <c r="E368" s="4713" t="s">
        <v>3125</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3124</v>
      </c>
      <c r="F372" s="4709"/>
      <c r="G372" s="4709"/>
      <c r="H372" s="4709"/>
    </row>
    <row r="373" spans="1:8" ht="12.75" customHeight="1">
      <c r="C373" s="1850"/>
      <c r="D373" s="1848" t="s">
        <v>2986</v>
      </c>
      <c r="E373" s="4712" t="s">
        <v>3125</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3124</v>
      </c>
      <c r="F377" s="4709"/>
      <c r="G377" s="4709"/>
      <c r="H377" s="4709"/>
    </row>
    <row r="378" spans="1:8" ht="12.75" customHeight="1">
      <c r="C378" s="1850"/>
      <c r="D378" s="1848" t="s">
        <v>2986</v>
      </c>
      <c r="E378" s="4712" t="s">
        <v>3125</v>
      </c>
      <c r="F378" s="4712"/>
      <c r="G378" s="4712"/>
      <c r="H378" s="4712"/>
    </row>
    <row r="379" spans="1:8" ht="6" customHeight="1">
      <c r="D379" s="821"/>
      <c r="E379" s="1846"/>
      <c r="F379" s="1846"/>
      <c r="G379" s="1846"/>
      <c r="H379" s="1846"/>
    </row>
    <row r="380" spans="1:8">
      <c r="A380" s="792" t="s">
        <v>2982</v>
      </c>
      <c r="B380" s="819">
        <f>IF('Part V-Revenues &amp; Expenses'!$M$58=0,"",'Part V-Revenues &amp; Expenses'!$M$58)</f>
        <v>29</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3124</v>
      </c>
      <c r="F384" s="4709"/>
      <c r="G384" s="4709"/>
      <c r="H384" s="4709"/>
    </row>
    <row r="385" spans="1:8" ht="12.75" customHeight="1">
      <c r="C385" s="1850"/>
      <c r="D385" s="1847" t="s">
        <v>2986</v>
      </c>
      <c r="E385" s="4713" t="s">
        <v>3125</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3124</v>
      </c>
      <c r="F389" s="4709"/>
      <c r="G389" s="4709"/>
      <c r="H389" s="4709"/>
    </row>
    <row r="390" spans="1:8" ht="12.75" customHeight="1">
      <c r="C390" s="1850"/>
      <c r="D390" s="1848" t="s">
        <v>2986</v>
      </c>
      <c r="E390" s="4712" t="s">
        <v>3125</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3124</v>
      </c>
      <c r="F394" s="4709"/>
      <c r="G394" s="4709"/>
      <c r="H394" s="4709"/>
    </row>
    <row r="395" spans="1:8" ht="12.75" customHeight="1">
      <c r="C395" s="1850"/>
      <c r="D395" s="1848" t="s">
        <v>2986</v>
      </c>
      <c r="E395" s="4712" t="s">
        <v>3125</v>
      </c>
      <c r="F395" s="4712"/>
      <c r="G395" s="4712"/>
      <c r="H395" s="4712"/>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3124</v>
      </c>
      <c r="F401" s="4709"/>
      <c r="G401" s="4709"/>
      <c r="H401" s="4709"/>
    </row>
    <row r="402" spans="1:11" ht="12.75" customHeight="1">
      <c r="C402" s="1850"/>
      <c r="D402" s="1847" t="s">
        <v>2986</v>
      </c>
      <c r="E402" s="4713" t="s">
        <v>3125</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3124</v>
      </c>
      <c r="F406" s="4709"/>
      <c r="G406" s="4709"/>
      <c r="H406" s="4709"/>
    </row>
    <row r="407" spans="1:11" ht="12.75" customHeight="1">
      <c r="C407" s="1850"/>
      <c r="D407" s="1848" t="s">
        <v>2986</v>
      </c>
      <c r="E407" s="4712" t="s">
        <v>3125</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3124</v>
      </c>
      <c r="F411" s="4709"/>
      <c r="G411" s="4709"/>
      <c r="H411" s="4709"/>
    </row>
    <row r="412" spans="1:11" ht="12.75" customHeight="1">
      <c r="C412" s="1850"/>
      <c r="D412" s="1848" t="s">
        <v>2986</v>
      </c>
      <c r="E412" s="4712" t="s">
        <v>3125</v>
      </c>
      <c r="F412" s="4712"/>
      <c r="G412" s="4712"/>
      <c r="H412" s="4712"/>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4094</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3124</v>
      </c>
      <c r="F429" s="4709"/>
      <c r="G429" s="4709"/>
      <c r="H429" s="4709"/>
    </row>
    <row r="430" spans="1:8" ht="12.75" customHeight="1">
      <c r="C430" s="1850"/>
      <c r="D430" s="1848" t="s">
        <v>2986</v>
      </c>
      <c r="E430" s="4712" t="s">
        <v>3125</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3124</v>
      </c>
      <c r="F434" s="4709"/>
      <c r="G434" s="4709"/>
      <c r="H434" s="4709"/>
    </row>
    <row r="435" spans="1:8" ht="12.75" customHeight="1">
      <c r="C435" s="1850"/>
      <c r="D435" s="1848" t="s">
        <v>2986</v>
      </c>
      <c r="E435" s="4712" t="s">
        <v>3125</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3124</v>
      </c>
      <c r="F439" s="4709"/>
      <c r="G439" s="4709"/>
      <c r="H439" s="4709"/>
    </row>
    <row r="440" spans="1:8" ht="12.75" customHeight="1">
      <c r="C440" s="1850"/>
      <c r="D440" s="1848" t="s">
        <v>2986</v>
      </c>
      <c r="E440" s="4712" t="s">
        <v>3125</v>
      </c>
      <c r="F440" s="4712"/>
      <c r="G440" s="4712"/>
      <c r="H440" s="4712"/>
    </row>
    <row r="441" spans="1:8" ht="6" customHeight="1">
      <c r="D441" s="821"/>
      <c r="E441" s="1846"/>
      <c r="F441" s="1846"/>
      <c r="G441" s="1846"/>
      <c r="H441" s="1846"/>
    </row>
    <row r="442" spans="1:8">
      <c r="A442" s="792" t="s">
        <v>2982</v>
      </c>
      <c r="B442" s="819">
        <f>IF('Part V-Revenues &amp; Expenses'!$L$57=0,"",'Part V-Revenues &amp; Expenses'!$L$57)</f>
        <v>2</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3124</v>
      </c>
      <c r="F446" s="4709"/>
      <c r="G446" s="4709"/>
      <c r="H446" s="4709"/>
    </row>
    <row r="447" spans="1:8" ht="12.75" customHeight="1">
      <c r="C447" s="1850"/>
      <c r="D447" s="1847" t="s">
        <v>2986</v>
      </c>
      <c r="E447" s="4713" t="s">
        <v>3125</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3124</v>
      </c>
      <c r="F451" s="4709"/>
      <c r="G451" s="4709"/>
      <c r="H451" s="4709"/>
    </row>
    <row r="452" spans="1:8" ht="12.75" customHeight="1">
      <c r="C452" s="1850"/>
      <c r="D452" s="1848" t="s">
        <v>2986</v>
      </c>
      <c r="E452" s="4712" t="s">
        <v>3125</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3124</v>
      </c>
      <c r="F456" s="4709"/>
      <c r="G456" s="4709"/>
      <c r="H456" s="4709"/>
    </row>
    <row r="457" spans="1:8" ht="12.75" customHeight="1">
      <c r="C457" s="1850"/>
      <c r="D457" s="1848" t="s">
        <v>2986</v>
      </c>
      <c r="E457" s="4712" t="s">
        <v>3125</v>
      </c>
      <c r="F457" s="4712"/>
      <c r="G457" s="4712"/>
      <c r="H457" s="4712"/>
    </row>
    <row r="458" spans="1:8" ht="6" customHeight="1">
      <c r="D458" s="821"/>
      <c r="E458" s="1846"/>
      <c r="F458" s="1846"/>
      <c r="G458" s="1846"/>
      <c r="H458" s="1846"/>
    </row>
    <row r="459" spans="1:8">
      <c r="A459" s="792" t="s">
        <v>2982</v>
      </c>
      <c r="B459" s="819">
        <f>IF('Part V-Revenues &amp; Expenses'!$M$57=0,"",'Part V-Revenues &amp; Expenses'!$M$57)</f>
        <v>3</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3124</v>
      </c>
      <c r="F463" s="4709"/>
      <c r="G463" s="4709"/>
      <c r="H463" s="4709"/>
    </row>
    <row r="464" spans="1:8" ht="12.75" customHeight="1">
      <c r="C464" s="1850"/>
      <c r="D464" s="1847" t="s">
        <v>2986</v>
      </c>
      <c r="E464" s="4713" t="s">
        <v>3125</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3124</v>
      </c>
      <c r="F468" s="4709"/>
      <c r="G468" s="4709"/>
      <c r="H468" s="4709"/>
    </row>
    <row r="469" spans="1:8" ht="12.75" customHeight="1">
      <c r="C469" s="1850"/>
      <c r="D469" s="1848" t="s">
        <v>2986</v>
      </c>
      <c r="E469" s="4712" t="s">
        <v>3125</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3124</v>
      </c>
      <c r="F473" s="4709"/>
      <c r="G473" s="4709"/>
      <c r="H473" s="4709"/>
    </row>
    <row r="474" spans="1:8" ht="12.75" customHeight="1">
      <c r="C474" s="1850"/>
      <c r="D474" s="1848" t="s">
        <v>2986</v>
      </c>
      <c r="E474" s="4712" t="s">
        <v>3125</v>
      </c>
      <c r="F474" s="4712"/>
      <c r="G474" s="4712"/>
      <c r="H474" s="4712"/>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3124</v>
      </c>
      <c r="F480" s="4709"/>
      <c r="G480" s="4709"/>
      <c r="H480" s="4709"/>
    </row>
    <row r="481" spans="1:11" ht="12.75" customHeight="1">
      <c r="C481" s="1850"/>
      <c r="D481" s="1847" t="s">
        <v>2986</v>
      </c>
      <c r="E481" s="4713" t="s">
        <v>3125</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3124</v>
      </c>
      <c r="F485" s="4709"/>
      <c r="G485" s="4709"/>
      <c r="H485" s="4709"/>
    </row>
    <row r="486" spans="1:11" ht="12.75" customHeight="1">
      <c r="C486" s="1850"/>
      <c r="D486" s="1848" t="s">
        <v>2986</v>
      </c>
      <c r="E486" s="4712" t="s">
        <v>3125</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3124</v>
      </c>
      <c r="F490" s="4709"/>
      <c r="G490" s="4709"/>
      <c r="H490" s="4709"/>
    </row>
    <row r="491" spans="1:11" ht="12.75" customHeight="1">
      <c r="C491" s="1850"/>
      <c r="D491" s="1848" t="s">
        <v>2986</v>
      </c>
      <c r="E491" s="4712" t="s">
        <v>3125</v>
      </c>
      <c r="F491" s="4712"/>
      <c r="G491" s="4712"/>
      <c r="H491" s="4712"/>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4095</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3124</v>
      </c>
      <c r="F508" s="4709"/>
      <c r="G508" s="4709"/>
      <c r="H508" s="4709"/>
    </row>
    <row r="509" spans="1:8" ht="12.75" customHeight="1">
      <c r="C509" s="1850"/>
      <c r="D509" s="1848" t="s">
        <v>2986</v>
      </c>
      <c r="E509" s="4712" t="s">
        <v>3125</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3124</v>
      </c>
      <c r="F513" s="4709"/>
      <c r="G513" s="4709"/>
      <c r="H513" s="4709"/>
    </row>
    <row r="514" spans="1:8" ht="12.75" customHeight="1">
      <c r="C514" s="1850"/>
      <c r="D514" s="1848" t="s">
        <v>2986</v>
      </c>
      <c r="E514" s="4712" t="s">
        <v>3125</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3124</v>
      </c>
      <c r="F518" s="4709"/>
      <c r="G518" s="4709"/>
      <c r="H518" s="4709"/>
    </row>
    <row r="519" spans="1:8" ht="12.75" customHeight="1">
      <c r="C519" s="1850"/>
      <c r="D519" s="1848" t="s">
        <v>2986</v>
      </c>
      <c r="E519" s="4712" t="s">
        <v>3125</v>
      </c>
      <c r="F519" s="4712"/>
      <c r="G519" s="4712"/>
      <c r="H519" s="4712"/>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3124</v>
      </c>
      <c r="F525" s="4709"/>
      <c r="G525" s="4709"/>
      <c r="H525" s="4709"/>
    </row>
    <row r="526" spans="1:8" ht="12.75" customHeight="1">
      <c r="C526" s="1850"/>
      <c r="D526" s="1847" t="s">
        <v>2986</v>
      </c>
      <c r="E526" s="4713" t="s">
        <v>3125</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3124</v>
      </c>
      <c r="F530" s="4709"/>
      <c r="G530" s="4709"/>
      <c r="H530" s="4709"/>
    </row>
    <row r="531" spans="1:8" ht="12.75" customHeight="1">
      <c r="C531" s="1850"/>
      <c r="D531" s="1848" t="s">
        <v>2986</v>
      </c>
      <c r="E531" s="4712" t="s">
        <v>3125</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3124</v>
      </c>
      <c r="F535" s="4709"/>
      <c r="G535" s="4709"/>
      <c r="H535" s="4709"/>
    </row>
    <row r="536" spans="1:8" ht="12.75" customHeight="1">
      <c r="C536" s="1850"/>
      <c r="D536" s="1848" t="s">
        <v>2986</v>
      </c>
      <c r="E536" s="4712" t="s">
        <v>3125</v>
      </c>
      <c r="F536" s="4712"/>
      <c r="G536" s="4712"/>
      <c r="H536" s="4712"/>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3124</v>
      </c>
      <c r="F542" s="4709"/>
      <c r="G542" s="4709"/>
      <c r="H542" s="4709"/>
    </row>
    <row r="543" spans="1:8" ht="12.75" customHeight="1">
      <c r="C543" s="1850"/>
      <c r="D543" s="1847" t="s">
        <v>2986</v>
      </c>
      <c r="E543" s="4713" t="s">
        <v>3125</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3124</v>
      </c>
      <c r="F547" s="4709"/>
      <c r="G547" s="4709"/>
      <c r="H547" s="4709"/>
    </row>
    <row r="548" spans="1:8" ht="12.75" customHeight="1">
      <c r="C548" s="1850"/>
      <c r="D548" s="1848" t="s">
        <v>2986</v>
      </c>
      <c r="E548" s="4712" t="s">
        <v>3125</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3124</v>
      </c>
      <c r="F552" s="4709"/>
      <c r="G552" s="4709"/>
      <c r="H552" s="4709"/>
    </row>
    <row r="553" spans="1:8" ht="12.75" customHeight="1">
      <c r="C553" s="1850"/>
      <c r="D553" s="1848" t="s">
        <v>2986</v>
      </c>
      <c r="E553" s="4712" t="s">
        <v>3125</v>
      </c>
      <c r="F553" s="4712"/>
      <c r="G553" s="4712"/>
      <c r="H553" s="4712"/>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3124</v>
      </c>
      <c r="F559" s="4709"/>
      <c r="G559" s="4709"/>
      <c r="H559" s="4709"/>
    </row>
    <row r="560" spans="1:8" ht="12.75" customHeight="1">
      <c r="C560" s="1850"/>
      <c r="D560" s="1847" t="s">
        <v>2986</v>
      </c>
      <c r="E560" s="4713" t="s">
        <v>3125</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3124</v>
      </c>
      <c r="F564" s="4709"/>
      <c r="G564" s="4709"/>
      <c r="H564" s="4709"/>
    </row>
    <row r="565" spans="1:11" ht="12.75" customHeight="1">
      <c r="C565" s="1850"/>
      <c r="D565" s="1848" t="s">
        <v>2986</v>
      </c>
      <c r="E565" s="4712" t="s">
        <v>3125</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3124</v>
      </c>
      <c r="F569" s="4709"/>
      <c r="G569" s="4709"/>
      <c r="H569" s="4709"/>
    </row>
    <row r="570" spans="1:11" ht="12.75" customHeight="1">
      <c r="C570" s="1850"/>
      <c r="D570" s="1848" t="s">
        <v>2986</v>
      </c>
      <c r="E570" s="4712" t="s">
        <v>3125</v>
      </c>
      <c r="F570" s="4712"/>
      <c r="G570" s="4712"/>
      <c r="H570" s="4712"/>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Arbours at Town Branch</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60607.0026</v>
      </c>
      <c r="M4" s="4757"/>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14799584</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4085</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2</v>
      </c>
      <c r="G26" s="2036">
        <f>'Part V-Revenues &amp; Expenses'!M57</f>
        <v>3</v>
      </c>
      <c r="H26" s="2036">
        <f>'Part V-Revenues &amp; Expenses'!N57</f>
        <v>0</v>
      </c>
      <c r="I26" s="2036">
        <f>'Part V-Revenues &amp; Expenses'!O57</f>
        <v>0</v>
      </c>
      <c r="J26" s="2037">
        <f>'Part V-Revenues &amp; Expenses'!P57</f>
        <v>5</v>
      </c>
    </row>
    <row r="27" spans="1:19" s="562" customFormat="1" ht="15" customHeight="1">
      <c r="C27" s="2031" t="s">
        <v>1082</v>
      </c>
      <c r="D27" s="2023"/>
      <c r="E27" s="2035">
        <f>'Part V-Revenues &amp; Expenses'!K58</f>
        <v>0</v>
      </c>
      <c r="F27" s="2036">
        <f>'Part V-Revenues &amp; Expenses'!L58</f>
        <v>17</v>
      </c>
      <c r="G27" s="2036">
        <f>'Part V-Revenues &amp; Expenses'!M58</f>
        <v>29</v>
      </c>
      <c r="H27" s="2036">
        <f>'Part V-Revenues &amp; Expenses'!N58</f>
        <v>0</v>
      </c>
      <c r="I27" s="2036">
        <f>'Part V-Revenues &amp; Expenses'!O58</f>
        <v>0</v>
      </c>
      <c r="J27" s="2037">
        <f>'Part V-Revenues &amp; Expenses'!P58</f>
        <v>46</v>
      </c>
    </row>
    <row r="28" spans="1:19" s="562" customFormat="1" ht="15" customHeight="1">
      <c r="C28" s="2031" t="s">
        <v>112</v>
      </c>
      <c r="D28" s="2023"/>
      <c r="E28" s="2035">
        <f>'Part V-Revenues &amp; Expenses'!K59</f>
        <v>0</v>
      </c>
      <c r="F28" s="2036">
        <f>'Part V-Revenues &amp; Expenses'!L59</f>
        <v>3</v>
      </c>
      <c r="G28" s="2036">
        <f>'Part V-Revenues &amp; Expenses'!M59</f>
        <v>5</v>
      </c>
      <c r="H28" s="2036">
        <f>'Part V-Revenues &amp; Expenses'!N59</f>
        <v>0</v>
      </c>
      <c r="I28" s="2036">
        <f>'Part V-Revenues &amp; Expenses'!O59</f>
        <v>0</v>
      </c>
      <c r="J28" s="2037">
        <f>'Part V-Revenues &amp; Expenses'!P59</f>
        <v>8</v>
      </c>
    </row>
    <row r="29" spans="1:19" s="562" customFormat="1" ht="13.15" customHeight="1">
      <c r="C29" s="2031" t="s">
        <v>3681</v>
      </c>
      <c r="D29" s="2023"/>
      <c r="E29" s="2035">
        <f>'Part V-Revenues &amp; Expenses'!K60</f>
        <v>0</v>
      </c>
      <c r="F29" s="2036">
        <f>'Part V-Revenues &amp; Expenses'!L60</f>
        <v>2</v>
      </c>
      <c r="G29" s="2036">
        <f>'Part V-Revenues &amp; Expenses'!M60</f>
        <v>3</v>
      </c>
      <c r="H29" s="2036">
        <f>'Part V-Revenues &amp; Expenses'!N60</f>
        <v>0</v>
      </c>
      <c r="I29" s="2036">
        <f>'Part V-Revenues &amp; Expenses'!O60</f>
        <v>0</v>
      </c>
      <c r="J29" s="2037">
        <f>'Part V-Revenues &amp; Expenses'!P60</f>
        <v>5</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24</v>
      </c>
      <c r="G32" s="2029">
        <f>'Part V-Revenues &amp; Expenses'!M63</f>
        <v>40</v>
      </c>
      <c r="H32" s="2029">
        <f>'Part V-Revenues &amp; Expenses'!N63</f>
        <v>0</v>
      </c>
      <c r="I32" s="2029">
        <f>'Part V-Revenues &amp; Expenses'!O63</f>
        <v>0</v>
      </c>
      <c r="J32" s="2039">
        <f>'Part V-Revenues &amp; Expenses'!P63</f>
        <v>64</v>
      </c>
    </row>
    <row r="33" spans="1:12" s="562" customFormat="1" ht="13.15" customHeight="1" thickBot="1">
      <c r="K33" s="2016"/>
    </row>
    <row r="34" spans="1:12" s="562" customFormat="1" ht="14.25" customHeight="1" thickBot="1">
      <c r="A34" s="2016"/>
      <c r="B34" s="4731" t="s">
        <v>6179</v>
      </c>
      <c r="E34" s="4732" t="s">
        <v>6072</v>
      </c>
      <c r="F34" s="4733"/>
      <c r="G34" s="4733"/>
      <c r="H34" s="4733"/>
      <c r="I34" s="4733"/>
      <c r="J34" s="4733"/>
      <c r="K34" s="4733"/>
      <c r="L34" s="4734"/>
    </row>
    <row r="35" spans="1:12" s="562" customFormat="1" ht="14.25" customHeight="1">
      <c r="A35" s="2016"/>
      <c r="B35" s="4731"/>
      <c r="C35" s="4735" t="s">
        <v>6180</v>
      </c>
      <c r="D35" s="4731" t="s">
        <v>6181</v>
      </c>
      <c r="E35" s="4736" t="s">
        <v>6075</v>
      </c>
      <c r="F35" s="4737"/>
      <c r="G35" s="4740" t="s">
        <v>1276</v>
      </c>
      <c r="H35" s="4742" t="s">
        <v>6071</v>
      </c>
      <c r="I35" s="4743"/>
      <c r="J35" s="4743"/>
      <c r="K35" s="4743"/>
      <c r="L35" s="4744"/>
    </row>
    <row r="36" spans="1:12" s="562" customFormat="1" ht="23.25" customHeight="1">
      <c r="A36" s="4735" t="s">
        <v>976</v>
      </c>
      <c r="B36" s="4731"/>
      <c r="C36" s="4735"/>
      <c r="D36" s="4731"/>
      <c r="E36" s="4738"/>
      <c r="F36" s="4739"/>
      <c r="G36" s="4741"/>
      <c r="H36" s="4745" t="s">
        <v>6073</v>
      </c>
      <c r="I36" s="4746"/>
      <c r="J36" s="4749" t="s">
        <v>1276</v>
      </c>
      <c r="K36" s="4746" t="s">
        <v>6074</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40</v>
      </c>
      <c r="B39" s="2021">
        <f>'Part V-Revenues &amp; Expenses'!E18</f>
        <v>2</v>
      </c>
      <c r="C39" s="2022" t="str">
        <f>_xlfn.CONCAT('Part V-Revenues &amp; Expenses'!C18," / ",'Part V-Revenues &amp; Expenses'!D18)</f>
        <v>1 / 1</v>
      </c>
      <c r="D39" s="2021">
        <f>'Part V-Revenues &amp; Expenses'!F18</f>
        <v>888</v>
      </c>
      <c r="E39" s="4755">
        <f>'Part V-Revenues &amp; Expenses'!H18</f>
        <v>723</v>
      </c>
      <c r="F39" s="4756"/>
      <c r="G39" s="2023"/>
      <c r="H39" s="4724"/>
      <c r="I39" s="4725"/>
      <c r="J39" s="4725"/>
      <c r="K39" s="4725"/>
      <c r="L39" s="4726"/>
    </row>
    <row r="40" spans="1:12" s="562" customFormat="1" ht="13.15" customHeight="1">
      <c r="A40" s="2024">
        <f>'Part V-Revenues &amp; Expenses'!B19</f>
        <v>50</v>
      </c>
      <c r="B40" s="2025">
        <f>'Part V-Revenues &amp; Expenses'!E19</f>
        <v>3</v>
      </c>
      <c r="C40" s="2026" t="str">
        <f>_xlfn.CONCAT('Part V-Revenues &amp; Expenses'!C19," / ",'Part V-Revenues &amp; Expenses'!D19)</f>
        <v>1 / 1</v>
      </c>
      <c r="D40" s="2025">
        <f>'Part V-Revenues &amp; Expenses'!F19</f>
        <v>888</v>
      </c>
      <c r="E40" s="4722">
        <f>'Part V-Revenues &amp; Expenses'!H19</f>
        <v>904</v>
      </c>
      <c r="F40" s="4723"/>
      <c r="G40" s="2023"/>
      <c r="H40" s="4719"/>
      <c r="I40" s="4720"/>
      <c r="J40" s="4720"/>
      <c r="K40" s="4720"/>
      <c r="L40" s="4721"/>
    </row>
    <row r="41" spans="1:12" s="562" customFormat="1" ht="13.15" customHeight="1">
      <c r="A41" s="2024">
        <f>'Part V-Revenues &amp; Expenses'!B20</f>
        <v>60</v>
      </c>
      <c r="B41" s="2025">
        <f>'Part V-Revenues &amp; Expenses'!E20</f>
        <v>17</v>
      </c>
      <c r="C41" s="2026" t="str">
        <f>_xlfn.CONCAT('Part V-Revenues &amp; Expenses'!C20," / ",'Part V-Revenues &amp; Expenses'!D20)</f>
        <v>1 / 1</v>
      </c>
      <c r="D41" s="2025">
        <f>'Part V-Revenues &amp; Expenses'!F20</f>
        <v>888</v>
      </c>
      <c r="E41" s="4722">
        <f>'Part V-Revenues &amp; Expenses'!H20</f>
        <v>1008</v>
      </c>
      <c r="F41" s="4723"/>
      <c r="G41" s="2023"/>
      <c r="H41" s="4719"/>
      <c r="I41" s="4720"/>
      <c r="J41" s="4720"/>
      <c r="K41" s="4720"/>
      <c r="L41" s="4721"/>
    </row>
    <row r="42" spans="1:12" s="562" customFormat="1" ht="13.15" customHeight="1">
      <c r="A42" s="2024">
        <f>'Part V-Revenues &amp; Expenses'!B21</f>
        <v>70</v>
      </c>
      <c r="B42" s="2025">
        <f>'Part V-Revenues &amp; Expenses'!E21</f>
        <v>2</v>
      </c>
      <c r="C42" s="2026" t="str">
        <f>_xlfn.CONCAT('Part V-Revenues &amp; Expenses'!C21," / ",'Part V-Revenues &amp; Expenses'!D21)</f>
        <v>1 / 1</v>
      </c>
      <c r="D42" s="2025">
        <f>'Part V-Revenues &amp; Expenses'!F21</f>
        <v>888</v>
      </c>
      <c r="E42" s="4722">
        <f>'Part V-Revenues &amp; Expenses'!H21</f>
        <v>1208</v>
      </c>
      <c r="F42" s="4723"/>
      <c r="G42" s="2023"/>
      <c r="H42" s="4719"/>
      <c r="I42" s="4720"/>
      <c r="J42" s="4720"/>
      <c r="K42" s="4720"/>
      <c r="L42" s="4721"/>
    </row>
    <row r="43" spans="1:12" s="562" customFormat="1" ht="13.15" customHeight="1">
      <c r="A43" s="2024">
        <f>'Part V-Revenues &amp; Expenses'!B22</f>
        <v>40</v>
      </c>
      <c r="B43" s="2025">
        <f>'Part V-Revenues &amp; Expenses'!E22</f>
        <v>3</v>
      </c>
      <c r="C43" s="2026" t="str">
        <f>_xlfn.CONCAT('Part V-Revenues &amp; Expenses'!C22," / ",'Part V-Revenues &amp; Expenses'!D22)</f>
        <v>2 / 2</v>
      </c>
      <c r="D43" s="2025">
        <f>'Part V-Revenues &amp; Expenses'!F22</f>
        <v>1236</v>
      </c>
      <c r="E43" s="4722">
        <f>'Part V-Revenues &amp; Expenses'!H22</f>
        <v>868</v>
      </c>
      <c r="F43" s="4723"/>
      <c r="G43" s="2023"/>
      <c r="H43" s="4719"/>
      <c r="I43" s="4720"/>
      <c r="J43" s="4720"/>
      <c r="K43" s="4720"/>
      <c r="L43" s="4721"/>
    </row>
    <row r="44" spans="1:12" s="562" customFormat="1" ht="13.15" customHeight="1">
      <c r="A44" s="2024">
        <f>'Part V-Revenues &amp; Expenses'!B23</f>
        <v>50</v>
      </c>
      <c r="B44" s="2025">
        <f>'Part V-Revenues &amp; Expenses'!E23</f>
        <v>5</v>
      </c>
      <c r="C44" s="2026" t="str">
        <f>_xlfn.CONCAT('Part V-Revenues &amp; Expenses'!C23," / ",'Part V-Revenues &amp; Expenses'!D23)</f>
        <v>2 / 2</v>
      </c>
      <c r="D44" s="2025">
        <f>'Part V-Revenues &amp; Expenses'!F23</f>
        <v>1236</v>
      </c>
      <c r="E44" s="4722">
        <f>'Part V-Revenues &amp; Expenses'!H23</f>
        <v>1085</v>
      </c>
      <c r="F44" s="4723"/>
      <c r="G44" s="2023"/>
      <c r="H44" s="4719"/>
      <c r="I44" s="4720"/>
      <c r="J44" s="4720"/>
      <c r="K44" s="4720"/>
      <c r="L44" s="4721"/>
    </row>
    <row r="45" spans="1:12" s="562" customFormat="1" ht="13.15" customHeight="1">
      <c r="A45" s="2024">
        <f>'Part V-Revenues &amp; Expenses'!B24</f>
        <v>60</v>
      </c>
      <c r="B45" s="2025">
        <f>'Part V-Revenues &amp; Expenses'!E24</f>
        <v>29</v>
      </c>
      <c r="C45" s="2026" t="str">
        <f>_xlfn.CONCAT('Part V-Revenues &amp; Expenses'!C24," / ",'Part V-Revenues &amp; Expenses'!D24)</f>
        <v>2 / 2</v>
      </c>
      <c r="D45" s="2025">
        <f>'Part V-Revenues &amp; Expenses'!F24</f>
        <v>1236</v>
      </c>
      <c r="E45" s="4722">
        <f>'Part V-Revenues &amp; Expenses'!H24</f>
        <v>1232</v>
      </c>
      <c r="F45" s="4723"/>
      <c r="G45" s="2023"/>
      <c r="H45" s="4719"/>
      <c r="I45" s="4720"/>
      <c r="J45" s="4720"/>
      <c r="K45" s="4720"/>
      <c r="L45" s="4721"/>
    </row>
    <row r="46" spans="1:12" s="562" customFormat="1" ht="13.15" customHeight="1">
      <c r="A46" s="2024">
        <f>'Part V-Revenues &amp; Expenses'!B25</f>
        <v>70</v>
      </c>
      <c r="B46" s="2025">
        <f>'Part V-Revenues &amp; Expenses'!E25</f>
        <v>3</v>
      </c>
      <c r="C46" s="2026" t="str">
        <f>_xlfn.CONCAT('Part V-Revenues &amp; Expenses'!C25," / ",'Part V-Revenues &amp; Expenses'!D25)</f>
        <v>2 / 2</v>
      </c>
      <c r="D46" s="2025">
        <f>'Part V-Revenues &amp; Expenses'!F25</f>
        <v>1236</v>
      </c>
      <c r="E46" s="4722">
        <f>'Part V-Revenues &amp; Expenses'!H25</f>
        <v>1432</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3482</v>
      </c>
      <c r="C1" s="4769"/>
      <c r="D1" s="4769"/>
      <c r="E1" s="4769"/>
      <c r="F1" s="4769"/>
      <c r="G1" s="4769"/>
      <c r="H1" s="4769"/>
      <c r="I1" s="4769"/>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Arbours at Town Branch</v>
      </c>
      <c r="H5" s="4779"/>
      <c r="I5" s="4780"/>
      <c r="K5" s="774"/>
    </row>
    <row r="6" spans="2:13" ht="4.5" customHeight="1">
      <c r="D6" s="1321"/>
      <c r="E6" s="1321"/>
      <c r="F6" s="1321"/>
      <c r="G6" s="1321"/>
      <c r="H6" s="1321"/>
      <c r="I6" s="1321"/>
      <c r="K6" s="774"/>
    </row>
    <row r="7" spans="2: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3" t="s">
        <v>3490</v>
      </c>
      <c r="I35" s="4784"/>
    </row>
    <row r="36" spans="2:9">
      <c r="B36" s="1349" t="s">
        <v>3489</v>
      </c>
      <c r="C36" s="1347"/>
      <c r="D36" s="1347"/>
      <c r="E36" s="1322"/>
      <c r="F36" s="1591"/>
      <c r="G36" s="1350"/>
      <c r="H36" s="4783"/>
      <c r="I36" s="4784"/>
    </row>
    <row r="37" spans="2:9">
      <c r="B37" s="1349" t="s">
        <v>3487</v>
      </c>
      <c r="D37" s="1347"/>
      <c r="E37" s="1322"/>
      <c r="F37" s="1592"/>
      <c r="G37" s="1350"/>
      <c r="H37" s="4783"/>
      <c r="I37" s="478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0" t="str">
        <f>'Part I-Project Identification'!F30</f>
        <v>Villa Rica</v>
      </c>
      <c r="D52" s="476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12000000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12000000</v>
      </c>
      <c r="G84" s="4788"/>
      <c r="H84" s="1322"/>
      <c r="I84" s="1332"/>
    </row>
    <row r="85" spans="2:9">
      <c r="B85" s="1330"/>
      <c r="C85" s="814" t="s">
        <v>2930</v>
      </c>
      <c r="D85" s="1322"/>
      <c r="E85" s="1322"/>
      <c r="F85" s="4759">
        <f>'Part II-Sources of Funds'!I47+'Part II-Sources of Funds'!L47</f>
        <v>705621.18440234789</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c r="B89" s="1330"/>
      <c r="C89" s="794" t="s">
        <v>2934</v>
      </c>
      <c r="D89" s="1322"/>
      <c r="E89" s="1322"/>
      <c r="F89" s="4786">
        <f>SUM(F84:G88)</f>
        <v>12716621.184402348</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12716621.184402348</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6513</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3191</v>
      </c>
      <c r="C13" s="4802"/>
      <c r="D13" s="4802"/>
      <c r="E13" s="4802"/>
      <c r="F13" s="4802"/>
      <c r="G13" s="4802"/>
      <c r="H13" s="4802"/>
      <c r="I13" s="4802"/>
      <c r="J13" s="4802"/>
      <c r="K13" s="4802"/>
      <c r="L13" s="4802"/>
      <c r="M13" s="4802"/>
      <c r="U13" s="1025" t="s">
        <v>6278</v>
      </c>
    </row>
    <row r="14" spans="1:26" ht="47.25" customHeight="1">
      <c r="A14" s="1031" t="s">
        <v>1616</v>
      </c>
      <c r="B14" s="4802" t="s">
        <v>3192</v>
      </c>
      <c r="C14" s="4802"/>
      <c r="D14" s="4802"/>
      <c r="E14" s="4802"/>
      <c r="F14" s="4802"/>
      <c r="G14" s="4802"/>
      <c r="H14" s="4802"/>
      <c r="I14" s="4802"/>
      <c r="J14" s="4802"/>
      <c r="K14" s="4802"/>
      <c r="L14" s="4802"/>
      <c r="M14" s="4802"/>
    </row>
    <row r="15" spans="1:26" ht="117" customHeight="1">
      <c r="A15" s="1031" t="s">
        <v>1617</v>
      </c>
      <c r="B15" s="4802" t="s">
        <v>3193</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3194</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3090</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3091</v>
      </c>
      <c r="C25" s="4802"/>
      <c r="D25" s="4802"/>
      <c r="E25" s="4802"/>
      <c r="F25" s="4802"/>
      <c r="G25" s="4802"/>
      <c r="H25" s="4802"/>
      <c r="I25" s="4802"/>
      <c r="J25" s="4802"/>
      <c r="K25" s="4802"/>
      <c r="L25" s="4802"/>
      <c r="M25" s="4802"/>
    </row>
    <row r="26" spans="1:13" ht="31.5" customHeight="1">
      <c r="A26" s="1031" t="s">
        <v>1376</v>
      </c>
      <c r="B26" s="4802" t="s">
        <v>3092</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0" t="s">
        <v>6625</v>
      </c>
      <c r="R11" s="481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3912</v>
      </c>
      <c r="R13" s="4817"/>
      <c r="S13" s="180"/>
      <c r="T13" s="180"/>
      <c r="U13" s="180"/>
      <c r="AA13" s="523"/>
      <c r="AB13" s="523"/>
    </row>
    <row r="14" spans="1:28" s="293" customFormat="1" ht="12.75" hidden="1" customHeight="1">
      <c r="A14" s="183"/>
      <c r="B14" s="183"/>
      <c r="C14" s="183"/>
      <c r="K14" s="1632" t="s">
        <v>3913</v>
      </c>
      <c r="L14" s="1631"/>
      <c r="N14" s="303"/>
      <c r="O14" s="183"/>
      <c r="P14" s="180"/>
      <c r="Q14" s="4815">
        <v>0.2</v>
      </c>
      <c r="R14" s="4816"/>
      <c r="S14" s="180"/>
      <c r="T14" s="180"/>
      <c r="U14" s="180"/>
      <c r="AA14" s="523"/>
      <c r="AB14" s="523"/>
    </row>
    <row r="15" spans="1:28" s="293" customFormat="1" ht="12.75" hidden="1" customHeight="1">
      <c r="A15" s="183"/>
      <c r="B15" s="183"/>
      <c r="C15" s="183"/>
      <c r="K15" s="1632" t="s">
        <v>3914</v>
      </c>
      <c r="L15" s="1631"/>
      <c r="N15" s="303"/>
      <c r="O15" s="183"/>
      <c r="P15" s="180"/>
      <c r="Q15" s="4813">
        <v>0.15</v>
      </c>
      <c r="R15" s="4814"/>
      <c r="S15" s="180"/>
      <c r="T15" s="180"/>
      <c r="U15" s="180"/>
      <c r="AA15" s="523"/>
      <c r="AB15" s="523"/>
    </row>
    <row r="16" spans="1:28" s="293" customFormat="1" ht="12.75" hidden="1" customHeight="1">
      <c r="A16" s="183"/>
      <c r="B16" s="183"/>
      <c r="C16" s="183"/>
      <c r="K16" s="1632" t="s">
        <v>3915</v>
      </c>
      <c r="L16" s="1631"/>
      <c r="N16" s="303"/>
      <c r="O16" s="183"/>
      <c r="P16" s="180"/>
      <c r="Q16" s="4813">
        <v>0.15</v>
      </c>
      <c r="R16" s="4814"/>
      <c r="S16" s="180"/>
      <c r="T16" s="180"/>
      <c r="U16" s="180"/>
      <c r="AA16" s="523"/>
      <c r="AB16" s="523"/>
    </row>
    <row r="17" spans="1:28" s="293" customFormat="1" ht="12.75" hidden="1" customHeight="1">
      <c r="A17" s="183"/>
      <c r="B17" s="183"/>
      <c r="C17" s="183"/>
      <c r="K17" s="1632" t="s">
        <v>3916</v>
      </c>
      <c r="L17" s="1631"/>
      <c r="N17" s="303"/>
      <c r="O17" s="183"/>
      <c r="P17" s="180"/>
      <c r="Q17" s="4813">
        <v>0.1</v>
      </c>
      <c r="R17" s="4814"/>
      <c r="S17" s="180"/>
      <c r="T17" s="180"/>
      <c r="U17" s="180"/>
      <c r="AA17" s="523"/>
      <c r="AB17" s="523"/>
    </row>
    <row r="18" spans="1:28" s="293" customFormat="1" ht="12.75" hidden="1" customHeight="1">
      <c r="A18" s="183"/>
      <c r="B18" s="183"/>
      <c r="C18" s="183"/>
      <c r="K18" s="1632" t="s">
        <v>3917</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40">
        <v>1035000</v>
      </c>
      <c r="R111" s="4841"/>
      <c r="S111" s="299"/>
      <c r="T111" s="299"/>
      <c r="U111" s="180"/>
      <c r="V111" s="970"/>
      <c r="W111" s="970"/>
      <c r="X111" s="970"/>
      <c r="AA111" s="523"/>
      <c r="AB111" s="523"/>
    </row>
    <row r="112" spans="1:28" ht="12.75" customHeight="1">
      <c r="A112" s="298" t="s">
        <v>2512</v>
      </c>
      <c r="J112" s="183" t="s">
        <v>2446</v>
      </c>
      <c r="Q112" s="4849" t="s">
        <v>6107</v>
      </c>
      <c r="R112" s="4849"/>
    </row>
    <row r="113" spans="1:28" ht="11.25" customHeight="1">
      <c r="F113" s="183" t="s">
        <v>2393</v>
      </c>
      <c r="G113" s="183"/>
      <c r="H113" s="183" t="s">
        <v>6106</v>
      </c>
      <c r="I113" s="180"/>
      <c r="J113" s="4846">
        <v>0.35</v>
      </c>
      <c r="K113" s="4846"/>
      <c r="L113" s="183"/>
      <c r="M113" s="183"/>
      <c r="N113" s="183"/>
      <c r="O113" s="183"/>
      <c r="P113" s="180"/>
      <c r="Q113" s="4835">
        <v>1035000</v>
      </c>
      <c r="R113" s="4835"/>
    </row>
    <row r="114" spans="1:28" ht="11.25" customHeight="1">
      <c r="A114" s="298"/>
      <c r="F114" s="183" t="s">
        <v>6105</v>
      </c>
      <c r="G114" s="183"/>
      <c r="H114" s="183" t="s">
        <v>6106</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6106</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3404</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4062</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3966</v>
      </c>
      <c r="D298" s="4847" t="s">
        <v>3967</v>
      </c>
      <c r="E298" s="4847" t="s">
        <v>3968</v>
      </c>
      <c r="F298" s="4847" t="s">
        <v>3969</v>
      </c>
      <c r="G298" s="4848" t="s">
        <v>3966</v>
      </c>
      <c r="H298" s="4847" t="s">
        <v>3967</v>
      </c>
      <c r="I298" s="4847" t="s">
        <v>3968</v>
      </c>
      <c r="J298" s="4847" t="s">
        <v>3969</v>
      </c>
      <c r="K298"/>
      <c r="L298" s="4848" t="s">
        <v>3966</v>
      </c>
      <c r="M298" s="4847" t="s">
        <v>3967</v>
      </c>
      <c r="N298" s="4847" t="s">
        <v>3968</v>
      </c>
      <c r="O298" s="4847"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Arbours at Town Branch, Villa Rica, Carroll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3464</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3464</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3464</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3464</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3464</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3464</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3464</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3464</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3464</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3464</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3464</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3464</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3464</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3464</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3464</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3464</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3464</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6230</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6230</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6230</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6230</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6230</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6230</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6230</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6230</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483" t="s">
        <v>3299</v>
      </c>
      <c r="B153" s="3483"/>
      <c r="C153" s="3483"/>
      <c r="D153" s="3483"/>
      <c r="E153" s="3483"/>
      <c r="H153" s="1598" t="s">
        <v>2309</v>
      </c>
      <c r="I153" s="3477" t="s">
        <v>6524</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3843</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6228</v>
      </c>
      <c r="E155" s="339"/>
      <c r="H155" s="1539" t="s">
        <v>3843</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3843</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3843</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3843</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3843</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3843</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3894</v>
      </c>
      <c r="E161" s="339"/>
      <c r="H161" s="1539" t="s">
        <v>3843</v>
      </c>
      <c r="I161" s="3378"/>
      <c r="J161" s="3379"/>
      <c r="K161" s="3379"/>
      <c r="L161" s="3379"/>
      <c r="M161" s="3379"/>
      <c r="N161" s="3379"/>
      <c r="O161" s="3379"/>
      <c r="P161" s="3379"/>
      <c r="Q161" s="3379"/>
      <c r="R161" s="3379"/>
      <c r="S161" s="3380"/>
      <c r="Z161" s="2246">
        <v>161</v>
      </c>
    </row>
    <row r="162" spans="1:26" s="315" customFormat="1" ht="15" customHeight="1" thickBot="1">
      <c r="B162" s="616" t="s">
        <v>3893</v>
      </c>
      <c r="C162" s="3480" t="s">
        <v>6479</v>
      </c>
      <c r="D162" s="3481"/>
      <c r="E162" s="3481"/>
      <c r="F162" s="3481"/>
      <c r="G162" s="3482"/>
      <c r="H162" s="1539" t="s">
        <v>3843</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6480</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3843</v>
      </c>
      <c r="J171" s="617" t="s">
        <v>3843</v>
      </c>
      <c r="K171" s="622"/>
      <c r="L171" s="831"/>
      <c r="M171" s="623" t="s">
        <v>3843</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3843</v>
      </c>
      <c r="J172" s="618" t="s">
        <v>3843</v>
      </c>
      <c r="K172" s="624"/>
      <c r="L172" s="832"/>
      <c r="M172" s="625" t="s">
        <v>3843</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3843</v>
      </c>
      <c r="J173" s="618" t="s">
        <v>3843</v>
      </c>
      <c r="K173" s="624"/>
      <c r="L173" s="832"/>
      <c r="M173" s="625" t="s">
        <v>3843</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3843</v>
      </c>
      <c r="J174" s="618" t="s">
        <v>3843</v>
      </c>
      <c r="K174" s="624"/>
      <c r="L174" s="832"/>
      <c r="M174" s="625" t="s">
        <v>3843</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3843</v>
      </c>
      <c r="J175" s="618" t="s">
        <v>3843</v>
      </c>
      <c r="K175" s="624"/>
      <c r="L175" s="832"/>
      <c r="M175" s="625" t="s">
        <v>3843</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3843</v>
      </c>
      <c r="J176" s="618" t="s">
        <v>3843</v>
      </c>
      <c r="K176" s="624"/>
      <c r="L176" s="832"/>
      <c r="M176" s="625" t="s">
        <v>3843</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3843</v>
      </c>
      <c r="J177" s="618" t="s">
        <v>3843</v>
      </c>
      <c r="K177" s="624"/>
      <c r="L177" s="832"/>
      <c r="M177" s="625" t="s">
        <v>3843</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3843</v>
      </c>
      <c r="J178" s="618" t="s">
        <v>3843</v>
      </c>
      <c r="K178" s="624"/>
      <c r="L178" s="832"/>
      <c r="M178" s="625" t="s">
        <v>3843</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3843</v>
      </c>
      <c r="J179" s="618" t="s">
        <v>3843</v>
      </c>
      <c r="K179" s="624"/>
      <c r="L179" s="832"/>
      <c r="M179" s="625" t="s">
        <v>3843</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3843</v>
      </c>
      <c r="J180" s="618" t="s">
        <v>3843</v>
      </c>
      <c r="K180" s="624"/>
      <c r="L180" s="832"/>
      <c r="M180" s="625" t="s">
        <v>3843</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3843</v>
      </c>
      <c r="J181" s="618" t="s">
        <v>3843</v>
      </c>
      <c r="K181" s="624"/>
      <c r="L181" s="832"/>
      <c r="M181" s="625" t="s">
        <v>3843</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3843</v>
      </c>
      <c r="J182" s="618" t="s">
        <v>3843</v>
      </c>
      <c r="K182" s="624"/>
      <c r="L182" s="832"/>
      <c r="M182" s="625" t="s">
        <v>3843</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3843</v>
      </c>
      <c r="J183" s="619" t="s">
        <v>3843</v>
      </c>
      <c r="K183" s="626"/>
      <c r="L183" s="833"/>
      <c r="M183" s="627" t="s">
        <v>3843</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Arbours at Town Branch</v>
      </c>
    </row>
    <row r="3" spans="1:26" s="652" customFormat="1" ht="15" customHeight="1">
      <c r="A3" s="2676" t="str">
        <f>CONCATENATE('Part I-Project Identification'!F30,", ", 'Part I-Project Identification'!J30," County")</f>
        <v>Villa Rica, Carroll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242 Inverness Center Drive,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3292</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6644</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1035000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2022PA-005</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Arbours at Town Branch, LLC</v>
      </c>
      <c r="G22" s="2689"/>
      <c r="H22" s="2689"/>
      <c r="I22" s="2702" t="s">
        <v>1671</v>
      </c>
      <c r="J22" s="2689" t="str">
        <f>'Part I-Project Identification'!J15</f>
        <v>Sam Johnston</v>
      </c>
      <c r="K22" s="2689"/>
      <c r="L22" s="2689"/>
      <c r="M22" s="2701" t="s">
        <v>1839</v>
      </c>
      <c r="N22" s="2689" t="str">
        <f>'Part I-Project Identification'!N15</f>
        <v>Member</v>
      </c>
      <c r="O22" s="2689"/>
      <c r="P22" s="2689"/>
      <c r="Q22" s="2691"/>
      <c r="R22" s="2691"/>
      <c r="S22" s="2691"/>
      <c r="Z22" s="2682">
        <v>15</v>
      </c>
    </row>
    <row r="23" spans="1:26" s="2702" customFormat="1" ht="12.75" customHeight="1">
      <c r="B23" s="2701" t="s">
        <v>1840</v>
      </c>
      <c r="F23" s="2689" t="str">
        <f>'Part I-Project Identification'!F16</f>
        <v>242 Inverness Center Drive</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Birmingham</v>
      </c>
      <c r="G24" s="2689"/>
      <c r="H24" s="2689"/>
      <c r="I24" s="2701" t="s">
        <v>1672</v>
      </c>
      <c r="J24" s="2689" t="str">
        <f>'Part I-Project Identification'!J17</f>
        <v>AL</v>
      </c>
      <c r="M24" s="2704"/>
      <c r="N24" s="2704"/>
      <c r="O24" s="2704"/>
      <c r="P24" s="2704"/>
      <c r="Q24" s="2691"/>
      <c r="R24" s="2691"/>
      <c r="S24" s="2691"/>
      <c r="Z24" s="2682">
        <v>17</v>
      </c>
    </row>
    <row r="25" spans="1:26" s="2702" customFormat="1" ht="12.75" customHeight="1">
      <c r="B25" s="2701" t="s">
        <v>2062</v>
      </c>
      <c r="F25" s="2705">
        <f>'Part I-Project Identification'!F18</f>
        <v>352424834</v>
      </c>
      <c r="G25" s="2705"/>
      <c r="H25" s="2705"/>
      <c r="I25" s="2701" t="s">
        <v>1600</v>
      </c>
      <c r="J25" s="2706">
        <f>'Part I-Project Identification'!J18</f>
        <v>2059813300</v>
      </c>
      <c r="K25" s="2706"/>
      <c r="L25" s="2697" t="s">
        <v>1599</v>
      </c>
      <c r="M25" s="2707">
        <f>'Part I-Project Identification'!M18</f>
        <v>0</v>
      </c>
      <c r="N25" s="2701" t="s">
        <v>1601</v>
      </c>
      <c r="O25" s="2706">
        <f>'Part I-Project Identification'!O18</f>
        <v>2059813393</v>
      </c>
      <c r="P25" s="2706"/>
      <c r="Q25" s="2691"/>
      <c r="R25" s="2691"/>
      <c r="S25" s="2691"/>
      <c r="Z25" s="2682">
        <v>18</v>
      </c>
    </row>
    <row r="26" spans="1:26" s="2702" customFormat="1" ht="12.75" customHeight="1">
      <c r="B26" s="2701" t="s">
        <v>1843</v>
      </c>
      <c r="F26" s="2689" t="str">
        <f>'Part I-Project Identification'!F19</f>
        <v>Sam@arbourvalley.com</v>
      </c>
      <c r="G26" s="2689"/>
      <c r="H26" s="2689"/>
      <c r="I26" s="2689"/>
      <c r="J26" s="2689"/>
      <c r="K26" s="2689"/>
      <c r="N26" s="2701" t="s">
        <v>1838</v>
      </c>
      <c r="O26" s="2706">
        <f>'Part I-Project Identification'!O19</f>
        <v>2052664583</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Arbour Valley Development</v>
      </c>
      <c r="G28" s="2689"/>
      <c r="H28" s="2689"/>
      <c r="I28" s="2702" t="s">
        <v>1671</v>
      </c>
      <c r="J28" s="2689" t="str">
        <f>'Part I-Project Identification'!J21</f>
        <v>Taylor Price</v>
      </c>
      <c r="K28" s="2689"/>
      <c r="L28" s="2689"/>
      <c r="M28" s="2701" t="s">
        <v>1839</v>
      </c>
      <c r="N28" s="2689" t="str">
        <f>'Part I-Project Identification'!N21</f>
        <v>Direct of Operations</v>
      </c>
      <c r="O28" s="2689"/>
      <c r="P28" s="2689"/>
      <c r="Q28" s="2691"/>
      <c r="R28" s="2691"/>
      <c r="S28" s="2691"/>
      <c r="Z28" s="2697">
        <v>21</v>
      </c>
    </row>
    <row r="29" spans="1:26" s="2702" customFormat="1" ht="12.75" customHeight="1">
      <c r="B29" s="2701" t="s">
        <v>1840</v>
      </c>
      <c r="F29" s="2689" t="str">
        <f>'Part I-Project Identification'!F22</f>
        <v>242 Inverness Center Drive</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Birmingham</v>
      </c>
      <c r="G30" s="2689"/>
      <c r="H30" s="2689"/>
      <c r="I30" s="2701" t="s">
        <v>1672</v>
      </c>
      <c r="J30" s="2710" t="str">
        <f>'Part I-Project Identification'!J23</f>
        <v>AL</v>
      </c>
      <c r="M30" s="2709"/>
      <c r="N30" s="2709"/>
      <c r="O30" s="2709"/>
      <c r="P30" s="2709"/>
      <c r="Q30" s="2691"/>
      <c r="R30" s="2691"/>
      <c r="S30" s="2691"/>
      <c r="Z30" s="2682">
        <v>23</v>
      </c>
    </row>
    <row r="31" spans="1:26" s="2702" customFormat="1" ht="12.75" customHeight="1">
      <c r="B31" s="2701" t="s">
        <v>2062</v>
      </c>
      <c r="F31" s="2705">
        <f>'Part I-Project Identification'!F24</f>
        <v>352424834</v>
      </c>
      <c r="G31" s="2705"/>
      <c r="H31" s="2705"/>
      <c r="I31" s="2701" t="s">
        <v>1600</v>
      </c>
      <c r="J31" s="2706">
        <f>'Part I-Project Identification'!J24</f>
        <v>2059813300</v>
      </c>
      <c r="K31" s="2706"/>
      <c r="L31" s="2697" t="s">
        <v>1599</v>
      </c>
      <c r="M31" s="2707">
        <f>'Part I-Project Identification'!M24</f>
        <v>0</v>
      </c>
      <c r="N31" s="2701" t="s">
        <v>1601</v>
      </c>
      <c r="O31" s="2706">
        <f>'Part I-Project Identification'!O24</f>
        <v>2059090055</v>
      </c>
      <c r="P31" s="2706"/>
      <c r="Q31" s="2691"/>
      <c r="R31" s="2691"/>
      <c r="S31" s="2691"/>
      <c r="Z31" s="2682">
        <v>24</v>
      </c>
    </row>
    <row r="32" spans="1:26" s="2702" customFormat="1" ht="12.75" customHeight="1">
      <c r="B32" s="2701" t="s">
        <v>1843</v>
      </c>
      <c r="F32" s="2689" t="str">
        <f>'Part I-Project Identification'!F25</f>
        <v>Taylor@arbourvalley.com</v>
      </c>
      <c r="G32" s="2689"/>
      <c r="H32" s="2689"/>
      <c r="I32" s="2689"/>
      <c r="J32" s="2689"/>
      <c r="K32" s="2689"/>
      <c r="N32" s="2701" t="s">
        <v>1838</v>
      </c>
      <c r="O32" s="2706">
        <f>'Part I-Project Identification'!O25</f>
        <v>2058074657</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Arbours at Town Branch</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Villa Rica</v>
      </c>
      <c r="G37" s="2689"/>
      <c r="H37" s="2689"/>
      <c r="I37" s="2712" t="s">
        <v>576</v>
      </c>
      <c r="J37" s="2689" t="str">
        <f>'Part I-Project Identification'!J30</f>
        <v>Carroll</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6730</v>
      </c>
      <c r="K38" s="2682"/>
      <c r="M38" s="2701" t="s">
        <v>6676</v>
      </c>
      <c r="N38" s="2702"/>
      <c r="O38" s="2689">
        <f>'Part I-Project Identification'!O31</f>
        <v>8.09</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6663</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6662</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Arbours at Town Branch,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Arbours at Town Branch, Villa Rica, Carroll County</v>
      </c>
      <c r="B244" s="2681"/>
      <c r="C244" s="2681"/>
      <c r="D244" s="2681"/>
      <c r="E244" s="2681"/>
      <c r="F244" s="2681"/>
      <c r="G244" s="2681"/>
      <c r="H244" s="2681"/>
      <c r="I244" s="2681"/>
      <c r="J244" s="2681"/>
      <c r="K244" s="2681"/>
      <c r="L244" s="2681"/>
      <c r="M244" s="2681"/>
      <c r="N244" s="2681"/>
      <c r="O244" s="2681"/>
      <c r="P244" s="2681"/>
      <c r="Q244" s="2681"/>
      <c r="S244" s="2719" t="str">
        <f>$A$2</f>
        <v>Arbours at Town Branch</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6670</v>
      </c>
      <c r="F250" s="2719" t="s">
        <v>6673</v>
      </c>
      <c r="H250" s="2698" t="str">
        <f>'Part II-Sources of Funds'!H8</f>
        <v>Specify Other HOME Source here</v>
      </c>
      <c r="I250" s="2698"/>
      <c r="J250" s="2698"/>
      <c r="L250" s="2707">
        <f>'Part II-Sources of Funds'!L8</f>
        <v>0</v>
      </c>
      <c r="M250" s="2686" t="s">
        <v>6675</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f>'Part II-Sources of Funds'!L9</f>
        <v>0</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f>'Part II-Sources of Funds'!L10</f>
        <v>0</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f>'Part II-Sources of Funds'!L12</f>
        <v>0</v>
      </c>
      <c r="M254" s="2719" t="s">
        <v>3222</v>
      </c>
      <c r="S254" s="2723"/>
      <c r="T254" s="2723"/>
      <c r="Y254" s="2752"/>
      <c r="Z254" s="2682">
        <v>12</v>
      </c>
      <c r="AZ254" s="2752"/>
    </row>
    <row r="255" spans="1:52" s="2719" customFormat="1" ht="16.5" customHeight="1">
      <c r="A255" s="2682"/>
      <c r="B255" s="2707" t="str">
        <f>'Part II-Sources of Funds'!B13</f>
        <v>No</v>
      </c>
      <c r="C255" s="2686" t="s">
        <v>6672</v>
      </c>
      <c r="E255" s="2707" t="str">
        <f>'Part II-Sources of Funds'!E13</f>
        <v>No</v>
      </c>
      <c r="F255" s="2686" t="s">
        <v>6674</v>
      </c>
      <c r="H255" s="2698" t="str">
        <f>'Part II-Sources of Funds'!H13</f>
        <v>Specify Other PBRA Source here</v>
      </c>
      <c r="I255" s="2698"/>
      <c r="J255" s="2698"/>
      <c r="L255" s="2707">
        <f>'Part II-Sources of Funds'!L13</f>
        <v>0</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f>'Part II-Sources of Funds'!L14</f>
        <v>0</v>
      </c>
      <c r="M256" s="2719" t="s">
        <v>6719</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f>'Part II-Sources of Funds'!L15</f>
        <v>0</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f>'Part II-Sources of Funds'!L16</f>
        <v>0</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ServisFirst</v>
      </c>
      <c r="I264" s="2739"/>
      <c r="J264" s="2739"/>
      <c r="K264" s="2739"/>
      <c r="L264" s="2762">
        <f>'Part II-Sources of Funds'!L22</f>
        <v>12000000</v>
      </c>
      <c r="M264" s="2762"/>
      <c r="N264" s="2763">
        <f>'Part II-Sources of Funds'!N22</f>
        <v>5.1499999999999997E-2</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Raymond James</v>
      </c>
      <c r="I270" s="2739"/>
      <c r="J270" s="2739"/>
      <c r="K270" s="2739"/>
      <c r="L270" s="2762">
        <f>'Part II-Sources of Funds'!L28</f>
        <v>3663533</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Raymond James</v>
      </c>
      <c r="I271" s="2739"/>
      <c r="J271" s="2739"/>
      <c r="K271" s="2739"/>
      <c r="L271" s="2762">
        <f>'Part II-Sources of Funds'!L29</f>
        <v>2256300</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17919833</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17871425</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48408</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ServisFirst</v>
      </c>
      <c r="F282" s="2739"/>
      <c r="G282" s="2739"/>
      <c r="H282" s="2739"/>
      <c r="I282" s="2762">
        <f>'Part II-Sources of Funds'!I40</f>
        <v>4410000</v>
      </c>
      <c r="J282" s="2689"/>
      <c r="K282" s="2763">
        <f>'Part II-Sources of Funds'!K40</f>
        <v>0.06</v>
      </c>
      <c r="L282" s="2707">
        <f>'Part II-Sources of Funds'!L40</f>
        <v>20</v>
      </c>
      <c r="M282" s="2707">
        <f>'Part II-Sources of Funds'!M40</f>
        <v>30</v>
      </c>
      <c r="N282" s="2689" t="str">
        <f>'Part II-Sources of Funds'!N40</f>
        <v>Amortizing</v>
      </c>
      <c r="O282" s="2689"/>
      <c r="P282" s="2767">
        <f>'Part II-Sources of Funds'!P40</f>
        <v>317282.13791083649</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0.41926381461675577</v>
      </c>
      <c r="E287" s="2739" t="str">
        <f>'Part II-Sources of Funds'!E45</f>
        <v>Arbour Valley Development, LLC</v>
      </c>
      <c r="F287" s="2739"/>
      <c r="G287" s="2739"/>
      <c r="H287" s="2739"/>
      <c r="I287" s="2762">
        <f>'Part II-Sources of Funds'!I45</f>
        <v>705621</v>
      </c>
      <c r="J287" s="2760"/>
      <c r="K287" s="2763">
        <f>'Part II-Sources of Funds'!K45</f>
        <v>0</v>
      </c>
      <c r="L287" s="2707">
        <f>'Part II-Sources of Funds'!L45</f>
        <v>15</v>
      </c>
      <c r="M287" s="2707">
        <f>'Part II-Sources of Funds'!M45</f>
        <v>15</v>
      </c>
      <c r="N287" s="2689">
        <f>'Part II-Sources of Funds'!N45</f>
        <v>0</v>
      </c>
      <c r="O287" s="2689"/>
      <c r="P287" s="2767" t="str">
        <f>'Part II-Sources of Funds'!P45</f>
        <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1337868.2135883919</v>
      </c>
      <c r="H289" s="2780" t="s">
        <v>3407</v>
      </c>
      <c r="I289" s="2779">
        <f>'Part II-Sources of Funds'!I47</f>
        <v>705620.65698070067</v>
      </c>
      <c r="K289" s="2780" t="s">
        <v>3409</v>
      </c>
      <c r="L289" s="2781">
        <f>'Part II-Sources of Funds'!L47</f>
        <v>0.52742164722495732</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Raymond James</v>
      </c>
      <c r="F293" s="2739"/>
      <c r="G293" s="2739"/>
      <c r="H293" s="2739"/>
      <c r="I293" s="2762">
        <f>'Part II-Sources of Funds'!I51</f>
        <v>9158834</v>
      </c>
      <c r="J293" s="2772"/>
      <c r="L293" s="2786">
        <f>'Part III-A-Uses of Funds'!$J$191*10*'Part III-A-Uses of Funds'!$N$182</f>
        <v>9159750</v>
      </c>
      <c r="M293" s="2786"/>
      <c r="N293" s="2787">
        <f>I293-L293</f>
        <v>-916</v>
      </c>
      <c r="O293" s="2787"/>
      <c r="P293" s="2788">
        <f>I293/I303</f>
        <v>0.45989152509351522</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Raymond James</v>
      </c>
      <c r="F294" s="2739"/>
      <c r="G294" s="2739"/>
      <c r="H294" s="2739"/>
      <c r="I294" s="2762">
        <f>'Part II-Sources of Funds'!I52</f>
        <v>5640750</v>
      </c>
      <c r="J294" s="2772"/>
      <c r="L294" s="2786">
        <f>'Part III-A-Uses of Funds'!$J$191*10*'Part III-A-Uses of Funds'!$Q$182</f>
        <v>5640750</v>
      </c>
      <c r="M294" s="2786"/>
      <c r="N294" s="2787">
        <f>I294-L294</f>
        <v>0</v>
      </c>
      <c r="O294" s="2787"/>
      <c r="P294" s="2788">
        <f>I294/I303</f>
        <v>0.28323835983611517</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0.74312988492963039</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19915205</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19915205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 xml:space="preserve">Construction sources reflect the amount of funding that will be available at the benchmarks provided by the Equity Investor. </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Arbours at Town Branch, ,  County</v>
      </c>
      <c r="W312" s="2681" t="str">
        <f>A312</f>
        <v>PART THREE (A):  USES OF FUNDS  -  2022-0 Arbours at Town Branch,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12000</v>
      </c>
      <c r="H321" s="2762"/>
      <c r="J321" s="2762">
        <f>'Part III-A-Uses of Funds'!J11</f>
        <v>12000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20000</v>
      </c>
      <c r="H322" s="2762"/>
      <c r="J322" s="2762">
        <f>'Part III-A-Uses of Funds'!J12</f>
        <v>20000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10000</v>
      </c>
      <c r="H323" s="2762"/>
      <c r="J323" s="2762">
        <f>'Part III-A-Uses of Funds'!J13</f>
        <v>10000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60000</v>
      </c>
      <c r="H328" s="2792"/>
      <c r="J328" s="2792">
        <f>SUM(J319:J327)</f>
        <v>60000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80346.106304079105</v>
      </c>
      <c r="G330" s="2762">
        <f>'Part III-A-Uses of Funds'!G20</f>
        <v>650000</v>
      </c>
      <c r="H330" s="2762"/>
      <c r="J330" s="2795"/>
      <c r="K330" s="2792"/>
      <c r="L330" s="2795"/>
      <c r="M330" s="2795"/>
      <c r="N330" s="2792"/>
      <c r="P330" s="2795"/>
      <c r="Q330" s="2792"/>
      <c r="S330" s="2762">
        <f>'Part III-A-Uses of Funds'!S20</f>
        <v>650000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650000</v>
      </c>
      <c r="H334" s="2792"/>
      <c r="J334" s="2795"/>
      <c r="K334" s="2792"/>
      <c r="L334" s="2795"/>
      <c r="M334" s="2792">
        <f>SUM(M332:M333)</f>
        <v>0</v>
      </c>
      <c r="N334" s="2792"/>
      <c r="P334" s="2795"/>
      <c r="Q334" s="2792"/>
      <c r="S334" s="2792">
        <f>SUM(S330:S333)</f>
        <v>650000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334285.29048207664</v>
      </c>
      <c r="G336" s="2762">
        <f>'Part III-A-Uses of Funds'!G26</f>
        <v>2704368</v>
      </c>
      <c r="H336" s="2762"/>
      <c r="J336" s="2762">
        <f>'Part III-A-Uses of Funds'!J26</f>
        <v>2704368</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2704368</v>
      </c>
      <c r="H338" s="2792"/>
      <c r="J338" s="2792">
        <f>SUM(J336:J337)</f>
        <v>2704368</v>
      </c>
      <c r="K338" s="2792"/>
      <c r="L338" s="2795"/>
      <c r="M338" s="2792">
        <f>M336</f>
        <v>0</v>
      </c>
      <c r="N338" s="2792"/>
      <c r="P338" s="2792">
        <f>P336</f>
        <v>0</v>
      </c>
      <c r="Q338" s="2792"/>
      <c r="S338" s="2792">
        <f>SUM(S336:S337)</f>
        <v>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9364098</v>
      </c>
      <c r="H340" s="2762"/>
      <c r="J340" s="2762">
        <f>'Part III-A-Uses of Funds'!J30</f>
        <v>9364098</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191703</v>
      </c>
      <c r="H342" s="2762"/>
      <c r="J342" s="2762">
        <f>'Part III-A-Uses of Funds'!J32</f>
        <v>191703</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9555801</v>
      </c>
      <c r="H346" s="2792"/>
      <c r="J346" s="2792">
        <f>SUM(J340:J345)</f>
        <v>9555801</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735610</v>
      </c>
      <c r="F348" s="2807">
        <f>IF(($G$28+$G$36)=0,0,G348/($G$28+$G$36))</f>
        <v>0</v>
      </c>
      <c r="G348" s="2762">
        <f>'Part III-A-Uses of Funds'!G38</f>
        <v>735610</v>
      </c>
      <c r="H348" s="2762"/>
      <c r="J348" s="2762">
        <f>'Part III-A-Uses of Funds'!J38</f>
        <v>735610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245203</v>
      </c>
      <c r="F349" s="2807">
        <f>IF(($G$28+$G$36)=0,0,G349/($G$28+$G$36))</f>
        <v>0</v>
      </c>
      <c r="G349" s="2762">
        <f>'Part III-A-Uses of Funds'!G39</f>
        <v>245203</v>
      </c>
      <c r="H349" s="2762"/>
      <c r="I349" s="2693"/>
      <c r="J349" s="2762">
        <f>'Part III-A-Uses of Funds'!J39</f>
        <v>245203</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735610</v>
      </c>
      <c r="F350" s="2807">
        <f>IF(($G$28+$G$36)=0,0,G350/($G$28+$G$36))</f>
        <v>0</v>
      </c>
      <c r="G350" s="2762">
        <f>'Part III-A-Uses of Funds'!G40</f>
        <v>735610</v>
      </c>
      <c r="H350" s="2762"/>
      <c r="I350" s="2693"/>
      <c r="J350" s="2762">
        <f>'Part III-A-Uses of Funds'!J40</f>
        <v>735610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1716423</v>
      </c>
      <c r="F351" s="2800" t="s">
        <v>184</v>
      </c>
      <c r="G351" s="2792">
        <f>SUM(G348:G350)</f>
        <v>1716423</v>
      </c>
      <c r="H351" s="2792"/>
      <c r="J351" s="2792">
        <f>SUM(J348:J350)</f>
        <v>1716423</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13976592</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6830</v>
      </c>
      <c r="C358" s="2814"/>
      <c r="E358" s="2683" t="s">
        <v>2480</v>
      </c>
      <c r="F358" s="2815">
        <f>C359/'Part V-Revenues &amp; Expenses'!$P$65</f>
        <v>218384.25</v>
      </c>
      <c r="G358" s="2816" t="s">
        <v>6831</v>
      </c>
      <c r="J358" s="2817">
        <f>C359/'Part V-Revenues &amp; Expenses'!$P$67</f>
        <v>218384.25</v>
      </c>
      <c r="K358" s="2817"/>
      <c r="M358" s="2818" t="s">
        <v>6481</v>
      </c>
      <c r="N358" s="2818"/>
      <c r="P358" s="2817">
        <f>C359/'Part V-Revenues &amp; Expenses'!$K$175</f>
        <v>197.54341926729987</v>
      </c>
      <c r="Q358" s="2817"/>
      <c r="S358" s="2819" t="s">
        <v>6483</v>
      </c>
      <c r="T358" s="2819"/>
      <c r="V358" s="2801"/>
      <c r="W358" s="2797"/>
      <c r="X358" s="2797"/>
      <c r="AZ358" s="2702"/>
      <c r="BA358" s="2682">
        <v>48</v>
      </c>
    </row>
    <row r="359" spans="1:53" s="2681" customFormat="1" ht="12.6" customHeight="1">
      <c r="B359" s="2820" t="s">
        <v>6494</v>
      </c>
      <c r="C359" s="2821">
        <f>G338+G346+G351+G356</f>
        <v>13976592</v>
      </c>
      <c r="E359" s="2683"/>
      <c r="F359" s="2815">
        <f>C359/'Part V-Revenues &amp; Expenses'!$P$166</f>
        <v>197.54341926729987</v>
      </c>
      <c r="G359" s="2819" t="s">
        <v>6832</v>
      </c>
      <c r="J359" s="2817">
        <f>C359/'Part V-Revenues &amp; Expenses'!$P$168</f>
        <v>197.54341926729987</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698829.60000000009</v>
      </c>
      <c r="F365" s="2774">
        <f>G365/C359</f>
        <v>4.9999957071079987E-2</v>
      </c>
      <c r="G365" s="2762">
        <f>'Part III-A-Uses of Funds'!G55</f>
        <v>698829</v>
      </c>
      <c r="H365" s="2762"/>
      <c r="I365" s="2681"/>
      <c r="J365" s="2762">
        <f>'Part III-A-Uses of Funds'!J55</f>
        <v>698829</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229303.453125</v>
      </c>
      <c r="G367" s="2816" t="s">
        <v>6831</v>
      </c>
      <c r="J367" s="2817">
        <f>B368/'Part V-Revenues &amp; Expenses'!$P$67</f>
        <v>229303.453125</v>
      </c>
      <c r="K367" s="2817"/>
      <c r="M367" s="2818" t="s">
        <v>6481</v>
      </c>
      <c r="N367" s="2818"/>
      <c r="P367" s="2817">
        <f>B368/'Part V-Revenues &amp; Expenses'!$K$175</f>
        <v>207.42058175033921</v>
      </c>
      <c r="Q367" s="2817"/>
      <c r="S367" s="2819" t="s">
        <v>6483</v>
      </c>
      <c r="T367" s="2819"/>
      <c r="V367" s="2801"/>
      <c r="W367" s="2797"/>
      <c r="X367" s="2797"/>
      <c r="AZ367" s="2702"/>
      <c r="BA367" s="2682">
        <v>54</v>
      </c>
    </row>
    <row r="368" spans="1:53" s="2681" customFormat="1" ht="12.6" customHeight="1">
      <c r="B368" s="2821">
        <f>C359+G365</f>
        <v>14675421</v>
      </c>
      <c r="C368" s="2821"/>
      <c r="E368" s="2683"/>
      <c r="F368" s="2815">
        <f>B368/'Part V-Revenues &amp; Expenses'!$P$166</f>
        <v>207.42058175033921</v>
      </c>
      <c r="G368" s="2819" t="s">
        <v>6832</v>
      </c>
      <c r="J368" s="2817">
        <f>B368/'Part V-Revenues &amp; Expenses'!$P$168</f>
        <v>207.42058175033921</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120000</v>
      </c>
      <c r="H373" s="2762"/>
      <c r="J373" s="2762">
        <f>'Part III-A-Uses of Funds'!J63</f>
        <v>120000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621845</v>
      </c>
      <c r="H374" s="2762"/>
      <c r="J374" s="2762">
        <f>'Part III-A-Uses of Funds'!J64</f>
        <v>621845</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2169</v>
      </c>
      <c r="G375" s="2762">
        <f>'Part III-A-Uses of Funds'!G65</f>
        <v>20000</v>
      </c>
      <c r="H375" s="2762"/>
      <c r="J375" s="2762">
        <f>'Part III-A-Uses of Funds'!J65</f>
        <v>20000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2451</v>
      </c>
      <c r="G376" s="2762">
        <f>'Part III-A-Uses of Funds'!G66</f>
        <v>25000</v>
      </c>
      <c r="H376" s="2762"/>
      <c r="J376" s="2762">
        <f>'Part III-A-Uses of Funds'!J66</f>
        <v>25000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18000</v>
      </c>
      <c r="H377" s="2762"/>
      <c r="J377" s="2762">
        <f>'Part III-A-Uses of Funds'!J67</f>
        <v>18000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139744</v>
      </c>
      <c r="H378" s="2762"/>
      <c r="J378" s="2762">
        <f>'Part III-A-Uses of Funds'!J68</f>
        <v>139744</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103000</v>
      </c>
      <c r="H379" s="2762"/>
      <c r="J379" s="2762">
        <f>'Part III-A-Uses of Funds'!J69</f>
        <v>103000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97836</v>
      </c>
      <c r="H380" s="2762"/>
      <c r="J380" s="2762">
        <f>'Part III-A-Uses of Funds'!J70</f>
        <v>97836</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1145425</v>
      </c>
      <c r="H383" s="2792"/>
      <c r="J383" s="2792">
        <f>SUM(J371:J382)</f>
        <v>1145425</v>
      </c>
      <c r="K383" s="2792"/>
      <c r="L383" s="2795"/>
      <c r="M383" s="2792">
        <f>SUM(M371:M382)</f>
        <v>0</v>
      </c>
      <c r="N383" s="2792"/>
      <c r="P383" s="2792">
        <f>SUM(P371:P382)</f>
        <v>0</v>
      </c>
      <c r="Q383" s="2792"/>
      <c r="S383" s="2792">
        <f>SUM(S371:S382)</f>
        <v>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145920</v>
      </c>
      <c r="H385" s="2762"/>
      <c r="J385" s="2762">
        <f>'Part III-A-Uses of Funds'!J75</f>
        <v>145920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36480</v>
      </c>
      <c r="H386" s="2762"/>
      <c r="J386" s="2762">
        <f>'Part III-A-Uses of Funds'!J76</f>
        <v>36480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0</v>
      </c>
      <c r="H388" s="2762"/>
      <c r="J388" s="2762">
        <f>'Part III-A-Uses of Funds'!J78</f>
        <v>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0</v>
      </c>
      <c r="H389" s="2762"/>
      <c r="J389" s="2762">
        <f>'Part III-A-Uses of Funds'!J79</f>
        <v>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109620</v>
      </c>
      <c r="H391" s="2762"/>
      <c r="J391" s="2762">
        <f>'Part III-A-Uses of Funds'!J81</f>
        <v>109620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70000</v>
      </c>
      <c r="H392" s="2762"/>
      <c r="J392" s="2762">
        <f>'Part III-A-Uses of Funds'!J82</f>
        <v>70000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30000</v>
      </c>
      <c r="H393" s="2762"/>
      <c r="J393" s="2762">
        <f>'Part III-A-Uses of Funds'!J83</f>
        <v>30000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422020</v>
      </c>
      <c r="H396" s="2792"/>
      <c r="J396" s="2792">
        <f>SUM(J385:J395)</f>
        <v>422020</v>
      </c>
      <c r="K396" s="2792"/>
      <c r="L396" s="2795"/>
      <c r="M396" s="2792">
        <f>SUM(M385:M395)</f>
        <v>0</v>
      </c>
      <c r="N396" s="2792"/>
      <c r="P396" s="2792">
        <f>SUM(P385:P395)</f>
        <v>0</v>
      </c>
      <c r="Q396" s="2792"/>
      <c r="S396" s="2792">
        <f>SUM(S385:S395)</f>
        <v>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6597.796875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65139</v>
      </c>
      <c r="H398" s="2762"/>
      <c r="J398" s="2762">
        <f>'Part III-A-Uses of Funds'!J88</f>
        <v>65139</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101120</v>
      </c>
      <c r="H400" s="2762"/>
      <c r="J400" s="2762">
        <f>'Part III-A-Uses of Funds'!J90</f>
        <v>101120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256000</v>
      </c>
      <c r="H401" s="2762"/>
      <c r="J401" s="2762">
        <f>'Part III-A-Uses of Funds'!J91</f>
        <v>256000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422259</v>
      </c>
      <c r="H402" s="2792"/>
      <c r="J402" s="2792">
        <f>SUM(J398:J401)</f>
        <v>422259</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44100</v>
      </c>
      <c r="H407" s="2762"/>
      <c r="J407" s="2792"/>
      <c r="K407" s="2792"/>
      <c r="L407" s="2795"/>
      <c r="M407" s="2792"/>
      <c r="N407" s="2792"/>
      <c r="P407" s="2792"/>
      <c r="Q407" s="2792"/>
      <c r="S407" s="2762">
        <f>'Part III-A-Uses of Funds'!S97</f>
        <v>44100</v>
      </c>
      <c r="T407" s="2762"/>
      <c r="V407" s="2796"/>
      <c r="W407" s="2797"/>
      <c r="X407" s="2797"/>
      <c r="AZ407" s="2702" t="s">
        <v>6390</v>
      </c>
      <c r="BA407" s="2682">
        <v>97</v>
      </c>
    </row>
    <row r="408" spans="1:53" s="2681" customFormat="1" ht="12" customHeight="1">
      <c r="B408" s="2681" t="s">
        <v>1200</v>
      </c>
      <c r="G408" s="2762">
        <f>'Part III-A-Uses of Funds'!G98</f>
        <v>30000</v>
      </c>
      <c r="H408" s="2762"/>
      <c r="J408" s="2792"/>
      <c r="K408" s="2792"/>
      <c r="L408" s="2795"/>
      <c r="M408" s="2792"/>
      <c r="N408" s="2792"/>
      <c r="P408" s="2792"/>
      <c r="Q408" s="2792"/>
      <c r="S408" s="2762">
        <f>'Part III-A-Uses of Funds'!S98</f>
        <v>30000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74100</v>
      </c>
      <c r="H413" s="2792"/>
      <c r="J413" s="2792"/>
      <c r="K413" s="2792"/>
      <c r="L413" s="2795"/>
      <c r="M413" s="2792"/>
      <c r="N413" s="2792"/>
      <c r="P413" s="2792"/>
      <c r="Q413" s="2792"/>
      <c r="S413" s="2792">
        <f>SUM(S407:S412)</f>
        <v>74100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6655</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64</v>
      </c>
      <c r="AZ416" s="2702" t="s">
        <v>6391</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6717</v>
      </c>
      <c r="AB417" s="2692"/>
      <c r="AC417" s="2692"/>
      <c r="AD417" s="2692"/>
      <c r="AF417" s="2839" t="s">
        <v>6718</v>
      </c>
      <c r="AZ417" s="2702" t="s">
        <v>6392</v>
      </c>
      <c r="BA417" s="2682">
        <v>107</v>
      </c>
    </row>
    <row r="418" spans="1:53" s="2681" customFormat="1" ht="12.6" customHeight="1">
      <c r="B418" s="2681" t="s">
        <v>486</v>
      </c>
      <c r="E418" s="2840">
        <f>ROUNDUP('DCA Underwriting Assumptions'!$Q$53*J501,0)</f>
        <v>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51200</v>
      </c>
      <c r="F419" s="2840"/>
      <c r="G419" s="2762">
        <f>'Part III-A-Uses of Funds'!G109</f>
        <v>64000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64000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0</v>
      </c>
      <c r="H421" s="2762"/>
      <c r="J421" s="2708"/>
      <c r="K421" s="2708"/>
      <c r="L421" s="2708"/>
      <c r="M421" s="2708"/>
      <c r="N421" s="2708"/>
      <c r="O421" s="2708"/>
      <c r="P421" s="2708"/>
      <c r="Q421" s="2708"/>
      <c r="S421" s="2762">
        <f>'Part III-A-Uses of Funds'!S111</f>
        <v>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64</v>
      </c>
      <c r="AF423" s="2843">
        <f>IF($AD$105="Income Averaging",AD423*'DCA Underwriting Assumptions'!$Q$58,AD423*'DCA Underwriting Assumptions'!$Q$57)</f>
        <v>51200</v>
      </c>
      <c r="AZ423" s="2702" t="s">
        <v>6394</v>
      </c>
      <c r="BA423" s="2682">
        <v>113</v>
      </c>
    </row>
    <row r="424" spans="1:53" s="2681" customFormat="1" ht="12.6" customHeight="1">
      <c r="F424" s="2800" t="s">
        <v>184</v>
      </c>
      <c r="G424" s="2792">
        <f>SUM(G415:G423)</f>
        <v>154300</v>
      </c>
      <c r="H424" s="2792"/>
      <c r="J424" s="2795"/>
      <c r="K424" s="2795"/>
      <c r="L424" s="2795"/>
      <c r="M424" s="2795"/>
      <c r="N424" s="2795"/>
      <c r="P424" s="2795"/>
      <c r="Q424" s="2795"/>
      <c r="S424" s="2792">
        <f>SUM(S415:S423)</f>
        <v>154300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64</v>
      </c>
      <c r="AF425" s="2843">
        <f>SUM(AF423:AF424)</f>
        <v>51200</v>
      </c>
      <c r="AZ425" s="2751"/>
      <c r="BA425" s="2682">
        <v>115</v>
      </c>
    </row>
    <row r="426" spans="1:53" s="2681" customFormat="1" ht="12.6" customHeight="1">
      <c r="B426" s="2681" t="s">
        <v>267</v>
      </c>
      <c r="G426" s="2762">
        <f>'Part III-A-Uses of Funds'!G116</f>
        <v>25000</v>
      </c>
      <c r="H426" s="2762"/>
      <c r="J426" s="2792"/>
      <c r="K426" s="2792"/>
      <c r="L426" s="2795"/>
      <c r="M426" s="2792"/>
      <c r="N426" s="2792"/>
      <c r="P426" s="2792"/>
      <c r="Q426" s="2792"/>
      <c r="S426" s="2762">
        <f>'Part III-A-Uses of Funds'!S116</f>
        <v>25000</v>
      </c>
      <c r="T426" s="2762"/>
      <c r="V426" s="2796"/>
      <c r="W426" s="2797"/>
      <c r="X426" s="2797"/>
      <c r="AZ426" s="2751"/>
      <c r="BA426" s="2682">
        <v>116</v>
      </c>
    </row>
    <row r="427" spans="1:53" s="2681" customFormat="1" ht="12.6" customHeight="1">
      <c r="B427" s="2681" t="s">
        <v>268</v>
      </c>
      <c r="G427" s="2762">
        <f>'Part III-A-Uses of Funds'!G117</f>
        <v>5000</v>
      </c>
      <c r="H427" s="2762"/>
      <c r="J427" s="2792"/>
      <c r="K427" s="2792"/>
      <c r="L427" s="2795"/>
      <c r="M427" s="2792"/>
      <c r="N427" s="2792"/>
      <c r="P427" s="2792"/>
      <c r="Q427" s="2792"/>
      <c r="S427" s="2762">
        <f>'Part III-A-Uses of Funds'!S117</f>
        <v>5000</v>
      </c>
      <c r="T427" s="2762"/>
      <c r="V427" s="2796"/>
      <c r="W427" s="2797"/>
      <c r="X427" s="2797"/>
      <c r="AZ427" s="2751"/>
      <c r="BA427" s="2682">
        <v>117</v>
      </c>
    </row>
    <row r="428" spans="1:53" s="2681" customFormat="1" ht="12.6" customHeight="1">
      <c r="B428" s="2681" t="s">
        <v>2201</v>
      </c>
      <c r="G428" s="2762">
        <f>'Part III-A-Uses of Funds'!G118</f>
        <v>40000</v>
      </c>
      <c r="H428" s="2762"/>
      <c r="J428" s="2792"/>
      <c r="K428" s="2792"/>
      <c r="L428" s="2795"/>
      <c r="M428" s="2792"/>
      <c r="N428" s="2792"/>
      <c r="P428" s="2792"/>
      <c r="Q428" s="2792"/>
      <c r="S428" s="2762">
        <f>'Part III-A-Uses of Funds'!S118</f>
        <v>40000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70000</v>
      </c>
      <c r="H430" s="2792"/>
      <c r="J430" s="2792"/>
      <c r="K430" s="2792"/>
      <c r="L430" s="2795"/>
      <c r="M430" s="2792"/>
      <c r="N430" s="2792"/>
      <c r="P430" s="2792"/>
      <c r="Q430" s="2792"/>
      <c r="S430" s="2792">
        <f>SUM(S426:S429)</f>
        <v>70000</v>
      </c>
      <c r="T430" s="2792"/>
      <c r="V430" s="2796">
        <f>SUM(V426:V429)</f>
        <v>0</v>
      </c>
      <c r="W430" s="2797"/>
      <c r="X430" s="2797"/>
      <c r="AC430" s="2848" t="s">
        <v>3927</v>
      </c>
      <c r="AD430" s="2848" t="s">
        <v>3928</v>
      </c>
      <c r="AE430" s="2848" t="s">
        <v>3931</v>
      </c>
      <c r="AF430" s="2849" t="s">
        <v>3929</v>
      </c>
      <c r="AG430" s="2848" t="s">
        <v>3920</v>
      </c>
      <c r="AH430" s="2848" t="s">
        <v>6749</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0</v>
      </c>
      <c r="H432" s="2762"/>
      <c r="J432" s="2762">
        <f>'Part III-A-Uses of Funds'!J122</f>
        <v>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3414</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1683000</v>
      </c>
      <c r="H436" s="2762"/>
      <c r="J436" s="2762">
        <f>'Part III-A-Uses of Funds'!J126</f>
        <v>1683000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1683000</v>
      </c>
      <c r="H437" s="2792"/>
      <c r="J437" s="2792">
        <f>SUM(J432:J436)</f>
        <v>1683000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82733.5</v>
      </c>
      <c r="G440" s="2762">
        <f>'Part III-A-Uses of Funds'!G130</f>
        <v>86734</v>
      </c>
      <c r="H440" s="2762"/>
      <c r="J440" s="2861" t="str">
        <f>IF(E440&gt;G440,"WARNING! Rent-Up Reserves proposed is below minimum - add comment.","")</f>
        <v/>
      </c>
      <c r="K440" s="2861"/>
      <c r="L440" s="2795"/>
      <c r="M440" s="2792"/>
      <c r="N440" s="2792"/>
      <c r="P440" s="2792"/>
      <c r="Q440" s="2792"/>
      <c r="S440" s="2762">
        <f>'Part III-A-Uses of Funds'!S130</f>
        <v>86734</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324108.06895541825</v>
      </c>
      <c r="G441" s="2762">
        <f>'Part III-A-Uses of Funds'!G131</f>
        <v>331946</v>
      </c>
      <c r="H441" s="2762"/>
      <c r="J441" s="2861" t="str">
        <f>IF(E441&gt;G441,"WARNING! ODR proposed is below minimum - add comment.","")</f>
        <v/>
      </c>
      <c r="K441" s="2836"/>
      <c r="L441" s="2836"/>
      <c r="M441" s="2836"/>
      <c r="N441" s="2836"/>
      <c r="P441" s="2836"/>
      <c r="Q441" s="2836"/>
      <c r="S441" s="2762">
        <f>'Part III-A-Uses of Funds'!S131</f>
        <v>331946</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1796.875</v>
      </c>
      <c r="G443" s="2762">
        <f>'Part III-A-Uses of Funds'!G133</f>
        <v>115000</v>
      </c>
      <c r="H443" s="2762"/>
      <c r="J443" s="2762">
        <f>'Part III-A-Uses of Funds'!J133</f>
        <v>115000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558680</v>
      </c>
      <c r="H445" s="2792"/>
      <c r="J445" s="2792">
        <f>SUM(J443:J444)</f>
        <v>115000</v>
      </c>
      <c r="K445" s="2792"/>
      <c r="L445" s="2795"/>
      <c r="M445" s="2792">
        <f>SUM(M443:M444)</f>
        <v>0</v>
      </c>
      <c r="N445" s="2792"/>
      <c r="P445" s="2792">
        <f>SUM(P443:P444)</f>
        <v>0</v>
      </c>
      <c r="Q445" s="2792"/>
      <c r="S445" s="2792">
        <f>SUM(S439:S444)</f>
        <v>443680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19915205</v>
      </c>
      <c r="H456" s="2792"/>
      <c r="J456" s="2792">
        <f>J328+J334+J338+J346+J351+J356+J365+J383+J396+J402+J413+J424+J430+J437+J445+J454</f>
        <v>18523125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1392080</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311175.078125</v>
      </c>
      <c r="E458" s="2868"/>
      <c r="F458" s="2862" t="s">
        <v>2489</v>
      </c>
      <c r="G458" s="2868">
        <f>IF('Part V-Revenues &amp; Expenses'!$K$175=0,0,G456/'Part V-Revenues &amp; Expenses'!$K$175)</f>
        <v>281.47903946178201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18523125</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18523125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24080062.5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24080062.5</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2167205.625</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2167205</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19915205</v>
      </c>
      <c r="K486" s="2769"/>
      <c r="L486" s="2769"/>
      <c r="N486" s="2872" t="s">
        <v>6723</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4410000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15505205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1550520.5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1.4300000000000002</v>
      </c>
      <c r="K492" s="2881"/>
      <c r="L492" s="2881"/>
      <c r="M492" s="2682" t="s">
        <v>1213</v>
      </c>
      <c r="N492" s="2882">
        <f>'Part III-A-Uses of Funds'!N182</f>
        <v>0.88500000000000001</v>
      </c>
      <c r="O492" s="2882"/>
      <c r="P492" s="2682" t="s">
        <v>570</v>
      </c>
      <c r="Q492" s="2882">
        <f>'Part III-A-Uses of Funds'!Q182</f>
        <v>0.54500000000000004</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1084280</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0</v>
      </c>
      <c r="K497" s="2772"/>
      <c r="L497" s="2772"/>
      <c r="Q497" s="2692" t="s">
        <v>6255</v>
      </c>
      <c r="R497" s="2692"/>
      <c r="S497" s="2692" t="str">
        <f>'Part VIII Scoring Criteria'!$M$59</f>
        <v>Rural</v>
      </c>
      <c r="T497" s="2692"/>
      <c r="U497" s="2682" t="e">
        <f>IF(OR(S497="Atlanta Metro", "Other Metro"), "Metro", IF(S497="Rural","Rural",""))</f>
        <v>#VALUE!</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1035000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Hard Costs are based on recent project of similar construction type.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Arbours at Town Branch  -  Villa Rica  -  Carroll,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6761</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Arbours at Town Branch,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North</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10</v>
      </c>
      <c r="L604" s="2912">
        <f>'Part IV-Utility Allowances'!L13</f>
        <v>0</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19</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0</v>
      </c>
      <c r="M606" s="2912">
        <f>'Part IV-Utility Allowances'!M15</f>
        <v>0</v>
      </c>
      <c r="O606" s="2688"/>
      <c r="P606" s="2688"/>
      <c r="Q606" s="2688"/>
    </row>
    <row r="607" spans="1:25" s="652" customFormat="1" ht="12" customHeight="1">
      <c r="B607" s="2550" t="s">
        <v>3272</v>
      </c>
      <c r="C607" s="2550"/>
      <c r="D607" s="2550" t="s">
        <v>1492</v>
      </c>
      <c r="F607" s="2911" t="str">
        <f>'Part IV-Utility Allowances'!F16</f>
        <v>X</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t="str">
        <f>'Part IV-Utility Allowances'!F17</f>
        <v>X</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28</v>
      </c>
      <c r="L609" s="2912">
        <f>'Part IV-Utility Allowances'!L18</f>
        <v>0</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t="str">
        <f>'Part IV-Utility Allowances'!F19</f>
        <v>X</v>
      </c>
      <c r="G610" s="2911">
        <f>'Part IV-Utility Allowances'!G19</f>
        <v>0</v>
      </c>
      <c r="I610" s="2912">
        <f>'Part IV-Utility Allowances'!I19</f>
        <v>0</v>
      </c>
      <c r="J610" s="2912">
        <f>'Part IV-Utility Allowances'!J19</f>
        <v>48</v>
      </c>
      <c r="K610" s="2912">
        <f>'Part IV-Utility Allowances'!K19</f>
        <v>55</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108</v>
      </c>
      <c r="K613" s="2910">
        <f>IF(SUM(K603:K612)=0,0,IF(OR($D603="&lt;&lt;Select Fuel &gt;&gt;",$D604="&lt;&lt;Select Fuel &gt;&gt;",$D605="&lt;&lt;Select Fuel &gt;&gt;"),"Select Fuel",IF($E610="&lt;Select&gt;","Submeter?",SUM(K603:K612))))</f>
        <v>132</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 xml:space="preserve">The utility allowances are based on DCA issued Utility Allowance Schedule for this development type. </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Arbours at Town Branch, ,  County</v>
      </c>
      <c r="T640" s="2550" t="str">
        <f>A640</f>
        <v>PART FOUR - PROJECTED REVENUES &amp; EXPENSES  -  2022-0 Arbours at Town Branch,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6766</v>
      </c>
      <c r="P644" s="2924">
        <f>'Part V-Revenues &amp; Expenses'!P6</f>
        <v>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4075</v>
      </c>
      <c r="J645" s="2917" t="s">
        <v>742</v>
      </c>
      <c r="K645" s="2917" t="s">
        <v>3185</v>
      </c>
      <c r="L645" s="2922"/>
      <c r="M645" s="2922"/>
      <c r="N645" s="2922"/>
      <c r="O645" s="2927" t="s">
        <v>6080</v>
      </c>
      <c r="P645" s="2928">
        <f>'Part V-Revenues &amp; Expenses'!P7</f>
        <v>0</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6485</v>
      </c>
      <c r="O646" s="2931">
        <f>'Part V-Revenues &amp; Expenses'!O8</f>
        <v>0</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6842</v>
      </c>
      <c r="L647" s="2135" t="s">
        <v>139</v>
      </c>
      <c r="M647" s="2135"/>
      <c r="N647" s="2917" t="s">
        <v>2185</v>
      </c>
      <c r="O647" s="2917" t="s">
        <v>6488</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40</v>
      </c>
      <c r="C656" s="2939">
        <f>'Part V-Revenues &amp; Expenses'!C18</f>
        <v>1</v>
      </c>
      <c r="D656" s="2940">
        <f>'Part V-Revenues &amp; Expenses'!D18</f>
        <v>1</v>
      </c>
      <c r="E656" s="2941">
        <f>'Part V-Revenues &amp; Expenses'!E18</f>
        <v>2</v>
      </c>
      <c r="F656" s="2941">
        <f>'Part V-Revenues &amp; Expenses'!F18</f>
        <v>888</v>
      </c>
      <c r="G656" s="2941">
        <f>'Part V-Revenues &amp; Expenses'!G18</f>
        <v>723</v>
      </c>
      <c r="H656" s="2941">
        <f>'Part V-Revenues &amp; Expenses'!H18</f>
        <v>723</v>
      </c>
      <c r="I656" s="2941">
        <f>'Part V-Revenues &amp; Expenses'!I18</f>
        <v>0</v>
      </c>
      <c r="J656" s="2941">
        <f>'Part V-Revenues &amp; Expenses'!J18</f>
        <v>108</v>
      </c>
      <c r="K656" s="2942">
        <f>'Part V-Revenues &amp; Expenses'!K18</f>
        <v>0</v>
      </c>
      <c r="L656" s="2943">
        <f t="shared" si="340"/>
        <v>615</v>
      </c>
      <c r="M656" s="2943">
        <f t="shared" si="341"/>
        <v>1230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f t="shared" si="24"/>
        <v>2</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f t="shared" si="54"/>
        <v>2</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f t="shared" si="139"/>
        <v>1776</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2</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1</v>
      </c>
      <c r="D657" s="2940">
        <f>'Part V-Revenues &amp; Expenses'!D19</f>
        <v>1</v>
      </c>
      <c r="E657" s="2941">
        <f>'Part V-Revenues &amp; Expenses'!E19</f>
        <v>3</v>
      </c>
      <c r="F657" s="2941">
        <f>'Part V-Revenues &amp; Expenses'!F19</f>
        <v>888</v>
      </c>
      <c r="G657" s="2941">
        <f>'Part V-Revenues &amp; Expenses'!G19</f>
        <v>904</v>
      </c>
      <c r="H657" s="2941">
        <f>'Part V-Revenues &amp; Expenses'!H19</f>
        <v>904</v>
      </c>
      <c r="I657" s="2941">
        <f>'Part V-Revenues &amp; Expenses'!I19</f>
        <v>0</v>
      </c>
      <c r="J657" s="2941">
        <f>'Part V-Revenues &amp; Expenses'!J19</f>
        <v>108</v>
      </c>
      <c r="K657" s="2942">
        <f>'Part V-Revenues &amp; Expenses'!K19</f>
        <v>0</v>
      </c>
      <c r="L657" s="2943">
        <f t="shared" si="340"/>
        <v>796</v>
      </c>
      <c r="M657" s="2943">
        <f t="shared" si="341"/>
        <v>2388</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f t="shared" si="19"/>
        <v>3</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f t="shared" si="134"/>
        <v>2664</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3</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3</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3</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3</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60</v>
      </c>
      <c r="C658" s="2939">
        <f>'Part V-Revenues &amp; Expenses'!C20</f>
        <v>1</v>
      </c>
      <c r="D658" s="2940">
        <f>'Part V-Revenues &amp; Expenses'!D20</f>
        <v>1</v>
      </c>
      <c r="E658" s="2941">
        <f>'Part V-Revenues &amp; Expenses'!E20</f>
        <v>17</v>
      </c>
      <c r="F658" s="2941">
        <f>'Part V-Revenues &amp; Expenses'!F20</f>
        <v>888</v>
      </c>
      <c r="G658" s="2941">
        <f>'Part V-Revenues &amp; Expenses'!G20</f>
        <v>1085</v>
      </c>
      <c r="H658" s="2941">
        <f>'Part V-Revenues &amp; Expenses'!H20</f>
        <v>1008</v>
      </c>
      <c r="I658" s="2941">
        <f>'Part V-Revenues &amp; Expenses'!I20</f>
        <v>0</v>
      </c>
      <c r="J658" s="2941">
        <f>'Part V-Revenues &amp; Expenses'!J20</f>
        <v>108</v>
      </c>
      <c r="K658" s="2942">
        <f>'Part V-Revenues &amp; Expenses'!K20</f>
        <v>0</v>
      </c>
      <c r="L658" s="2943">
        <f t="shared" si="340"/>
        <v>900</v>
      </c>
      <c r="M658" s="2943">
        <f t="shared" si="341"/>
        <v>15300</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f t="shared" si="14"/>
        <v>17</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f t="shared" si="129"/>
        <v>15096</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17</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17</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f t="shared" si="264"/>
        <v>17</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17</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70</v>
      </c>
      <c r="C659" s="2939">
        <f>'Part V-Revenues &amp; Expenses'!C21</f>
        <v>1</v>
      </c>
      <c r="D659" s="2940">
        <f>'Part V-Revenues &amp; Expenses'!D21</f>
        <v>1</v>
      </c>
      <c r="E659" s="2941">
        <f>'Part V-Revenues &amp; Expenses'!E21</f>
        <v>2</v>
      </c>
      <c r="F659" s="2941">
        <f>'Part V-Revenues &amp; Expenses'!F21</f>
        <v>888</v>
      </c>
      <c r="G659" s="2941">
        <f>'Part V-Revenues &amp; Expenses'!G21</f>
        <v>1266</v>
      </c>
      <c r="H659" s="2941">
        <f>'Part V-Revenues &amp; Expenses'!H21</f>
        <v>1208</v>
      </c>
      <c r="I659" s="2941">
        <f>'Part V-Revenues &amp; Expenses'!I21</f>
        <v>0</v>
      </c>
      <c r="J659" s="2941">
        <f>'Part V-Revenues &amp; Expenses'!J21</f>
        <v>108</v>
      </c>
      <c r="K659" s="2942">
        <f>'Part V-Revenues &amp; Expenses'!K21</f>
        <v>0</v>
      </c>
      <c r="L659" s="2943">
        <f t="shared" si="340"/>
        <v>1100</v>
      </c>
      <c r="M659" s="2943">
        <f t="shared" si="341"/>
        <v>2200</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f t="shared" si="9"/>
        <v>2</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f t="shared" si="69"/>
        <v>2</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f t="shared" si="124"/>
        <v>1776</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2</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2</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f t="shared" si="264"/>
        <v>2</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2</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40</v>
      </c>
      <c r="C660" s="2939">
        <f>'Part V-Revenues &amp; Expenses'!C22</f>
        <v>2</v>
      </c>
      <c r="D660" s="2940">
        <f>'Part V-Revenues &amp; Expenses'!D22</f>
        <v>2</v>
      </c>
      <c r="E660" s="2941">
        <f>'Part V-Revenues &amp; Expenses'!E22</f>
        <v>3</v>
      </c>
      <c r="F660" s="2941">
        <f>'Part V-Revenues &amp; Expenses'!F22</f>
        <v>1236</v>
      </c>
      <c r="G660" s="2941">
        <f>'Part V-Revenues &amp; Expenses'!G22</f>
        <v>868</v>
      </c>
      <c r="H660" s="2941">
        <f>'Part V-Revenues &amp; Expenses'!H22</f>
        <v>868</v>
      </c>
      <c r="I660" s="2941">
        <f>'Part V-Revenues &amp; Expenses'!I22</f>
        <v>0</v>
      </c>
      <c r="J660" s="2941">
        <f>'Part V-Revenues &amp; Expenses'!J22</f>
        <v>132</v>
      </c>
      <c r="K660" s="2942">
        <f>'Part V-Revenues &amp; Expenses'!K22</f>
        <v>0</v>
      </c>
      <c r="L660" s="2943">
        <f t="shared" si="340"/>
        <v>736</v>
      </c>
      <c r="M660" s="2943">
        <f t="shared" si="341"/>
        <v>2208</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f t="shared" si="25"/>
        <v>3</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f t="shared" si="55"/>
        <v>3</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f t="shared" si="140"/>
        <v>3708</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3</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3</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3</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50</v>
      </c>
      <c r="C661" s="2939">
        <f>'Part V-Revenues &amp; Expenses'!C23</f>
        <v>2</v>
      </c>
      <c r="D661" s="2940">
        <f>'Part V-Revenues &amp; Expenses'!D23</f>
        <v>2</v>
      </c>
      <c r="E661" s="2941">
        <f>'Part V-Revenues &amp; Expenses'!E23</f>
        <v>5</v>
      </c>
      <c r="F661" s="2941">
        <f>'Part V-Revenues &amp; Expenses'!F23</f>
        <v>1236</v>
      </c>
      <c r="G661" s="2941">
        <f>'Part V-Revenues &amp; Expenses'!G23</f>
        <v>1085</v>
      </c>
      <c r="H661" s="2941">
        <f>'Part V-Revenues &amp; Expenses'!H23</f>
        <v>1085</v>
      </c>
      <c r="I661" s="2941">
        <f>'Part V-Revenues &amp; Expenses'!I23</f>
        <v>0</v>
      </c>
      <c r="J661" s="2941">
        <f>'Part V-Revenues &amp; Expenses'!J23</f>
        <v>132</v>
      </c>
      <c r="K661" s="2942">
        <f>'Part V-Revenues &amp; Expenses'!K23</f>
        <v>0</v>
      </c>
      <c r="L661" s="2943">
        <f t="shared" si="340"/>
        <v>953</v>
      </c>
      <c r="M661" s="2943">
        <f t="shared" si="341"/>
        <v>4765</v>
      </c>
      <c r="N661" s="2775" t="str">
        <f>'Part V-Revenues &amp; Expenses'!N23</f>
        <v>No</v>
      </c>
      <c r="O661" s="2944" t="str">
        <f>'Part V-Revenues &amp; Expenses'!O23</f>
        <v>Low-Rise Elevator</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f t="shared" si="20"/>
        <v>5</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f t="shared" si="135"/>
        <v>6180</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5</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5</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f t="shared" si="265"/>
        <v>5</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5</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60</v>
      </c>
      <c r="C662" s="2939">
        <f>'Part V-Revenues &amp; Expenses'!C24</f>
        <v>2</v>
      </c>
      <c r="D662" s="2940">
        <f>'Part V-Revenues &amp; Expenses'!D24</f>
        <v>2</v>
      </c>
      <c r="E662" s="2941">
        <f>'Part V-Revenues &amp; Expenses'!E24</f>
        <v>29</v>
      </c>
      <c r="F662" s="2941">
        <f>'Part V-Revenues &amp; Expenses'!F24</f>
        <v>1236</v>
      </c>
      <c r="G662" s="2941">
        <f>'Part V-Revenues &amp; Expenses'!G24</f>
        <v>1302</v>
      </c>
      <c r="H662" s="2941">
        <f>'Part V-Revenues &amp; Expenses'!H24</f>
        <v>1232</v>
      </c>
      <c r="I662" s="2941">
        <f>'Part V-Revenues &amp; Expenses'!I24</f>
        <v>0</v>
      </c>
      <c r="J662" s="2941">
        <f>'Part V-Revenues &amp; Expenses'!J24</f>
        <v>132</v>
      </c>
      <c r="K662" s="2942">
        <f>'Part V-Revenues &amp; Expenses'!K24</f>
        <v>0</v>
      </c>
      <c r="L662" s="2943">
        <f t="shared" si="340"/>
        <v>1100</v>
      </c>
      <c r="M662" s="2943">
        <f t="shared" si="341"/>
        <v>31900</v>
      </c>
      <c r="N662" s="2775" t="str">
        <f>'Part V-Revenues &amp; Expenses'!N24</f>
        <v>No</v>
      </c>
      <c r="O662" s="2944" t="str">
        <f>'Part V-Revenues &amp; Expenses'!O24</f>
        <v>Low-Rise Elevator</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f t="shared" si="15"/>
        <v>29</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f t="shared" si="130"/>
        <v>35844</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f t="shared" si="170"/>
        <v>29</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f t="shared" si="215"/>
        <v>29</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f t="shared" si="265"/>
        <v>29</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29</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70</v>
      </c>
      <c r="C663" s="2939">
        <f>'Part V-Revenues &amp; Expenses'!C25</f>
        <v>2</v>
      </c>
      <c r="D663" s="2940">
        <f>'Part V-Revenues &amp; Expenses'!D25</f>
        <v>2</v>
      </c>
      <c r="E663" s="2941">
        <f>'Part V-Revenues &amp; Expenses'!E25</f>
        <v>3</v>
      </c>
      <c r="F663" s="2941">
        <f>'Part V-Revenues &amp; Expenses'!F25</f>
        <v>1236</v>
      </c>
      <c r="G663" s="2941">
        <f>'Part V-Revenues &amp; Expenses'!G25</f>
        <v>1519</v>
      </c>
      <c r="H663" s="2941">
        <f>'Part V-Revenues &amp; Expenses'!H25</f>
        <v>1432</v>
      </c>
      <c r="I663" s="2941">
        <f>'Part V-Revenues &amp; Expenses'!I25</f>
        <v>0</v>
      </c>
      <c r="J663" s="2941">
        <f>'Part V-Revenues &amp; Expenses'!J25</f>
        <v>132</v>
      </c>
      <c r="K663" s="2942">
        <f>'Part V-Revenues &amp; Expenses'!K25</f>
        <v>0</v>
      </c>
      <c r="L663" s="2943">
        <f t="shared" ref="L663:L686" si="342">MAX(0,H663-I663-J663)</f>
        <v>1300</v>
      </c>
      <c r="M663" s="2943">
        <f t="shared" ref="M663:M686" si="343">MAX(0,E663*L663)</f>
        <v>3900</v>
      </c>
      <c r="N663" s="2775" t="str">
        <f>'Part V-Revenues &amp; Expenses'!N25</f>
        <v>No</v>
      </c>
      <c r="O663" s="2944" t="str">
        <f>'Part V-Revenues &amp; Expenses'!O25</f>
        <v>Low-Rise Elevator</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3</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3</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3708</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3</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3</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f t="shared" si="265"/>
        <v>3</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3</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64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70752</v>
      </c>
      <c r="H687" s="2953" t="s">
        <v>3768</v>
      </c>
      <c r="I687" s="2954" t="s">
        <v>3769</v>
      </c>
      <c r="J687" s="2955" t="str">
        <f>IF(P705=0,"",IF(SUM(P696:P700)/P705&gt;=0.4,"Pass","Fail"))</f>
        <v>Pass</v>
      </c>
      <c r="K687" s="475"/>
      <c r="L687" s="2950" t="s">
        <v>1226</v>
      </c>
      <c r="M687" s="2956">
        <f>SUM(M649:M686)</f>
        <v>63891</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2</v>
      </c>
      <c r="AE687" s="2948">
        <f t="shared" si="344"/>
        <v>3</v>
      </c>
      <c r="AF687" s="2948">
        <f t="shared" si="344"/>
        <v>0</v>
      </c>
      <c r="AG687" s="2948">
        <f t="shared" si="344"/>
        <v>0</v>
      </c>
      <c r="AH687" s="2948">
        <f t="shared" si="344"/>
        <v>0</v>
      </c>
      <c r="AI687" s="2948">
        <f t="shared" si="344"/>
        <v>17</v>
      </c>
      <c r="AJ687" s="2948">
        <f t="shared" si="344"/>
        <v>29</v>
      </c>
      <c r="AK687" s="2948">
        <f t="shared" si="344"/>
        <v>0</v>
      </c>
      <c r="AL687" s="2948">
        <f t="shared" si="344"/>
        <v>0</v>
      </c>
      <c r="AM687" s="2948">
        <f>SUM(AM649:AM686)</f>
        <v>0</v>
      </c>
      <c r="AN687" s="2948">
        <f>SUM(AN649:AN686)</f>
        <v>3</v>
      </c>
      <c r="AO687" s="2948">
        <f>SUM(AO649:AO686)</f>
        <v>5</v>
      </c>
      <c r="AP687" s="2948">
        <f>SUM(AP649:AP686)</f>
        <v>0</v>
      </c>
      <c r="AQ687" s="2948">
        <f>SUM(AQ649:AQ686)</f>
        <v>0</v>
      </c>
      <c r="AR687" s="2948">
        <f t="shared" si="344"/>
        <v>0</v>
      </c>
      <c r="AS687" s="2948">
        <f t="shared" si="344"/>
        <v>2</v>
      </c>
      <c r="AT687" s="2948">
        <f t="shared" si="344"/>
        <v>3</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2</v>
      </c>
      <c r="BX687" s="2948">
        <f>SUM(BX649:BX686)</f>
        <v>3</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2</v>
      </c>
      <c r="CM687" s="2948">
        <f>SUM(CM649:CM686)</f>
        <v>3</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1776</v>
      </c>
      <c r="EP687" s="2948">
        <f t="shared" si="344"/>
        <v>3708</v>
      </c>
      <c r="EQ687" s="2948">
        <f t="shared" si="344"/>
        <v>0</v>
      </c>
      <c r="ER687" s="2948">
        <f t="shared" si="344"/>
        <v>0</v>
      </c>
      <c r="ES687" s="2948">
        <f t="shared" si="344"/>
        <v>0</v>
      </c>
      <c r="ET687" s="2948">
        <f t="shared" si="344"/>
        <v>15096</v>
      </c>
      <c r="EU687" s="2948">
        <f t="shared" si="344"/>
        <v>35844</v>
      </c>
      <c r="EV687" s="2948">
        <f t="shared" si="344"/>
        <v>0</v>
      </c>
      <c r="EW687" s="2948">
        <f t="shared" si="344"/>
        <v>0</v>
      </c>
      <c r="EX687" s="2948">
        <f t="shared" si="344"/>
        <v>0</v>
      </c>
      <c r="EY687" s="2948">
        <f t="shared" si="344"/>
        <v>2664</v>
      </c>
      <c r="EZ687" s="2948">
        <f t="shared" si="344"/>
        <v>6180</v>
      </c>
      <c r="FA687" s="2948">
        <f t="shared" si="344"/>
        <v>0</v>
      </c>
      <c r="FB687" s="2948">
        <f t="shared" ref="FB687:HW687" si="346">SUM(FB649:FB686)</f>
        <v>0</v>
      </c>
      <c r="FC687" s="2948">
        <f>SUM(FC649:FC686)</f>
        <v>0</v>
      </c>
      <c r="FD687" s="2948">
        <f>SUM(FD649:FD686)</f>
        <v>1776</v>
      </c>
      <c r="FE687" s="2948">
        <f>SUM(FE649:FE686)</f>
        <v>3708</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24</v>
      </c>
      <c r="GI687" s="2948">
        <f t="shared" si="346"/>
        <v>40</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24</v>
      </c>
      <c r="IB687" s="2948">
        <f t="shared" si="347"/>
        <v>40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24</v>
      </c>
      <c r="JZ687" s="2948">
        <f t="shared" si="347"/>
        <v>40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24</v>
      </c>
      <c r="MM687" s="2948">
        <f t="shared" si="348"/>
        <v>40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57.96875</v>
      </c>
      <c r="C688" s="2957"/>
      <c r="D688" s="2910" t="s">
        <v>3678</v>
      </c>
      <c r="E688" s="2951">
        <f>SUM(E656:E686)</f>
        <v>64</v>
      </c>
      <c r="F688" s="2952">
        <f>(E656*F656+E657*F657+E658*F658+E659*F659+E660*F660+E661*F661+E662*F662+E663*F663+E664*F664+E665*F665+E666*F666+E667*F667+E668*F668+E669*F669+E670*F670+E671*F671+E672*F672+E673*F673+E674*F674+E675*F675+E676*F676+E677*F677+E678*F678+E679*F679+E680*F680+E681*F681+E682*F682+E683*F683+E684*F684+E685*F685+E686*F686)</f>
        <v>70752</v>
      </c>
      <c r="H688" s="2953"/>
      <c r="I688" s="2954" t="s">
        <v>3770</v>
      </c>
      <c r="J688" s="2955" t="str">
        <f>IF(P705=0,"",IF(SUM(P697:P700)/P705&gt;=0.2,"Pass","Fail"))</f>
        <v>Pass</v>
      </c>
      <c r="K688" s="475"/>
      <c r="L688" s="2950" t="s">
        <v>757</v>
      </c>
      <c r="M688" s="2956">
        <f>M687*12</f>
        <v>766692</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6651</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6653</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2</v>
      </c>
      <c r="M695" s="2962">
        <f>AE687</f>
        <v>3</v>
      </c>
      <c r="N695" s="2962">
        <f>AF687</f>
        <v>0</v>
      </c>
      <c r="O695" s="2962">
        <f>AG687</f>
        <v>0</v>
      </c>
      <c r="P695" s="2962">
        <f t="shared" si="349"/>
        <v>5</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17</v>
      </c>
      <c r="M696" s="2962">
        <f>AJ687</f>
        <v>29</v>
      </c>
      <c r="N696" s="2962">
        <f>AK687</f>
        <v>0</v>
      </c>
      <c r="O696" s="2962">
        <f>AL687</f>
        <v>0</v>
      </c>
      <c r="P696" s="2962">
        <f t="shared" si="349"/>
        <v>46</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3</v>
      </c>
      <c r="M697" s="2962">
        <f>AO687</f>
        <v>5</v>
      </c>
      <c r="N697" s="2962">
        <f>AP687</f>
        <v>0</v>
      </c>
      <c r="O697" s="2962">
        <f>AQ687</f>
        <v>0</v>
      </c>
      <c r="P697" s="2962">
        <f t="shared" si="349"/>
        <v>8</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2</v>
      </c>
      <c r="M698" s="2962">
        <f>AT687</f>
        <v>3</v>
      </c>
      <c r="N698" s="2962">
        <f>AU687</f>
        <v>0</v>
      </c>
      <c r="O698" s="2962">
        <f>AV687</f>
        <v>0</v>
      </c>
      <c r="P698" s="2962">
        <f t="shared" si="349"/>
        <v>5</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24</v>
      </c>
      <c r="M701" s="2962">
        <f>SUM(M694:M700)</f>
        <v>40</v>
      </c>
      <c r="N701" s="2962">
        <f>SUM(N694:N700)</f>
        <v>0</v>
      </c>
      <c r="O701" s="2962">
        <f>SUM(O694:O700)</f>
        <v>0</v>
      </c>
      <c r="P701" s="2962">
        <f t="shared" si="349"/>
        <v>64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24</v>
      </c>
      <c r="M703" s="2968">
        <f>SUM(M701:M702)</f>
        <v>40</v>
      </c>
      <c r="N703" s="2968">
        <f>SUM(N701:N702)</f>
        <v>0</v>
      </c>
      <c r="O703" s="2968">
        <f>SUM(O701:O702)</f>
        <v>0</v>
      </c>
      <c r="P703" s="2968">
        <f t="shared" si="349"/>
        <v>64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24</v>
      </c>
      <c r="M705" s="2962">
        <f>SUM(M703:M704)</f>
        <v>40</v>
      </c>
      <c r="N705" s="2962">
        <f>SUM(N703:N704)</f>
        <v>0</v>
      </c>
      <c r="O705" s="2962">
        <f>SUM(O703:O704)</f>
        <v>0</v>
      </c>
      <c r="P705" s="2962">
        <f t="shared" si="349"/>
        <v>64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3680</v>
      </c>
      <c r="I711" s="2971"/>
      <c r="J711" s="2550"/>
      <c r="K711" s="2973" t="str">
        <f t="shared" ref="K711:P711" si="352">IF(OR(K695=0,K705=0),"",K695/K705)</f>
        <v/>
      </c>
      <c r="L711" s="2973">
        <f t="shared" si="352"/>
        <v>8.3333333333333329E-2</v>
      </c>
      <c r="M711" s="2973">
        <f t="shared" si="352"/>
        <v>7.4999999999999997E-2</v>
      </c>
      <c r="N711" s="2973" t="str">
        <f t="shared" si="352"/>
        <v/>
      </c>
      <c r="O711" s="2973" t="str">
        <f t="shared" si="352"/>
        <v/>
      </c>
      <c r="P711" s="2973">
        <f t="shared" si="352"/>
        <v>7.8125E-2</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f>IF(OR(L695=0,P711="",L705=0),"",P711*L705)</f>
        <v>1.875</v>
      </c>
      <c r="M712" s="2975">
        <f>IF(OR(M695=0,P711="",M705=0),"",P711*M705)</f>
        <v>3.125</v>
      </c>
      <c r="N712" s="2975" t="str">
        <f>IF(OR(N695=0,P711="",N705=0),"",P711*N705)</f>
        <v/>
      </c>
      <c r="O712" s="2975" t="str">
        <f>IF(OR(O695=0,P711="",O705=0),"",P711*O705)</f>
        <v/>
      </c>
      <c r="P712" s="2975">
        <f>IF(OR(P711="",P705=0),"",P711*P705)</f>
        <v>5</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f t="shared" si="353"/>
        <v>0.125</v>
      </c>
      <c r="M713" s="2975">
        <f t="shared" si="353"/>
        <v>-0.125</v>
      </c>
      <c r="N713" s="2975" t="str">
        <f t="shared" si="353"/>
        <v/>
      </c>
      <c r="O713" s="2975" t="str">
        <f t="shared" si="353"/>
        <v/>
      </c>
      <c r="P713" s="2975">
        <f t="shared" si="353"/>
        <v>0</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0.70833333333333337</v>
      </c>
      <c r="M714" s="2973">
        <f t="shared" si="354"/>
        <v>0.72499999999999998</v>
      </c>
      <c r="N714" s="2973" t="str">
        <f t="shared" si="354"/>
        <v/>
      </c>
      <c r="O714" s="2973" t="str">
        <f t="shared" si="354"/>
        <v/>
      </c>
      <c r="P714" s="2973">
        <f t="shared" si="354"/>
        <v>0.71875</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17.25</v>
      </c>
      <c r="M715" s="2975">
        <f>IF(OR(M696=0,P714="",M705=0),"",P714*M705)</f>
        <v>28.75</v>
      </c>
      <c r="N715" s="2975" t="str">
        <f>IF(OR(N696=0,P714="",N705=0),"",P714*N705)</f>
        <v/>
      </c>
      <c r="O715" s="2975" t="str">
        <f>IF(OR(O696=0,P714="",O705=0),"",P714*O705)</f>
        <v/>
      </c>
      <c r="P715" s="2975">
        <f>IF(OR(P714="",P705=0),"",P714*P705)</f>
        <v>46</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-0.25</v>
      </c>
      <c r="M716" s="2975">
        <f t="shared" si="355"/>
        <v>0.25</v>
      </c>
      <c r="N716" s="2975" t="str">
        <f t="shared" si="355"/>
        <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0.125</v>
      </c>
      <c r="M717" s="2973">
        <f t="shared" si="356"/>
        <v>0.125</v>
      </c>
      <c r="N717" s="2973" t="str">
        <f t="shared" si="356"/>
        <v/>
      </c>
      <c r="O717" s="2973" t="str">
        <f t="shared" si="356"/>
        <v/>
      </c>
      <c r="P717" s="2973">
        <f t="shared" si="356"/>
        <v>0.125</v>
      </c>
    </row>
    <row r="718" spans="1:380">
      <c r="C718" s="2977"/>
      <c r="D718" s="2977"/>
      <c r="E718" s="2977"/>
      <c r="F718" s="652"/>
      <c r="G718" s="652"/>
      <c r="H718" s="2970" t="s">
        <v>6845</v>
      </c>
      <c r="I718" s="2971"/>
      <c r="J718" s="2550"/>
      <c r="K718" s="2975" t="str">
        <f>IF(OR(K697=0,P717="",K705=0),"",P717*K705)</f>
        <v/>
      </c>
      <c r="L718" s="2975">
        <f>IF(OR(L697=0,P717="",L705=0),"",P717*L705)</f>
        <v>3</v>
      </c>
      <c r="M718" s="2975">
        <f>IF(OR(M697=0,P717="",M705=0),"",P717*M705)</f>
        <v>5</v>
      </c>
      <c r="N718" s="2975" t="str">
        <f>IF(OR(N697=0,P717="",N705=0),"",P717*N705)</f>
        <v/>
      </c>
      <c r="O718" s="2975" t="str">
        <f>IF(OR(O697=0,P717="",O705=0),"",P717*O705)</f>
        <v/>
      </c>
      <c r="P718" s="2975">
        <f>IF(OR(P717="",P705=0),"",P717*P705)</f>
        <v>8</v>
      </c>
    </row>
    <row r="719" spans="1:380">
      <c r="C719" s="2977"/>
      <c r="D719" s="2977"/>
      <c r="E719" s="2977"/>
      <c r="F719" s="652"/>
      <c r="G719" s="2976"/>
      <c r="H719" s="2970" t="s">
        <v>6846</v>
      </c>
      <c r="I719" s="2971"/>
      <c r="J719" s="2550"/>
      <c r="K719" s="2975" t="str">
        <f t="shared" ref="K719:P719" si="357">IF(OR(K718="",K697=0),"", K697-K718)</f>
        <v/>
      </c>
      <c r="L719" s="2975">
        <f t="shared" si="357"/>
        <v>0</v>
      </c>
      <c r="M719" s="2975">
        <f t="shared" si="357"/>
        <v>0</v>
      </c>
      <c r="N719" s="2975" t="str">
        <f t="shared" si="357"/>
        <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f t="shared" si="358"/>
        <v>8.3333333333333329E-2</v>
      </c>
      <c r="M720" s="2973">
        <f t="shared" si="358"/>
        <v>7.4999999999999997E-2</v>
      </c>
      <c r="N720" s="2973" t="str">
        <f t="shared" si="358"/>
        <v/>
      </c>
      <c r="O720" s="2973" t="str">
        <f t="shared" si="358"/>
        <v/>
      </c>
      <c r="P720" s="2973">
        <f t="shared" si="358"/>
        <v>7.8125E-2</v>
      </c>
    </row>
    <row r="721" spans="1:380">
      <c r="C721" s="2977"/>
      <c r="D721" s="652"/>
      <c r="E721" s="652"/>
      <c r="F721" s="652"/>
      <c r="G721" s="652"/>
      <c r="H721" s="2970" t="s">
        <v>6845</v>
      </c>
      <c r="I721" s="2971"/>
      <c r="J721" s="2550"/>
      <c r="K721" s="2975" t="str">
        <f>IF(OR(K698=0,P720="",K705=0),"",P720*K705)</f>
        <v/>
      </c>
      <c r="L721" s="2975">
        <f>IF(OR(L698=0,P720="",L705=0),"",P720*L705)</f>
        <v>1.875</v>
      </c>
      <c r="M721" s="2975">
        <f>IF(OR(M698=0,P720="",M705=0),"",P720*M705)</f>
        <v>3.125</v>
      </c>
      <c r="N721" s="2975" t="str">
        <f>IF(OR(N698=0,P720="",N705=0),"",P720*N705)</f>
        <v/>
      </c>
      <c r="O721" s="2975" t="str">
        <f>IF(OR(O698=0,P720="",O705=0),"",P720*O705)</f>
        <v/>
      </c>
      <c r="P721" s="2975">
        <f>IF(OR(P720="",P705=0),"",P720*P705)</f>
        <v>5</v>
      </c>
    </row>
    <row r="722" spans="1:380">
      <c r="C722" s="2977"/>
      <c r="D722" s="652"/>
      <c r="E722" s="652"/>
      <c r="F722" s="652"/>
      <c r="G722" s="2976"/>
      <c r="H722" s="2970" t="s">
        <v>6846</v>
      </c>
      <c r="I722" s="2971"/>
      <c r="J722" s="2550"/>
      <c r="K722" s="2975" t="str">
        <f t="shared" ref="K722:P722" si="359">IF(OR(K721="",K698=0),"", K698-K721)</f>
        <v/>
      </c>
      <c r="L722" s="2975">
        <f t="shared" si="359"/>
        <v>0.125</v>
      </c>
      <c r="M722" s="2975">
        <f t="shared" si="359"/>
        <v>-0.125</v>
      </c>
      <c r="N722" s="2975" t="str">
        <f t="shared" si="359"/>
        <v/>
      </c>
      <c r="O722" s="2975" t="str">
        <f t="shared" si="359"/>
        <v/>
      </c>
      <c r="P722" s="2975">
        <f t="shared" si="359"/>
        <v>0</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2</v>
      </c>
      <c r="M732" s="2962">
        <f>CM687</f>
        <v>3</v>
      </c>
      <c r="N732" s="2962">
        <f>CN687</f>
        <v>0</v>
      </c>
      <c r="O732" s="2962">
        <f>CO687</f>
        <v>0</v>
      </c>
      <c r="P732" s="2962">
        <f t="shared" si="364"/>
        <v>5</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2</v>
      </c>
      <c r="M735" s="2962">
        <f>BX687</f>
        <v>3</v>
      </c>
      <c r="N735" s="2962">
        <f>BY687</f>
        <v>0</v>
      </c>
      <c r="O735" s="2962">
        <f>BZ687</f>
        <v>0</v>
      </c>
      <c r="P735" s="2962">
        <f t="shared" si="364"/>
        <v>5</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4</v>
      </c>
      <c r="M738" s="2962">
        <f>SUM(M731:M737)</f>
        <v>6</v>
      </c>
      <c r="N738" s="2962">
        <f>SUM(N731:N737)</f>
        <v>0</v>
      </c>
      <c r="O738" s="2962">
        <f>SUM(O731:O737)</f>
        <v>0</v>
      </c>
      <c r="P738" s="2962">
        <f t="shared" si="364"/>
        <v>10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24</v>
      </c>
      <c r="M751" s="2962">
        <f>GI687</f>
        <v>40</v>
      </c>
      <c r="N751" s="2962">
        <f>GJ687</f>
        <v>0</v>
      </c>
      <c r="O751" s="2962">
        <f>GK687</f>
        <v>0</v>
      </c>
      <c r="P751" s="2962">
        <f t="shared" ref="P751:P761" si="366">SUM(K751:O751)</f>
        <v>64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24</v>
      </c>
      <c r="M753" s="2962">
        <f>SUM(M751:M752)+GS687</f>
        <v>40</v>
      </c>
      <c r="N753" s="2962">
        <f>SUM(N751:N752)+GT687</f>
        <v>0</v>
      </c>
      <c r="O753" s="2962">
        <f>SUM(O751:O752)+GU687</f>
        <v>0</v>
      </c>
      <c r="P753" s="2962">
        <f t="shared" si="366"/>
        <v>64</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24</v>
      </c>
      <c r="M765" s="2962">
        <f t="shared" si="367"/>
        <v>40</v>
      </c>
      <c r="N765" s="2962">
        <f t="shared" si="367"/>
        <v>0</v>
      </c>
      <c r="O765" s="2962">
        <f t="shared" si="367"/>
        <v>0</v>
      </c>
      <c r="P765" s="2962">
        <f t="shared" si="367"/>
        <v>64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24</v>
      </c>
      <c r="M768" s="2962">
        <f>JZ687</f>
        <v>40</v>
      </c>
      <c r="N768" s="2962">
        <f>KA687</f>
        <v>0</v>
      </c>
      <c r="O768" s="2962">
        <f>KB687</f>
        <v>0</v>
      </c>
      <c r="P768" s="2962">
        <f t="shared" si="368"/>
        <v>64</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24</v>
      </c>
      <c r="M791" s="2962">
        <f t="shared" si="372"/>
        <v>40</v>
      </c>
      <c r="N791" s="2962">
        <f t="shared" si="372"/>
        <v>0</v>
      </c>
      <c r="O791" s="2962">
        <f t="shared" si="372"/>
        <v>0</v>
      </c>
      <c r="P791" s="2962">
        <f t="shared" si="370"/>
        <v>64</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1776</v>
      </c>
      <c r="M796" s="2986">
        <f>EP687</f>
        <v>3708</v>
      </c>
      <c r="N796" s="2986">
        <f>EQ687</f>
        <v>0</v>
      </c>
      <c r="O796" s="2986">
        <f>ER687</f>
        <v>0</v>
      </c>
      <c r="P796" s="2986">
        <f t="shared" si="373"/>
        <v>5484</v>
      </c>
      <c r="Q796" s="2987">
        <f t="shared" si="374"/>
        <v>1096.8</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15096</v>
      </c>
      <c r="M797" s="2986">
        <f>EU687</f>
        <v>35844</v>
      </c>
      <c r="N797" s="2986">
        <f>EV687</f>
        <v>0</v>
      </c>
      <c r="O797" s="2986">
        <f>EW687</f>
        <v>0</v>
      </c>
      <c r="P797" s="2986">
        <f t="shared" si="373"/>
        <v>50940</v>
      </c>
      <c r="Q797" s="2987">
        <f t="shared" si="374"/>
        <v>1107.391304347826</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2664</v>
      </c>
      <c r="M798" s="2986">
        <f>EZ687</f>
        <v>6180</v>
      </c>
      <c r="N798" s="2986">
        <f>FA687</f>
        <v>0</v>
      </c>
      <c r="O798" s="2986">
        <f>FB687</f>
        <v>0</v>
      </c>
      <c r="P798" s="2986">
        <f t="shared" si="373"/>
        <v>8844</v>
      </c>
      <c r="Q798" s="2987">
        <f t="shared" si="374"/>
        <v>1105.5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1776</v>
      </c>
      <c r="M799" s="2986">
        <f>FE687</f>
        <v>3708</v>
      </c>
      <c r="N799" s="2986">
        <f>FF687</f>
        <v>0</v>
      </c>
      <c r="O799" s="2986">
        <f>FG687</f>
        <v>0</v>
      </c>
      <c r="P799" s="2986">
        <f t="shared" si="373"/>
        <v>5484</v>
      </c>
      <c r="Q799" s="2987">
        <f t="shared" si="374"/>
        <v>1096.8</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21312</v>
      </c>
      <c r="M802" s="2988">
        <f>SUM(M795:M801)</f>
        <v>49440</v>
      </c>
      <c r="N802" s="2988">
        <f>SUM(N795:N801)</f>
        <v>0</v>
      </c>
      <c r="O802" s="2988">
        <f>SUM(O795:O801)</f>
        <v>0</v>
      </c>
      <c r="P802" s="2988">
        <f>SUM(K802:O802)</f>
        <v>70752</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21312</v>
      </c>
      <c r="M804" s="2988">
        <f>SUM(M802:M803)</f>
        <v>49440</v>
      </c>
      <c r="N804" s="2988">
        <f>SUM(N802:N803)</f>
        <v>0</v>
      </c>
      <c r="O804" s="2988">
        <f>SUM(O802:O803)</f>
        <v>0</v>
      </c>
      <c r="P804" s="2988">
        <f>SUM(K804:O804)</f>
        <v>70752</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21312</v>
      </c>
      <c r="M806" s="2986">
        <f>SUM(M804:M805)</f>
        <v>49440</v>
      </c>
      <c r="N806" s="2986">
        <f>SUM(N804:N805)</f>
        <v>0</v>
      </c>
      <c r="O806" s="2986">
        <f>SUM(O804:O805)</f>
        <v>0</v>
      </c>
      <c r="P806" s="2986">
        <f>SUM(K806:O806)</f>
        <v>70752</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888</v>
      </c>
      <c r="M809" s="2989">
        <f>IF(OR(M705="",M705=0),"",M806/M705)</f>
        <v>1236</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6656</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0</v>
      </c>
      <c r="L812" s="2764"/>
      <c r="Z812" s="2682">
        <v>68</v>
      </c>
    </row>
    <row r="813" spans="1:380" s="2681" customFormat="1" ht="13.35" customHeight="1">
      <c r="A813" s="2682"/>
      <c r="C813" s="2693" t="s">
        <v>242</v>
      </c>
      <c r="K813" s="2990">
        <f>P806+K812</f>
        <v>70752</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15333.84</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36364</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60300</v>
      </c>
      <c r="G859" s="3008"/>
      <c r="I859" s="2550" t="s">
        <v>1301</v>
      </c>
      <c r="L859" s="3008">
        <f>'Part V-Revenues &amp; Expenses'!L221</f>
        <v>0</v>
      </c>
      <c r="M859" s="3008"/>
      <c r="O859" s="3009">
        <f>+Q858/(P705*0.93)</f>
        <v>610.95430107526875</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54400</v>
      </c>
      <c r="G860" s="3008"/>
      <c r="I860" s="2550" t="s">
        <v>1302</v>
      </c>
      <c r="L860" s="3008">
        <f>'Part V-Revenues &amp; Expenses'!L222</f>
        <v>0</v>
      </c>
      <c r="M860" s="3008"/>
      <c r="O860" s="3009">
        <f>+Q858/(P705*0.93)/12</f>
        <v>50.91285842293906</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6641</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114700</v>
      </c>
      <c r="G865" s="2986"/>
      <c r="I865" s="2550" t="s">
        <v>1498</v>
      </c>
      <c r="L865" s="3008">
        <f>'Part V-Revenues &amp; Expenses'!L227</f>
        <v>1600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11520</v>
      </c>
      <c r="M866" s="3008"/>
      <c r="N866" s="2925" t="str">
        <f>IF(Q868="","",IF(Q866&lt;Q868, "WARNING! OE below required minimum.",""))</f>
        <v/>
      </c>
      <c r="O866" s="2550" t="s">
        <v>2030</v>
      </c>
      <c r="Q866" s="2989">
        <f>F865+F874+F885+L861+L869+L879+L885+Q858</f>
        <v>330934</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4800</v>
      </c>
      <c r="M867" s="3008"/>
      <c r="N867" s="2925"/>
      <c r="O867" s="2967" t="s">
        <v>2488</v>
      </c>
      <c r="P867" s="3009">
        <f>+Q866/P705</f>
        <v>5170.84375</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13390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0</v>
      </c>
      <c r="G869" s="3008"/>
      <c r="K869" s="3010" t="s">
        <v>184</v>
      </c>
      <c r="L869" s="2989">
        <f>SUM(L865:L868)</f>
        <v>17920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0</v>
      </c>
      <c r="G872" s="3008"/>
      <c r="I872" s="2550" t="s">
        <v>1298</v>
      </c>
      <c r="K872" s="2682" t="s">
        <v>3888</v>
      </c>
      <c r="O872" s="2550" t="s">
        <v>3088</v>
      </c>
      <c r="Q872" s="3015">
        <f>'Part V-Revenues &amp; Expenses'!Q234</f>
        <v>16000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18.75</v>
      </c>
      <c r="L873" s="3008">
        <f>'Part V-Revenues &amp; Expenses'!L235</f>
        <v>14400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13390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18.75</v>
      </c>
      <c r="L875" s="3008">
        <f>'Part V-Revenues &amp; Expenses'!L237</f>
        <v>14400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11.666666666666666</v>
      </c>
      <c r="L876" s="3008">
        <f>'Part V-Revenues &amp; Expenses'!L238</f>
        <v>8960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0</v>
      </c>
      <c r="G877" s="3008"/>
      <c r="I877" s="2550" t="s">
        <v>6854</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64 units x $250 =</v>
      </c>
      <c r="Q878" s="3021">
        <f>SUM(MK687:MO687)*'DCA Underwriting Assumptions'!$Q$29</f>
        <v>16000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14400</v>
      </c>
      <c r="G879" s="3008"/>
      <c r="K879" s="3010" t="s">
        <v>184</v>
      </c>
      <c r="L879" s="2989">
        <f>SUM(L873:L878)</f>
        <v>37760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16000</v>
      </c>
      <c r="G881" s="3008"/>
      <c r="I881" s="2550" t="s">
        <v>1299</v>
      </c>
      <c r="O881" s="2950" t="s">
        <v>2468</v>
      </c>
      <c r="P881" s="3022">
        <f>SUM(MF687:MJ687)+SUM(MK687:MO687)+SUM(MP687:MT687)+P763</f>
        <v>64</v>
      </c>
      <c r="Q881" s="3022">
        <f>SUM(Q877:Q880)</f>
        <v>16000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2000</v>
      </c>
      <c r="G882" s="3008"/>
      <c r="I882" s="2550" t="s">
        <v>6855</v>
      </c>
      <c r="L882" s="3008">
        <f>'Part V-Revenues &amp; Expenses'!L244</f>
        <v>51200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27200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32400</v>
      </c>
      <c r="G885" s="2986"/>
      <c r="K885" s="3010" t="s">
        <v>184</v>
      </c>
      <c r="L885" s="2989">
        <f>SUM(L881:L884)</f>
        <v>78400</v>
      </c>
      <c r="M885" s="2989"/>
      <c r="O885" s="2550" t="s">
        <v>2031</v>
      </c>
      <c r="Q885" s="2989">
        <f>Q866+Q872</f>
        <v>346934</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6657</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Real estate taxes are based on an income approach. June 1, 2022, appraisal estimates $51,200 in ad valorem taxes.                                                                                                                        Applicant insures its existing portfolio of properties with a master insurance policy; the average insurance cost for non-costal properties is approximately $380/unit; assumed $425/unit for Arbours at Town Branch to take anticipated increases in insurance premiums into account. </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Arbours at Town Branch, ,  County</v>
      </c>
      <c r="B897" s="2904"/>
      <c r="C897" s="2904"/>
      <c r="D897" s="2904"/>
      <c r="E897" s="2904"/>
      <c r="F897" s="2904"/>
      <c r="G897" s="2904"/>
      <c r="H897" s="2904"/>
      <c r="I897" s="2904"/>
      <c r="J897" s="2904"/>
      <c r="K897" s="2904"/>
      <c r="L897" s="2550"/>
      <c r="M897" s="2550"/>
      <c r="N897" s="2550" t="str">
        <f>A897</f>
        <v>PART SIX - OPERATING PRO FORMA  -  2022-0 Arbours at Town Branch,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766692</v>
      </c>
      <c r="C910" s="3035">
        <f>'Part VI-Pro Forma'!C15</f>
        <v>782025.84</v>
      </c>
      <c r="D910" s="3035">
        <f>'Part VI-Pro Forma'!D15</f>
        <v>797666.35679999995</v>
      </c>
      <c r="E910" s="3035">
        <f>'Part VI-Pro Forma'!E15</f>
        <v>813619.68393599999</v>
      </c>
      <c r="F910" s="3035">
        <f>'Part VI-Pro Forma'!F15</f>
        <v>829892.07761471998</v>
      </c>
      <c r="G910" s="3035">
        <f>'Part VI-Pro Forma'!G15</f>
        <v>846489.91916701442</v>
      </c>
      <c r="H910" s="3035">
        <f>'Part VI-Pro Forma'!H15</f>
        <v>863419.71755035478</v>
      </c>
      <c r="I910" s="3035">
        <f>'Part VI-Pro Forma'!I15</f>
        <v>880688.11190136161</v>
      </c>
      <c r="J910" s="3035">
        <f>'Part VI-Pro Forma'!J15</f>
        <v>898301.87413938891</v>
      </c>
      <c r="K910" s="3035">
        <f>'Part VI-Pro Forma'!K15</f>
        <v>916267.91162217676</v>
      </c>
      <c r="N910" s="2846"/>
      <c r="O910" s="2846"/>
      <c r="S910" s="2918" t="s">
        <v>3411</v>
      </c>
      <c r="Z910" s="2751" t="s">
        <v>6468</v>
      </c>
      <c r="AA910" s="2671">
        <v>15</v>
      </c>
    </row>
    <row r="911" spans="1:27" s="652" customFormat="1" ht="13.35" customHeight="1">
      <c r="A911" s="652" t="s">
        <v>953</v>
      </c>
      <c r="B911" s="3035">
        <f>'Part VI-Pro Forma'!B16</f>
        <v>15333.84</v>
      </c>
      <c r="C911" s="3035">
        <f>'Part VI-Pro Forma'!C16</f>
        <v>15640.516800000001</v>
      </c>
      <c r="D911" s="3035">
        <f>'Part VI-Pro Forma'!D16</f>
        <v>15953.327136</v>
      </c>
      <c r="E911" s="3035">
        <f>'Part VI-Pro Forma'!E16</f>
        <v>16272.393678719998</v>
      </c>
      <c r="F911" s="3035">
        <f>'Part VI-Pro Forma'!F16</f>
        <v>16597.841552294401</v>
      </c>
      <c r="G911" s="3035">
        <f>'Part VI-Pro Forma'!G16</f>
        <v>16929.798383340287</v>
      </c>
      <c r="H911" s="3035">
        <f>'Part VI-Pro Forma'!H16</f>
        <v>17268.394351007097</v>
      </c>
      <c r="I911" s="3035">
        <f>'Part VI-Pro Forma'!I16</f>
        <v>17613.762238027233</v>
      </c>
      <c r="J911" s="3035">
        <f>'Part VI-Pro Forma'!J16</f>
        <v>17966.037482787779</v>
      </c>
      <c r="K911" s="3035">
        <f>'Part VI-Pro Forma'!K16</f>
        <v>18325.358232443534</v>
      </c>
      <c r="N911" s="2846"/>
      <c r="O911" s="2846"/>
      <c r="S911" s="2918"/>
      <c r="Z911" s="2751" t="s">
        <v>6468</v>
      </c>
      <c r="AA911" s="2671">
        <v>16</v>
      </c>
    </row>
    <row r="912" spans="1:27" s="652" customFormat="1" ht="13.35" customHeight="1">
      <c r="A912" s="652" t="s">
        <v>2217</v>
      </c>
      <c r="B912" s="3035">
        <f>'Part VI-Pro Forma'!B17</f>
        <v>-54741.808800000006</v>
      </c>
      <c r="C912" s="3035">
        <f>'Part VI-Pro Forma'!C17</f>
        <v>-55836.644976000003</v>
      </c>
      <c r="D912" s="3035">
        <f>'Part VI-Pro Forma'!D17</f>
        <v>-56953.377875520004</v>
      </c>
      <c r="E912" s="3035">
        <f>'Part VI-Pro Forma'!E17</f>
        <v>-58092.445433030407</v>
      </c>
      <c r="F912" s="3035">
        <f>'Part VI-Pro Forma'!F17</f>
        <v>-59254.294341691013</v>
      </c>
      <c r="G912" s="3035">
        <f>'Part VI-Pro Forma'!G17</f>
        <v>-60439.380228524831</v>
      </c>
      <c r="H912" s="3035">
        <f>'Part VI-Pro Forma'!H17</f>
        <v>-61648.167833095336</v>
      </c>
      <c r="I912" s="3035">
        <f>'Part VI-Pro Forma'!I17</f>
        <v>-62881.131189757223</v>
      </c>
      <c r="J912" s="3035">
        <f>'Part VI-Pro Forma'!J17</f>
        <v>-64138.753813552372</v>
      </c>
      <c r="K912" s="3035">
        <f>'Part VI-Pro Forma'!K17</f>
        <v>-65421.528889823428</v>
      </c>
      <c r="N912" s="2846"/>
      <c r="O912" s="2846"/>
      <c r="Q912" s="2918" t="s">
        <v>3301</v>
      </c>
      <c r="R912" s="2918" t="s">
        <v>3410</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727284.03119999997</v>
      </c>
      <c r="C915" s="3035">
        <f t="shared" ref="C915:K915" si="382">SUM(C910:C914)</f>
        <v>741829.711824</v>
      </c>
      <c r="D915" s="3035">
        <f t="shared" si="382"/>
        <v>756666.30606047995</v>
      </c>
      <c r="E915" s="3035">
        <f t="shared" si="382"/>
        <v>771799.63218168961</v>
      </c>
      <c r="F915" s="3035">
        <f t="shared" si="382"/>
        <v>787235.62482532347</v>
      </c>
      <c r="G915" s="3035">
        <f t="shared" si="382"/>
        <v>802980.33732182987</v>
      </c>
      <c r="H915" s="3035">
        <f t="shared" si="382"/>
        <v>819039.94406826654</v>
      </c>
      <c r="I915" s="3035">
        <f t="shared" si="382"/>
        <v>835420.74294963153</v>
      </c>
      <c r="J915" s="3035">
        <f t="shared" si="382"/>
        <v>852129.15780862432</v>
      </c>
      <c r="K915" s="3035">
        <f t="shared" si="382"/>
        <v>869171.74096479686</v>
      </c>
      <c r="N915" s="2846"/>
      <c r="O915" s="2846"/>
      <c r="Z915" s="2751" t="s">
        <v>6468</v>
      </c>
      <c r="AA915" s="2671">
        <v>20</v>
      </c>
    </row>
    <row r="916" spans="1:27" s="652" customFormat="1" ht="13.35" customHeight="1">
      <c r="A916" s="652" t="s">
        <v>572</v>
      </c>
      <c r="B916" s="3035">
        <f>'Part VI-Pro Forma'!B21</f>
        <v>-294570</v>
      </c>
      <c r="C916" s="3035">
        <f>'Part VI-Pro Forma'!C21</f>
        <v>-303407.10000000003</v>
      </c>
      <c r="D916" s="3035">
        <f>'Part VI-Pro Forma'!D21</f>
        <v>-312509.31299999997</v>
      </c>
      <c r="E916" s="3035">
        <f>'Part VI-Pro Forma'!E21</f>
        <v>-321884.59239000001</v>
      </c>
      <c r="F916" s="3035">
        <f>'Part VI-Pro Forma'!F21</f>
        <v>-331541.13016169996</v>
      </c>
      <c r="G916" s="3035">
        <f>'Part VI-Pro Forma'!G21</f>
        <v>-341487.36406655097</v>
      </c>
      <c r="H916" s="3035">
        <f>'Part VI-Pro Forma'!H21</f>
        <v>-351731.98498854751</v>
      </c>
      <c r="I916" s="3035">
        <f>'Part VI-Pro Forma'!I21</f>
        <v>-362283.94453820394</v>
      </c>
      <c r="J916" s="3035">
        <f>'Part VI-Pro Forma'!J21</f>
        <v>-373152.46287435002</v>
      </c>
      <c r="K916" s="3035">
        <f>'Part VI-Pro Forma'!K21</f>
        <v>-384347.03676058055</v>
      </c>
      <c r="N916" s="2846"/>
      <c r="O916" s="2846"/>
      <c r="Q916" s="2671">
        <v>1</v>
      </c>
      <c r="R916" s="2948">
        <f>-B927</f>
        <v>58067.893289163476</v>
      </c>
      <c r="S916" s="2948">
        <f>B928+R916</f>
        <v>58067.893289163476</v>
      </c>
      <c r="Z916" s="2751" t="s">
        <v>6468</v>
      </c>
      <c r="AA916" s="2671">
        <v>21</v>
      </c>
    </row>
    <row r="917" spans="1:27" s="652" customFormat="1" ht="13.35" customHeight="1">
      <c r="A917" s="652" t="s">
        <v>1051</v>
      </c>
      <c r="B917" s="3035">
        <f>'Part VI-Pro Forma'!B22</f>
        <v>-36364</v>
      </c>
      <c r="C917" s="3035">
        <f>'Part VI-Pro Forma'!C22</f>
        <v>-37091</v>
      </c>
      <c r="D917" s="3035">
        <f>'Part VI-Pro Forma'!D22</f>
        <v>-37833</v>
      </c>
      <c r="E917" s="3035">
        <f>'Part VI-Pro Forma'!E22</f>
        <v>-38590</v>
      </c>
      <c r="F917" s="3035">
        <f>'Part VI-Pro Forma'!F22</f>
        <v>-39362</v>
      </c>
      <c r="G917" s="3035">
        <f>'Part VI-Pro Forma'!G22</f>
        <v>-40149</v>
      </c>
      <c r="H917" s="3035">
        <f>'Part VI-Pro Forma'!H22</f>
        <v>-40952</v>
      </c>
      <c r="I917" s="3035">
        <f>'Part VI-Pro Forma'!I22</f>
        <v>-41771</v>
      </c>
      <c r="J917" s="3035">
        <f>'Part VI-Pro Forma'!J22</f>
        <v>-42606</v>
      </c>
      <c r="K917" s="3035">
        <f>'Part VI-Pro Forma'!K22</f>
        <v>-43459</v>
      </c>
      <c r="N917" s="2846"/>
      <c r="O917" s="2846"/>
      <c r="Q917" s="2671">
        <v>2</v>
      </c>
      <c r="R917" s="2948">
        <f>-SUM(B927:C927)</f>
        <v>120637.36720232695</v>
      </c>
      <c r="S917" s="2948">
        <f>SUM(B928:C928)+R917</f>
        <v>120637.36720232695</v>
      </c>
      <c r="Z917" s="2751" t="s">
        <v>6468</v>
      </c>
      <c r="AA917" s="2671">
        <v>22</v>
      </c>
    </row>
    <row r="918" spans="1:27" s="652" customFormat="1" ht="13.35" customHeight="1">
      <c r="A918" s="652" t="s">
        <v>1129</v>
      </c>
      <c r="B918" s="3035">
        <f>'Part VI-Pro Forma'!B23</f>
        <v>-16000</v>
      </c>
      <c r="C918" s="3035">
        <f>'Part VI-Pro Forma'!C23</f>
        <v>-16480</v>
      </c>
      <c r="D918" s="3035">
        <f>'Part VI-Pro Forma'!D23</f>
        <v>-16974.399999999998</v>
      </c>
      <c r="E918" s="3035">
        <f>'Part VI-Pro Forma'!E23</f>
        <v>-17483.632000000001</v>
      </c>
      <c r="F918" s="3035">
        <f>'Part VI-Pro Forma'!F23</f>
        <v>-18008.140959999997</v>
      </c>
      <c r="G918" s="3035">
        <f>'Part VI-Pro Forma'!G23</f>
        <v>-18548.385188799999</v>
      </c>
      <c r="H918" s="3035">
        <f>'Part VI-Pro Forma'!H23</f>
        <v>-19104.836744463999</v>
      </c>
      <c r="I918" s="3035">
        <f>'Part VI-Pro Forma'!I23</f>
        <v>-19677.98184679792</v>
      </c>
      <c r="J918" s="3035">
        <f>'Part VI-Pro Forma'!J23</f>
        <v>-20268.321302201854</v>
      </c>
      <c r="K918" s="3035">
        <f>'Part VI-Pro Forma'!K23</f>
        <v>-20876.370941267913</v>
      </c>
      <c r="N918" s="2846"/>
      <c r="O918" s="2846"/>
      <c r="Q918" s="2671">
        <v>3</v>
      </c>
      <c r="R918" s="2948">
        <f>-SUM(B927:D927)</f>
        <v>187704.82235197042</v>
      </c>
      <c r="S918" s="2948">
        <f>SUM(B928:D928)+R918</f>
        <v>187704.82235197042</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259264.09223282355</v>
      </c>
      <c r="S919" s="2948">
        <f>SUM(B928:E928)+R919</f>
        <v>259264.09223282355</v>
      </c>
      <c r="Z919" s="2751" t="s">
        <v>6468</v>
      </c>
      <c r="AA919" s="2857">
        <v>24</v>
      </c>
    </row>
    <row r="920" spans="1:27" s="652" customFormat="1" ht="13.35" customHeight="1">
      <c r="A920" s="652" t="s">
        <v>1130</v>
      </c>
      <c r="B920" s="3035">
        <f>SUM(B915:B919)</f>
        <v>380350.03119999997</v>
      </c>
      <c r="C920" s="3035">
        <f t="shared" ref="C920:K920" si="383">SUM(C915:C919)</f>
        <v>384851.61182399996</v>
      </c>
      <c r="D920" s="3035">
        <f t="shared" si="383"/>
        <v>389349.59306047997</v>
      </c>
      <c r="E920" s="3035">
        <f t="shared" si="383"/>
        <v>393841.40779168962</v>
      </c>
      <c r="F920" s="3035">
        <f t="shared" si="383"/>
        <v>398324.35370362352</v>
      </c>
      <c r="G920" s="3035">
        <f t="shared" si="383"/>
        <v>402795.5880664789</v>
      </c>
      <c r="H920" s="3035">
        <f t="shared" si="383"/>
        <v>407251.12233525503</v>
      </c>
      <c r="I920" s="3035">
        <f t="shared" si="383"/>
        <v>411687.81656462967</v>
      </c>
      <c r="J920" s="3035">
        <f t="shared" si="383"/>
        <v>416102.37363207247</v>
      </c>
      <c r="K920" s="3035">
        <f t="shared" si="383"/>
        <v>420489.33326294838</v>
      </c>
      <c r="N920" s="2846"/>
      <c r="O920" s="2846"/>
      <c r="Q920" s="2671">
        <v>5</v>
      </c>
      <c r="R920" s="2948">
        <f>-SUM(B927:F927)</f>
        <v>335306.30802561057</v>
      </c>
      <c r="S920" s="2948">
        <f>SUM(B928:F928)+R920</f>
        <v>335306.30802561057</v>
      </c>
      <c r="Z920" s="2751" t="s">
        <v>6468</v>
      </c>
      <c r="AA920" s="2671">
        <v>25</v>
      </c>
    </row>
    <row r="921" spans="1:27" s="652" customFormat="1" ht="13.35" customHeight="1">
      <c r="A921" s="652" t="s">
        <v>1487</v>
      </c>
      <c r="B921" s="3036">
        <f>'Part VI-Pro Forma'!B26</f>
        <v>-317282.13791083649</v>
      </c>
      <c r="C921" s="3036">
        <f>'Part VI-Pro Forma'!C26</f>
        <v>-317282.13791083649</v>
      </c>
      <c r="D921" s="3036">
        <f>'Part VI-Pro Forma'!D26</f>
        <v>-317282.13791083649</v>
      </c>
      <c r="E921" s="3036">
        <f>'Part VI-Pro Forma'!E26</f>
        <v>-317282.13791083649</v>
      </c>
      <c r="F921" s="3036">
        <f>'Part VI-Pro Forma'!F26</f>
        <v>-317282.13791083649</v>
      </c>
      <c r="G921" s="3036">
        <f>'Part VI-Pro Forma'!G26</f>
        <v>-317282.13791083649</v>
      </c>
      <c r="H921" s="3036">
        <f>'Part VI-Pro Forma'!H26</f>
        <v>-317282.13791083649</v>
      </c>
      <c r="I921" s="3036">
        <f>'Part VI-Pro Forma'!I26</f>
        <v>-317282.13791083649</v>
      </c>
      <c r="J921" s="3036">
        <f>'Part VI-Pro Forma'!J26</f>
        <v>-317282.13791083649</v>
      </c>
      <c r="K921" s="3036">
        <f>'Part VI-Pro Forma'!K26</f>
        <v>-317282.13791083649</v>
      </c>
      <c r="N921" s="2846"/>
      <c r="O921" s="2846"/>
      <c r="Q921" s="2671">
        <v>6</v>
      </c>
      <c r="R921" s="2948">
        <f>-SUM(B927:G927)</f>
        <v>415819.75818125298</v>
      </c>
      <c r="S921" s="2948">
        <f>SUM(B928:G928)+R921</f>
        <v>415819.75818125298</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500788.74260567152</v>
      </c>
      <c r="S922" s="2948">
        <f>SUM(B928:H928)+R922</f>
        <v>500788.74260567152</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590194.4212594647</v>
      </c>
      <c r="S923" s="2948">
        <f>SUM(B928:I928)+R923</f>
        <v>590194.4212594647</v>
      </c>
      <c r="Z923" s="2751" t="s">
        <v>6468</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684014.65698070067</v>
      </c>
      <c r="S924" s="2948">
        <f>SUM(B928:J928)+R924</f>
        <v>684014.65698070067</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705620.65698070067</v>
      </c>
      <c r="S925" s="2948">
        <f>SUM(B928:K928)+R925</f>
        <v>782221.8523328125</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705620.65698070067</v>
      </c>
      <c r="S926" s="2948">
        <f>SUM(B928:K928)+B960+R926</f>
        <v>884786.78027316509</v>
      </c>
      <c r="Z926" s="2751" t="s">
        <v>6468</v>
      </c>
      <c r="AA926" s="2671">
        <v>31</v>
      </c>
    </row>
    <row r="927" spans="1:27" s="652" customFormat="1" ht="13.35" customHeight="1">
      <c r="A927" s="652" t="s">
        <v>3364</v>
      </c>
      <c r="B927" s="3036">
        <f>'Part VI-Pro Forma'!B32</f>
        <v>-58067.893289163476</v>
      </c>
      <c r="C927" s="3036">
        <f>'Part VI-Pro Forma'!C32</f>
        <v>-62569.473913163471</v>
      </c>
      <c r="D927" s="3036">
        <f>'Part VI-Pro Forma'!D32</f>
        <v>-67067.455149643472</v>
      </c>
      <c r="E927" s="3036">
        <f>'Part VI-Pro Forma'!E32</f>
        <v>-71559.269880853128</v>
      </c>
      <c r="F927" s="3036">
        <f>'Part VI-Pro Forma'!F32</f>
        <v>-76042.215792787028</v>
      </c>
      <c r="G927" s="3036">
        <f>'Part VI-Pro Forma'!G32</f>
        <v>-80513.450155642407</v>
      </c>
      <c r="H927" s="3036">
        <f>'Part VI-Pro Forma'!H32</f>
        <v>-84968.984424418537</v>
      </c>
      <c r="I927" s="3036">
        <f>'Part VI-Pro Forma'!I32</f>
        <v>-89405.678653793177</v>
      </c>
      <c r="J927" s="3036">
        <f>'Part VI-Pro Forma'!J32</f>
        <v>-93820.235721235978</v>
      </c>
      <c r="K927" s="3036">
        <f>'Part VI-Pro Forma'!K32</f>
        <v>-21606</v>
      </c>
      <c r="N927" s="2846"/>
      <c r="O927" s="2846"/>
      <c r="Q927" s="2671">
        <v>12</v>
      </c>
      <c r="R927" s="2948">
        <f>-SUM(B927:K927) - SUM(B959:C959)</f>
        <v>705620.65698070067</v>
      </c>
      <c r="S927" s="2948">
        <f>SUM(B928:K928) + SUM(B960:C960)+R927</f>
        <v>991675.40843121207</v>
      </c>
      <c r="Z927" s="2751" t="s">
        <v>6468</v>
      </c>
      <c r="AA927" s="2671">
        <v>32</v>
      </c>
    </row>
    <row r="928" spans="1:27" s="652" customFormat="1" ht="13.35" customHeight="1">
      <c r="A928" s="652" t="s">
        <v>1097</v>
      </c>
      <c r="B928" s="3035">
        <f t="shared" ref="B928:K928" si="384">SUM(B920:B927)</f>
        <v>0</v>
      </c>
      <c r="C928" s="3035">
        <f t="shared" si="384"/>
        <v>0</v>
      </c>
      <c r="D928" s="3035">
        <f t="shared" si="384"/>
        <v>0</v>
      </c>
      <c r="E928" s="3035">
        <f t="shared" si="384"/>
        <v>0</v>
      </c>
      <c r="F928" s="3035">
        <f t="shared" si="384"/>
        <v>0</v>
      </c>
      <c r="G928" s="3035">
        <f t="shared" si="384"/>
        <v>0</v>
      </c>
      <c r="H928" s="3035">
        <f t="shared" si="384"/>
        <v>0</v>
      </c>
      <c r="I928" s="3035">
        <f t="shared" si="384"/>
        <v>0</v>
      </c>
      <c r="J928" s="3035">
        <f t="shared" si="384"/>
        <v>0</v>
      </c>
      <c r="K928" s="3035">
        <f t="shared" si="384"/>
        <v>76601.195352111885</v>
      </c>
      <c r="N928" s="2846"/>
      <c r="O928" s="2846"/>
      <c r="Q928" s="2671">
        <v>13</v>
      </c>
      <c r="R928" s="2948">
        <f>-SUM(B927:K927) - SUM(B959:D959)</f>
        <v>705620.65698070067</v>
      </c>
      <c r="S928" s="2948">
        <f>SUM(B928:K928) + SUM(B960:D960)+R928</f>
        <v>1102847.7167783279</v>
      </c>
      <c r="Z928" s="2751" t="s">
        <v>6468</v>
      </c>
      <c r="AA928" s="2857">
        <v>33</v>
      </c>
    </row>
    <row r="929" spans="1:27" s="652" customFormat="1" ht="13.35" customHeight="1">
      <c r="A929" s="652" t="str">
        <f>IF('Part II-Sources of Funds'!$E$40 = "Neither", "", "DCR Mortgage A")</f>
        <v>DCR Mortgage A</v>
      </c>
      <c r="B929" s="3037">
        <f t="shared" ref="B929:K929" si="385">IF(B921=0,"",-B920/B921)</f>
        <v>1.1987754296678592</v>
      </c>
      <c r="C929" s="3037">
        <f t="shared" si="385"/>
        <v>1.212963371837062</v>
      </c>
      <c r="D929" s="3037">
        <f t="shared" si="385"/>
        <v>1.2271399695683345</v>
      </c>
      <c r="E929" s="3037">
        <f t="shared" si="385"/>
        <v>1.241297131899584</v>
      </c>
      <c r="F929" s="3037">
        <f t="shared" si="385"/>
        <v>1.255426341761356</v>
      </c>
      <c r="G929" s="3037">
        <f t="shared" si="385"/>
        <v>1.2695186395260412</v>
      </c>
      <c r="H929" s="3037">
        <f t="shared" si="385"/>
        <v>1.2835614542212328</v>
      </c>
      <c r="I929" s="3037">
        <f t="shared" si="385"/>
        <v>1.2975448894646673</v>
      </c>
      <c r="J929" s="3037">
        <f t="shared" si="385"/>
        <v>1.311458553487832</v>
      </c>
      <c r="K929" s="3037">
        <f t="shared" si="385"/>
        <v>1.3252852367665131</v>
      </c>
      <c r="N929" s="2846"/>
      <c r="O929" s="2846"/>
      <c r="Q929" s="2671">
        <v>14</v>
      </c>
      <c r="R929" s="2948">
        <f>-SUM(B927:K927) - SUM(B959:E959)</f>
        <v>705620.65698070067</v>
      </c>
      <c r="S929" s="2948">
        <f>SUM(B928:K928) + SUM(B960:E960)+R929</f>
        <v>1218261.5084643248</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705620.65698070067</v>
      </c>
      <c r="S930" s="2948">
        <f>SUM(B928:K928) + SUM(B960:F960)+R930</f>
        <v>1337868.2135883919</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705620.65698070067</v>
      </c>
      <c r="S931" s="2948">
        <f>SUM(B928:K928) + SUM(B960:G960)+R931</f>
        <v>1461615.6856646743</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705620.65698070067</v>
      </c>
      <c r="S932" s="2948">
        <f>SUM(B928:K928) + SUM(B960:H960)+R932</f>
        <v>1589444.9905349622</v>
      </c>
      <c r="Z932" s="2751" t="s">
        <v>6468</v>
      </c>
      <c r="AA932" s="2671">
        <v>37</v>
      </c>
    </row>
    <row r="933" spans="1:27" s="652" customFormat="1" ht="13.35" customHeight="1">
      <c r="A933" s="652" t="s">
        <v>3216</v>
      </c>
      <c r="B933" s="3037">
        <f t="shared" ref="B933:K933" si="389">IF(AND(B921=0,B922=0,B923=0,B924=0),"",-B920/(B921+B922+B923+B924))</f>
        <v>1.1987754296678592</v>
      </c>
      <c r="C933" s="3037">
        <f t="shared" si="389"/>
        <v>1.212963371837062</v>
      </c>
      <c r="D933" s="3037">
        <f t="shared" si="389"/>
        <v>1.2271399695683345</v>
      </c>
      <c r="E933" s="3037">
        <f t="shared" si="389"/>
        <v>1.241297131899584</v>
      </c>
      <c r="F933" s="3037">
        <f t="shared" si="389"/>
        <v>1.255426341761356</v>
      </c>
      <c r="G933" s="3037">
        <f t="shared" si="389"/>
        <v>1.2695186395260412</v>
      </c>
      <c r="H933" s="3037">
        <f t="shared" si="389"/>
        <v>1.2835614542212328</v>
      </c>
      <c r="I933" s="3037">
        <f t="shared" si="389"/>
        <v>1.2975448894646673</v>
      </c>
      <c r="J933" s="3037">
        <f t="shared" si="389"/>
        <v>1.311458553487832</v>
      </c>
      <c r="K933" s="3037">
        <f t="shared" si="389"/>
        <v>1.3252852367665131</v>
      </c>
      <c r="N933" s="2846"/>
      <c r="O933" s="2846"/>
      <c r="Q933" s="2671">
        <v>18</v>
      </c>
      <c r="R933" s="2948">
        <f>-SUM(B927:K927) - SUM(B959:I959)</f>
        <v>705620.65698070067</v>
      </c>
      <c r="S933" s="2948">
        <f>SUM(B928:K928) + SUM(B960:I960)+R933</f>
        <v>1721292.1874729632</v>
      </c>
      <c r="Z933" s="2751" t="s">
        <v>6468</v>
      </c>
      <c r="AA933" s="2671">
        <v>38</v>
      </c>
    </row>
    <row r="934" spans="1:27" s="652" customFormat="1" ht="13.35" customHeight="1">
      <c r="A934" s="652" t="s">
        <v>718</v>
      </c>
      <c r="B934" s="3038">
        <f>'Part VI-Pro Forma'!B39</f>
        <v>2.0963181216023794</v>
      </c>
      <c r="C934" s="3038">
        <f>'Part VI-Pro Forma'!C39</f>
        <v>2.0780818538280079</v>
      </c>
      <c r="D934" s="3038">
        <f>'Part VI-Pro Forma'!D39</f>
        <v>2.0599833312253342</v>
      </c>
      <c r="E934" s="3038">
        <f>'Part VI-Pro Forma'!E39</f>
        <v>2.042023648056142</v>
      </c>
      <c r="F934" s="3038">
        <f>'Part VI-Pro Forma'!F39</f>
        <v>2.024203676470405</v>
      </c>
      <c r="G934" s="3038">
        <f>'Part VI-Pro Forma'!G39</f>
        <v>2.006524083728793</v>
      </c>
      <c r="H934" s="3038">
        <f>'Part VI-Pro Forma'!H39</f>
        <v>1.9889805182698754</v>
      </c>
      <c r="I934" s="3038">
        <f>'Part VI-Pro Forma'!I39</f>
        <v>1.9715738167360919</v>
      </c>
      <c r="J934" s="3038">
        <f>'Part VI-Pro Forma'!J39</f>
        <v>1.9543046178181298</v>
      </c>
      <c r="K934" s="3038">
        <f>'Part VI-Pro Forma'!K39</f>
        <v>1.9371647429117957</v>
      </c>
      <c r="N934" s="2846"/>
      <c r="O934" s="2846"/>
      <c r="Q934" s="2671">
        <v>19</v>
      </c>
      <c r="R934" s="2948">
        <f>-SUM(B927:K927) - SUM(B959:J959)</f>
        <v>705620.65698070067</v>
      </c>
      <c r="S934" s="2948">
        <f>SUM(B928:K928) + SUM(B960:J960)+R934</f>
        <v>1857089.1022163951</v>
      </c>
      <c r="Z934" s="2751" t="s">
        <v>6468</v>
      </c>
      <c r="AA934" s="2671">
        <v>39</v>
      </c>
    </row>
    <row r="935" spans="1:27" s="652" customFormat="1" ht="13.35" customHeight="1">
      <c r="A935" s="652" t="s">
        <v>2406</v>
      </c>
      <c r="B935" s="3036">
        <f>'Part VI-Pro Forma'!B40</f>
        <v>4355844.6834885981</v>
      </c>
      <c r="C935" s="3036">
        <f>'Part VI-Pro Forma'!C40</f>
        <v>4298349.1855539437</v>
      </c>
      <c r="D935" s="3036">
        <f>'Part VI-Pro Forma'!D40</f>
        <v>4237307.4911146201</v>
      </c>
      <c r="E935" s="3036">
        <f>'Part VI-Pro Forma'!E40</f>
        <v>4172500.8785297782</v>
      </c>
      <c r="F935" s="3036">
        <f>'Part VI-Pro Forma'!F40</f>
        <v>4103697.135886353</v>
      </c>
      <c r="G935" s="3036">
        <f>'Part VI-Pro Forma'!G40</f>
        <v>4030649.7289485936</v>
      </c>
      <c r="H935" s="3036">
        <f>'Part VI-Pro Forma'!H40</f>
        <v>3953096.9177885377</v>
      </c>
      <c r="I935" s="3036">
        <f>'Part VI-Pro Forma'!I40</f>
        <v>3870760.8189321882</v>
      </c>
      <c r="J935" s="3036">
        <f>'Part VI-Pro Forma'!J40</f>
        <v>3783346.4096609205</v>
      </c>
      <c r="K935" s="3036">
        <f>'Part VI-Pro Forma'!K40</f>
        <v>3690540.4709003735</v>
      </c>
      <c r="N935" s="2846"/>
      <c r="O935" s="2846"/>
      <c r="Q935" s="2671">
        <v>20</v>
      </c>
      <c r="R935" s="2948">
        <f>-SUM(B927:K927) - SUM(B959:K959)</f>
        <v>705620.65698070067</v>
      </c>
      <c r="S935" s="2948">
        <f>SUM(B928:K928) + SUM(B960:K960)+R935</f>
        <v>1996760.0916546192</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3365</v>
      </c>
      <c r="B939" s="3036">
        <f>'Part VI-Pro Forma'!B44</f>
        <v>647553.10671083652</v>
      </c>
      <c r="C939" s="3036">
        <f>'Part VI-Pro Forma'!C44</f>
        <v>584983.63279767311</v>
      </c>
      <c r="D939" s="3036">
        <f>'Part VI-Pro Forma'!D44</f>
        <v>517916.17764802964</v>
      </c>
      <c r="E939" s="3036">
        <f>'Part VI-Pro Forma'!E44</f>
        <v>446356.90776717651</v>
      </c>
      <c r="F939" s="3036">
        <f>'Part VI-Pro Forma'!F44</f>
        <v>370314.69197438948</v>
      </c>
      <c r="G939" s="3036">
        <f>'Part VI-Pro Forma'!G44</f>
        <v>289801.24181874708</v>
      </c>
      <c r="H939" s="3036">
        <f>'Part VI-Pro Forma'!H44</f>
        <v>204832.25739432854</v>
      </c>
      <c r="I939" s="3036">
        <f>'Part VI-Pro Forma'!I44</f>
        <v>115426.57874053536</v>
      </c>
      <c r="J939" s="3036">
        <f>'Part VI-Pro Forma'!J44</f>
        <v>21606.343019299384</v>
      </c>
      <c r="K939" s="3036">
        <f>'Part VI-Pro Forma'!K44</f>
        <v>0.34301929938374087</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934593.26985462033</v>
      </c>
      <c r="C942" s="3035">
        <f>'Part VI-Pro Forma'!C47</f>
        <v>953285.13525171252</v>
      </c>
      <c r="D942" s="3035">
        <f>'Part VI-Pro Forma'!D47</f>
        <v>972350.83795674692</v>
      </c>
      <c r="E942" s="3035">
        <f>'Part VI-Pro Forma'!E47</f>
        <v>991797.85471588187</v>
      </c>
      <c r="F942" s="3035">
        <f>'Part VI-Pro Forma'!F47</f>
        <v>1011633.8118101995</v>
      </c>
      <c r="G942" s="3035">
        <f>'Part VI-Pro Forma'!G47</f>
        <v>1031866.4880464033</v>
      </c>
      <c r="H942" s="3035">
        <f>'Part VI-Pro Forma'!H47</f>
        <v>1052503.8178073314</v>
      </c>
      <c r="I942" s="3035">
        <f>'Part VI-Pro Forma'!I47</f>
        <v>1073553.8941634782</v>
      </c>
      <c r="J942" s="3035">
        <f>'Part VI-Pro Forma'!J47</f>
        <v>1095024.9720467476</v>
      </c>
      <c r="K942" s="3035">
        <f>'Part VI-Pro Forma'!K47</f>
        <v>1116925.4714876825</v>
      </c>
      <c r="N942" s="2846"/>
      <c r="O942" s="2846"/>
      <c r="Z942" s="2751" t="s">
        <v>6469</v>
      </c>
      <c r="AA942" s="2857">
        <v>47</v>
      </c>
    </row>
    <row r="943" spans="1:27" s="652" customFormat="1" ht="13.35" customHeight="1">
      <c r="A943" s="652" t="s">
        <v>953</v>
      </c>
      <c r="B943" s="3035">
        <f>'Part VI-Pro Forma'!B48</f>
        <v>18691.865397092406</v>
      </c>
      <c r="C943" s="3035">
        <f>'Part VI-Pro Forma'!C48</f>
        <v>19065.702705034251</v>
      </c>
      <c r="D943" s="3035">
        <f>'Part VI-Pro Forma'!D48</f>
        <v>19447.016759134938</v>
      </c>
      <c r="E943" s="3035">
        <f>'Part VI-Pro Forma'!E48</f>
        <v>19835.957094317637</v>
      </c>
      <c r="F943" s="3035">
        <f>'Part VI-Pro Forma'!F48</f>
        <v>20232.676236203992</v>
      </c>
      <c r="G943" s="3035">
        <f>'Part VI-Pro Forma'!G48</f>
        <v>20637.329760928067</v>
      </c>
      <c r="H943" s="3035">
        <f>'Part VI-Pro Forma'!H48</f>
        <v>21050.07635614663</v>
      </c>
      <c r="I943" s="3035">
        <f>'Part VI-Pro Forma'!I48</f>
        <v>21471.077883269565</v>
      </c>
      <c r="J943" s="3035">
        <f>'Part VI-Pro Forma'!J48</f>
        <v>21900.499440934953</v>
      </c>
      <c r="K943" s="3035">
        <f>'Part VI-Pro Forma'!K48</f>
        <v>22338.509429753653</v>
      </c>
      <c r="N943" s="2846"/>
      <c r="O943" s="2846"/>
      <c r="Z943" s="2751" t="s">
        <v>6469</v>
      </c>
      <c r="AA943" s="2671">
        <v>48</v>
      </c>
    </row>
    <row r="944" spans="1:27" s="652" customFormat="1" ht="13.35" customHeight="1">
      <c r="A944" s="652" t="s">
        <v>2217</v>
      </c>
      <c r="B944" s="3035">
        <f>'Part VI-Pro Forma'!B49</f>
        <v>-66729.959467619905</v>
      </c>
      <c r="C944" s="3035">
        <f>'Part VI-Pro Forma'!C49</f>
        <v>-68064.55865697228</v>
      </c>
      <c r="D944" s="3035">
        <f>'Part VI-Pro Forma'!D49</f>
        <v>-69425.849830111736</v>
      </c>
      <c r="E944" s="3035">
        <f>'Part VI-Pro Forma'!E49</f>
        <v>-70814.366826713973</v>
      </c>
      <c r="F944" s="3035">
        <f>'Part VI-Pro Forma'!F49</f>
        <v>-72230.654163248255</v>
      </c>
      <c r="G944" s="3035">
        <f>'Part VI-Pro Forma'!G49</f>
        <v>-73675.267246513205</v>
      </c>
      <c r="H944" s="3035">
        <f>'Part VI-Pro Forma'!H49</f>
        <v>-75148.772591443485</v>
      </c>
      <c r="I944" s="3035">
        <f>'Part VI-Pro Forma'!I49</f>
        <v>-76651.748043272353</v>
      </c>
      <c r="J944" s="3035">
        <f>'Part VI-Pro Forma'!J49</f>
        <v>-78184.783004137789</v>
      </c>
      <c r="K944" s="3035">
        <f>'Part VI-Pro Forma'!K49</f>
        <v>-79748.478664220544</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886555.17578409286</v>
      </c>
      <c r="C947" s="3035">
        <f t="shared" ref="C947" si="391">SUM(C942:C946)</f>
        <v>904286.27929977456</v>
      </c>
      <c r="D947" s="3035">
        <f t="shared" ref="D947" si="392">SUM(D942:D946)</f>
        <v>922372.00488577015</v>
      </c>
      <c r="E947" s="3035">
        <f t="shared" ref="E947" si="393">SUM(E942:E946)</f>
        <v>940819.4449834855</v>
      </c>
      <c r="F947" s="3035">
        <f t="shared" ref="F947" si="394">SUM(F942:F946)</f>
        <v>959635.83388315525</v>
      </c>
      <c r="G947" s="3035">
        <f t="shared" ref="G947" si="395">SUM(G942:G946)</f>
        <v>978828.55056081829</v>
      </c>
      <c r="H947" s="3035">
        <f t="shared" ref="H947" si="396">SUM(H942:H946)</f>
        <v>998405.12157203467</v>
      </c>
      <c r="I947" s="3035">
        <f t="shared" ref="I947" si="397">SUM(I942:I946)</f>
        <v>1018373.2240034754</v>
      </c>
      <c r="J947" s="3035">
        <f t="shared" ref="J947" si="398">SUM(J942:J946)</f>
        <v>1038740.6884835447</v>
      </c>
      <c r="K947" s="3035">
        <f t="shared" ref="K947" si="399">SUM(K942:K946)</f>
        <v>1059515.5022532158</v>
      </c>
      <c r="N947" s="2846"/>
      <c r="O947" s="2846"/>
      <c r="Z947" s="2751" t="s">
        <v>6469</v>
      </c>
      <c r="AA947" s="2671">
        <v>52</v>
      </c>
    </row>
    <row r="948" spans="1:27" s="652" customFormat="1" ht="13.35" customHeight="1">
      <c r="A948" s="652" t="s">
        <v>572</v>
      </c>
      <c r="B948" s="3035">
        <f>'Part VI-Pro Forma'!B53</f>
        <v>-395877.44786339795</v>
      </c>
      <c r="C948" s="3035">
        <f>'Part VI-Pro Forma'!C53</f>
        <v>-407753.7712992999</v>
      </c>
      <c r="D948" s="3035">
        <f>'Part VI-Pro Forma'!D53</f>
        <v>-419986.38443827885</v>
      </c>
      <c r="E948" s="3035">
        <f>'Part VI-Pro Forma'!E53</f>
        <v>-432585.97597142716</v>
      </c>
      <c r="F948" s="3035">
        <f>'Part VI-Pro Forma'!F53</f>
        <v>-445563.55525057006</v>
      </c>
      <c r="G948" s="3035">
        <f>'Part VI-Pro Forma'!G53</f>
        <v>-458930.46190808719</v>
      </c>
      <c r="H948" s="3035">
        <f>'Part VI-Pro Forma'!H53</f>
        <v>-472698.37576532969</v>
      </c>
      <c r="I948" s="3035">
        <f>'Part VI-Pro Forma'!I53</f>
        <v>-486879.32703828957</v>
      </c>
      <c r="J948" s="3035">
        <f>'Part VI-Pro Forma'!J53</f>
        <v>-501485.70684943831</v>
      </c>
      <c r="K948" s="3035">
        <f>'Part VI-Pro Forma'!K53</f>
        <v>-516530.27805492142</v>
      </c>
      <c r="N948" s="2846"/>
      <c r="O948" s="2846"/>
      <c r="Z948" s="2751" t="s">
        <v>6469</v>
      </c>
      <c r="AA948" s="2671">
        <v>53</v>
      </c>
    </row>
    <row r="949" spans="1:27" s="652" customFormat="1" ht="13.35" customHeight="1">
      <c r="A949" s="652" t="s">
        <v>1051</v>
      </c>
      <c r="B949" s="3035">
        <f>'Part VI-Pro Forma'!B54</f>
        <v>-44328</v>
      </c>
      <c r="C949" s="3035">
        <f>'Part VI-Pro Forma'!C54</f>
        <v>-45214</v>
      </c>
      <c r="D949" s="3035">
        <f>'Part VI-Pro Forma'!D54</f>
        <v>-46119</v>
      </c>
      <c r="E949" s="3035">
        <f>'Part VI-Pro Forma'!E54</f>
        <v>-47041</v>
      </c>
      <c r="F949" s="3035">
        <f>'Part VI-Pro Forma'!F54</f>
        <v>-47982</v>
      </c>
      <c r="G949" s="3035">
        <f>'Part VI-Pro Forma'!G54</f>
        <v>-48941</v>
      </c>
      <c r="H949" s="3035">
        <f>'Part VI-Pro Forma'!H54</f>
        <v>-49920</v>
      </c>
      <c r="I949" s="3035">
        <f>'Part VI-Pro Forma'!I54</f>
        <v>-50919</v>
      </c>
      <c r="J949" s="3035">
        <f>'Part VI-Pro Forma'!J54</f>
        <v>-51937</v>
      </c>
      <c r="K949" s="3035">
        <f>'Part VI-Pro Forma'!K54</f>
        <v>-52976</v>
      </c>
      <c r="N949" s="2846"/>
      <c r="O949" s="2846"/>
      <c r="Z949" s="2751" t="s">
        <v>6469</v>
      </c>
      <c r="AA949" s="2671">
        <v>54</v>
      </c>
    </row>
    <row r="950" spans="1:27" s="652" customFormat="1" ht="13.35" customHeight="1">
      <c r="A950" s="652" t="s">
        <v>1129</v>
      </c>
      <c r="B950" s="3035">
        <f>'Part VI-Pro Forma'!B55</f>
        <v>-21502.66206950595</v>
      </c>
      <c r="C950" s="3035">
        <f>'Part VI-Pro Forma'!C55</f>
        <v>-22147.741931591128</v>
      </c>
      <c r="D950" s="3035">
        <f>'Part VI-Pro Forma'!D55</f>
        <v>-22812.174189538859</v>
      </c>
      <c r="E950" s="3035">
        <f>'Part VI-Pro Forma'!E55</f>
        <v>-23496.539415225023</v>
      </c>
      <c r="F950" s="3035">
        <f>'Part VI-Pro Forma'!F55</f>
        <v>-24201.435597681775</v>
      </c>
      <c r="G950" s="3035">
        <f>'Part VI-Pro Forma'!G55</f>
        <v>-24927.478665612231</v>
      </c>
      <c r="H950" s="3035">
        <f>'Part VI-Pro Forma'!H55</f>
        <v>-25675.303025580593</v>
      </c>
      <c r="I950" s="3035">
        <f>'Part VI-Pro Forma'!I55</f>
        <v>-26445.56211634801</v>
      </c>
      <c r="J950" s="3035">
        <f>'Part VI-Pro Forma'!J55</f>
        <v>-27238.928979838453</v>
      </c>
      <c r="K950" s="3035">
        <f>'Part VI-Pro Forma'!K55</f>
        <v>-28056.096849233603</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424847.06585118896</v>
      </c>
      <c r="C952" s="3035">
        <f t="shared" ref="C952" si="400">SUM(C947:C951)</f>
        <v>429170.76606888353</v>
      </c>
      <c r="D952" s="3035">
        <f t="shared" ref="D952" si="401">SUM(D947:D951)</f>
        <v>433454.44625795243</v>
      </c>
      <c r="E952" s="3035">
        <f t="shared" ref="E952" si="402">SUM(E947:E951)</f>
        <v>437695.9295968333</v>
      </c>
      <c r="F952" s="3035">
        <f t="shared" ref="F952" si="403">SUM(F947:F951)</f>
        <v>441888.8430349034</v>
      </c>
      <c r="G952" s="3035">
        <f t="shared" ref="G952" si="404">SUM(G947:G951)</f>
        <v>446029.60998711886</v>
      </c>
      <c r="H952" s="3035">
        <f t="shared" ref="H952" si="405">SUM(H947:H951)</f>
        <v>450111.44278112438</v>
      </c>
      <c r="I952" s="3035">
        <f t="shared" ref="I952" si="406">SUM(I947:I951)</f>
        <v>454129.33484883787</v>
      </c>
      <c r="J952" s="3035">
        <f t="shared" ref="J952" si="407">SUM(J947:J951)</f>
        <v>458079.05265426805</v>
      </c>
      <c r="K952" s="3035">
        <f t="shared" ref="K952" si="408">SUM(K947:K951)</f>
        <v>461953.12734906073</v>
      </c>
      <c r="N952" s="2846"/>
      <c r="O952" s="2846"/>
      <c r="Z952" s="2751" t="s">
        <v>6469</v>
      </c>
      <c r="AA952" s="2671">
        <v>57</v>
      </c>
    </row>
    <row r="953" spans="1:27" s="652" customFormat="1" ht="13.35" customHeight="1">
      <c r="A953" s="652" t="str">
        <f>$A921</f>
        <v>Mortgage A</v>
      </c>
      <c r="B953" s="3036">
        <f>'Part VI-Pro Forma'!B58</f>
        <v>-317282.13791083649</v>
      </c>
      <c r="C953" s="3036">
        <f>'Part VI-Pro Forma'!C58</f>
        <v>-317282.13791083649</v>
      </c>
      <c r="D953" s="3036">
        <f>'Part VI-Pro Forma'!D58</f>
        <v>-317282.13791083649</v>
      </c>
      <c r="E953" s="3036">
        <f>'Part VI-Pro Forma'!E58</f>
        <v>-317282.13791083649</v>
      </c>
      <c r="F953" s="3036">
        <f>'Part VI-Pro Forma'!F58</f>
        <v>-317282.13791083649</v>
      </c>
      <c r="G953" s="3036">
        <f>'Part VI-Pro Forma'!G58</f>
        <v>-317282.13791083649</v>
      </c>
      <c r="H953" s="3036">
        <f>'Part VI-Pro Forma'!H58</f>
        <v>-317282.13791083649</v>
      </c>
      <c r="I953" s="3036">
        <f>'Part VI-Pro Forma'!I58</f>
        <v>-317282.13791083649</v>
      </c>
      <c r="J953" s="3036">
        <f>'Part VI-Pro Forma'!J58</f>
        <v>-317282.13791083649</v>
      </c>
      <c r="K953" s="3036">
        <f>'Part VI-Pro Forma'!K58</f>
        <v>-317282.13791083649</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102564.92794035247</v>
      </c>
      <c r="C960" s="3035">
        <f t="shared" si="409"/>
        <v>106888.62815804704</v>
      </c>
      <c r="D960" s="3035">
        <f t="shared" si="409"/>
        <v>111172.30834711593</v>
      </c>
      <c r="E960" s="3035">
        <f t="shared" si="409"/>
        <v>115413.79168599681</v>
      </c>
      <c r="F960" s="3035">
        <f t="shared" si="409"/>
        <v>119606.70512406691</v>
      </c>
      <c r="G960" s="3035">
        <f t="shared" si="409"/>
        <v>123747.47207628237</v>
      </c>
      <c r="H960" s="3035">
        <f t="shared" si="409"/>
        <v>127829.30487028789</v>
      </c>
      <c r="I960" s="3035">
        <f t="shared" si="409"/>
        <v>131847.19693800138</v>
      </c>
      <c r="J960" s="3035">
        <f t="shared" si="409"/>
        <v>135796.91474343155</v>
      </c>
      <c r="K960" s="3035">
        <f t="shared" si="409"/>
        <v>139670.98943822423</v>
      </c>
      <c r="N960" s="2846"/>
      <c r="O960" s="2846"/>
      <c r="Z960" s="2751" t="s">
        <v>6469</v>
      </c>
      <c r="AA960" s="2671">
        <v>65</v>
      </c>
    </row>
    <row r="961" spans="1:27" s="652" customFormat="1" ht="13.35" customHeight="1">
      <c r="A961" s="652" t="str">
        <f>$A929</f>
        <v>DCR Mortgage A</v>
      </c>
      <c r="B961" s="3037">
        <f t="shared" ref="B961:K961" si="410">IF(B953=0,"",-B952/B953)</f>
        <v>1.3390198031588549</v>
      </c>
      <c r="C961" s="3037">
        <f t="shared" si="410"/>
        <v>1.352647107381413</v>
      </c>
      <c r="D961" s="3037">
        <f t="shared" si="410"/>
        <v>1.366148277719192</v>
      </c>
      <c r="E961" s="3037">
        <f t="shared" si="410"/>
        <v>1.379516453333518</v>
      </c>
      <c r="F961" s="3037">
        <f t="shared" si="410"/>
        <v>1.392731547841134</v>
      </c>
      <c r="G961" s="3037">
        <f t="shared" si="410"/>
        <v>1.4057822886722458</v>
      </c>
      <c r="H961" s="3037">
        <f t="shared" si="410"/>
        <v>1.4186472826516818</v>
      </c>
      <c r="I961" s="3037">
        <f t="shared" si="410"/>
        <v>1.4313107502334674</v>
      </c>
      <c r="J961" s="3037">
        <f t="shared" si="410"/>
        <v>1.4437593482901918</v>
      </c>
      <c r="K961" s="3037">
        <f t="shared" si="410"/>
        <v>1.4559695367373</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1.3390198031588549</v>
      </c>
      <c r="C965" s="3037">
        <f t="shared" si="414"/>
        <v>1.352647107381413</v>
      </c>
      <c r="D965" s="3037">
        <f t="shared" si="414"/>
        <v>1.366148277719192</v>
      </c>
      <c r="E965" s="3037">
        <f t="shared" si="414"/>
        <v>1.379516453333518</v>
      </c>
      <c r="F965" s="3037">
        <f t="shared" si="414"/>
        <v>1.392731547841134</v>
      </c>
      <c r="G965" s="3037">
        <f t="shared" si="414"/>
        <v>1.4057822886722458</v>
      </c>
      <c r="H965" s="3037">
        <f t="shared" si="414"/>
        <v>1.4186472826516818</v>
      </c>
      <c r="I965" s="3037">
        <f t="shared" si="414"/>
        <v>1.4313107502334674</v>
      </c>
      <c r="J965" s="3037">
        <f t="shared" si="414"/>
        <v>1.4437593482901918</v>
      </c>
      <c r="K965" s="3037">
        <f t="shared" si="414"/>
        <v>1.4559695367373</v>
      </c>
      <c r="N965" s="2846"/>
      <c r="O965" s="2846"/>
      <c r="Z965" s="2751" t="s">
        <v>6469</v>
      </c>
      <c r="AA965" s="2671">
        <v>70</v>
      </c>
    </row>
    <row r="966" spans="1:27" s="652" customFormat="1" ht="13.35" customHeight="1">
      <c r="A966" s="652" t="s">
        <v>718</v>
      </c>
      <c r="B966" s="3038">
        <f>'Part VI-Pro Forma'!B71</f>
        <v>1.9201637500214765</v>
      </c>
      <c r="C966" s="3038">
        <f>'Part VI-Pro Forma'!C71</f>
        <v>1.9032977331142631</v>
      </c>
      <c r="D966" s="3038">
        <f>'Part VI-Pro Forma'!D71</f>
        <v>1.8865593771564955</v>
      </c>
      <c r="E966" s="3038">
        <f>'Part VI-Pro Forma'!E71</f>
        <v>1.8699572097330064</v>
      </c>
      <c r="F966" s="3038">
        <f>'Part VI-Pro Forma'!F71</f>
        <v>1.8534841357763063</v>
      </c>
      <c r="G966" s="3038">
        <f>'Part VI-Pro Forma'!G71</f>
        <v>1.8371443259756666</v>
      </c>
      <c r="H966" s="3038">
        <f>'Part VI-Pro Forma'!H71</f>
        <v>1.8209313004915613</v>
      </c>
      <c r="I966" s="3038">
        <f>'Part VI-Pro Forma'!I71</f>
        <v>1.8048458185860452</v>
      </c>
      <c r="J966" s="3038">
        <f>'Part VI-Pro Forma'!J71</f>
        <v>1.7888915409402901</v>
      </c>
      <c r="K966" s="3038">
        <f>'Part VI-Pro Forma'!K71</f>
        <v>1.7730626069339706</v>
      </c>
      <c r="N966" s="2846"/>
      <c r="O966" s="2846"/>
      <c r="Z966" s="2751" t="s">
        <v>6469</v>
      </c>
      <c r="AA966" s="2671">
        <v>71</v>
      </c>
    </row>
    <row r="967" spans="1:27" s="652" customFormat="1" ht="13.35" customHeight="1">
      <c r="A967" s="652" t="s">
        <v>2406</v>
      </c>
      <c r="B967" s="3036">
        <f>'Part VI-Pro Forma'!B72</f>
        <v>3592010.4649090455</v>
      </c>
      <c r="C967" s="3036">
        <f>'Part VI-Pro Forma'!C72</f>
        <v>3487403.3437451762</v>
      </c>
      <c r="D967" s="3036">
        <f>'Part VI-Pro Forma'!D72</f>
        <v>3376344.2842424749</v>
      </c>
      <c r="E967" s="3036">
        <f>'Part VI-Pro Forma'!E72</f>
        <v>3258435.3449619184</v>
      </c>
      <c r="F967" s="3036">
        <f>'Part VI-Pro Forma'!F72</f>
        <v>3133254.0403072732</v>
      </c>
      <c r="G967" s="3036">
        <f>'Part VI-Pro Forma'!G72</f>
        <v>3000351.8266951861</v>
      </c>
      <c r="H967" s="3036">
        <f>'Part VI-Pro Forma'!H72</f>
        <v>2859252.4953555577</v>
      </c>
      <c r="I967" s="3036">
        <f>'Part VI-Pro Forma'!I72</f>
        <v>2709450.466003357</v>
      </c>
      <c r="J967" s="3036">
        <f>'Part VI-Pro Forma'!J72</f>
        <v>2550408.9752678513</v>
      </c>
      <c r="K967" s="3036">
        <f>'Part VI-Pro Forma'!K72</f>
        <v>2381558.1533881119</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3365</v>
      </c>
      <c r="B971" s="3036">
        <f>'Part VI-Pro Forma'!B76</f>
        <v>0.34301929938374087</v>
      </c>
      <c r="C971" s="3036">
        <f>'Part VI-Pro Forma'!C76</f>
        <v>0.34301929938374087</v>
      </c>
      <c r="D971" s="3036">
        <f>'Part VI-Pro Forma'!D76</f>
        <v>0.34301929938374087</v>
      </c>
      <c r="E971" s="3036">
        <f>'Part VI-Pro Forma'!E76</f>
        <v>0.34301929938374087</v>
      </c>
      <c r="F971" s="3036">
        <f>'Part VI-Pro Forma'!F76</f>
        <v>0.34301929938374087</v>
      </c>
      <c r="G971" s="3036">
        <f>'Part VI-Pro Forma'!G76</f>
        <v>0.34301929938374087</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1139263.9809174363</v>
      </c>
      <c r="C974" s="3035">
        <f>'Part VI-Pro Forma'!C79</f>
        <v>1162049.260535785</v>
      </c>
      <c r="D974" s="3035">
        <f>'Part VI-Pro Forma'!D79</f>
        <v>1185290.2457465008</v>
      </c>
      <c r="E974" s="3035">
        <f>'Part VI-Pro Forma'!E79</f>
        <v>1208996.0506614305</v>
      </c>
      <c r="F974" s="3035">
        <f>'Part VI-Pro Forma'!F79</f>
        <v>1233175.9716746593</v>
      </c>
      <c r="G974" s="3035">
        <f>'Part VI-Pro Forma'!G79</f>
        <v>1257839.4911081523</v>
      </c>
      <c r="H974" s="3035">
        <f>'Part VI-Pro Forma'!H79</f>
        <v>1282996.2809303156</v>
      </c>
      <c r="I974" s="3035">
        <f>'Part VI-Pro Forma'!I79</f>
        <v>1308656.2065489218</v>
      </c>
      <c r="J974" s="3035">
        <f>'Part VI-Pro Forma'!J79</f>
        <v>1334829.3306799005</v>
      </c>
      <c r="K974" s="3035">
        <f>'Part VI-Pro Forma'!K79</f>
        <v>1361525.9172934983</v>
      </c>
      <c r="N974" s="2846"/>
      <c r="O974" s="2846"/>
      <c r="Z974" s="2751" t="s">
        <v>6470</v>
      </c>
      <c r="AA974" s="2671">
        <v>79</v>
      </c>
    </row>
    <row r="975" spans="1:27" s="652" customFormat="1" ht="13.35" customHeight="1">
      <c r="A975" s="652" t="s">
        <v>953</v>
      </c>
      <c r="B975" s="3035">
        <f>'Part VI-Pro Forma'!B80</f>
        <v>22785.279618348726</v>
      </c>
      <c r="C975" s="3035">
        <f>'Part VI-Pro Forma'!C80</f>
        <v>23240.985210715702</v>
      </c>
      <c r="D975" s="3035">
        <f>'Part VI-Pro Forma'!D80</f>
        <v>23705.804914930017</v>
      </c>
      <c r="E975" s="3035">
        <f>'Part VI-Pro Forma'!E80</f>
        <v>24179.921013228613</v>
      </c>
      <c r="F975" s="3035">
        <f>'Part VI-Pro Forma'!F80</f>
        <v>24663.519433493184</v>
      </c>
      <c r="G975" s="3035">
        <f>'Part VI-Pro Forma'!G80</f>
        <v>25156.789822163049</v>
      </c>
      <c r="H975" s="3035">
        <f>'Part VI-Pro Forma'!H80</f>
        <v>25659.925618606314</v>
      </c>
      <c r="I975" s="3035">
        <f>'Part VI-Pro Forma'!I80</f>
        <v>26173.124130978435</v>
      </c>
      <c r="J975" s="3035">
        <f>'Part VI-Pro Forma'!J80</f>
        <v>26696.586613598007</v>
      </c>
      <c r="K975" s="3035">
        <f>'Part VI-Pro Forma'!K80</f>
        <v>27230.518345869965</v>
      </c>
      <c r="N975" s="2846"/>
      <c r="O975" s="2846"/>
      <c r="Z975" s="2751" t="s">
        <v>6470</v>
      </c>
      <c r="AA975" s="2671">
        <v>80</v>
      </c>
    </row>
    <row r="976" spans="1:27" s="652" customFormat="1" ht="13.35" customHeight="1">
      <c r="A976" s="652" t="s">
        <v>2217</v>
      </c>
      <c r="B976" s="3035">
        <f>'Part VI-Pro Forma'!B81</f>
        <v>-81343.448237504956</v>
      </c>
      <c r="C976" s="3035">
        <f>'Part VI-Pro Forma'!C81</f>
        <v>-82970.317202255057</v>
      </c>
      <c r="D976" s="3035">
        <f>'Part VI-Pro Forma'!D81</f>
        <v>-84629.723546300156</v>
      </c>
      <c r="E976" s="3035">
        <f>'Part VI-Pro Forma'!E81</f>
        <v>-86322.318017226149</v>
      </c>
      <c r="F976" s="3035">
        <f>'Part VI-Pro Forma'!F81</f>
        <v>-88048.764377570682</v>
      </c>
      <c r="G976" s="3035">
        <f>'Part VI-Pro Forma'!G81</f>
        <v>-89809.739665122092</v>
      </c>
      <c r="H976" s="3035">
        <f>'Part VI-Pro Forma'!H81</f>
        <v>-91605.934458424555</v>
      </c>
      <c r="I976" s="3035">
        <f>'Part VI-Pro Forma'!I81</f>
        <v>-93438.053147593033</v>
      </c>
      <c r="J976" s="3035">
        <f>'Part VI-Pro Forma'!J81</f>
        <v>-95306.814210544908</v>
      </c>
      <c r="K976" s="3035">
        <f>'Part VI-Pro Forma'!K81</f>
        <v>-97212.950494755802</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1080705.81229828</v>
      </c>
      <c r="C979" s="3035">
        <f t="shared" ref="C979" si="416">SUM(C974:C978)</f>
        <v>1102319.9285442457</v>
      </c>
      <c r="D979" s="3035">
        <f t="shared" ref="D979" si="417">SUM(D974:D978)</f>
        <v>1124366.3271151306</v>
      </c>
      <c r="E979" s="3035">
        <f t="shared" ref="E979" si="418">SUM(E974:E978)</f>
        <v>1146853.6536574329</v>
      </c>
      <c r="F979" s="3035">
        <f t="shared" ref="F979" si="419">SUM(F974:F978)</f>
        <v>1169790.7267305818</v>
      </c>
      <c r="G979" s="3035">
        <f t="shared" ref="G979" si="420">SUM(G974:G978)</f>
        <v>1193186.5412651934</v>
      </c>
      <c r="H979" s="3035">
        <f t="shared" ref="H979" si="421">SUM(H974:H978)</f>
        <v>1217050.2720904974</v>
      </c>
      <c r="I979" s="3035">
        <f t="shared" ref="I979" si="422">SUM(I974:I978)</f>
        <v>1241391.2775323072</v>
      </c>
      <c r="J979" s="3035">
        <f t="shared" ref="J979" si="423">SUM(J974:J978)</f>
        <v>1266219.1030829537</v>
      </c>
      <c r="K979" s="3035">
        <f t="shared" ref="K979" si="424">SUM(K974:K978)</f>
        <v>1291543.4851446126</v>
      </c>
      <c r="N979" s="2846"/>
      <c r="O979" s="2846"/>
      <c r="Z979" s="2751" t="s">
        <v>6470</v>
      </c>
      <c r="AA979" s="2671">
        <v>84</v>
      </c>
    </row>
    <row r="980" spans="1:27" s="652" customFormat="1" ht="13.35" customHeight="1">
      <c r="A980" s="652" t="s">
        <v>572</v>
      </c>
      <c r="B980" s="3035">
        <f>'Part VI-Pro Forma'!B85</f>
        <v>-532026.18639656901</v>
      </c>
      <c r="C980" s="3035">
        <f>'Part VI-Pro Forma'!C85</f>
        <v>-547986.9719884661</v>
      </c>
      <c r="D980" s="3035">
        <f>'Part VI-Pro Forma'!D85</f>
        <v>-564426.58114812011</v>
      </c>
      <c r="E980" s="3035">
        <f>'Part VI-Pro Forma'!E85</f>
        <v>-581359.37858256372</v>
      </c>
      <c r="F980" s="3035">
        <f>'Part VI-Pro Forma'!F85</f>
        <v>-598800.15994004055</v>
      </c>
      <c r="G980" s="3035">
        <f>'Part VI-Pro Forma'!G85</f>
        <v>-616764.16473824182</v>
      </c>
      <c r="H980" s="3035">
        <f>'Part VI-Pro Forma'!H85</f>
        <v>-635267.08968038915</v>
      </c>
      <c r="I980" s="3035">
        <f>'Part VI-Pro Forma'!I85</f>
        <v>-654325.10237080068</v>
      </c>
      <c r="J980" s="3035">
        <f>'Part VI-Pro Forma'!J85</f>
        <v>-673954.85544192477</v>
      </c>
      <c r="K980" s="3035">
        <f>'Part VI-Pro Forma'!K85</f>
        <v>-694173.50110518245</v>
      </c>
      <c r="N980" s="2846"/>
      <c r="O980" s="2846"/>
      <c r="Z980" s="2751" t="s">
        <v>6470</v>
      </c>
      <c r="AA980" s="2671">
        <v>85</v>
      </c>
    </row>
    <row r="981" spans="1:27" s="652" customFormat="1" ht="13.35" customHeight="1">
      <c r="A981" s="652" t="s">
        <v>1051</v>
      </c>
      <c r="B981" s="3035">
        <f>'Part VI-Pro Forma'!B86</f>
        <v>-54035</v>
      </c>
      <c r="C981" s="3035">
        <f>'Part VI-Pro Forma'!C86</f>
        <v>-55116</v>
      </c>
      <c r="D981" s="3035">
        <f>'Part VI-Pro Forma'!D86</f>
        <v>-56218</v>
      </c>
      <c r="E981" s="3035">
        <f>'Part VI-Pro Forma'!E86</f>
        <v>-57343</v>
      </c>
      <c r="F981" s="3035">
        <f>'Part VI-Pro Forma'!F86</f>
        <v>-58490</v>
      </c>
      <c r="G981" s="3035">
        <f>'Part VI-Pro Forma'!G86</f>
        <v>-59659</v>
      </c>
      <c r="H981" s="3035">
        <f>'Part VI-Pro Forma'!H86</f>
        <v>-60853</v>
      </c>
      <c r="I981" s="3035">
        <f>'Part VI-Pro Forma'!I86</f>
        <v>-62070</v>
      </c>
      <c r="J981" s="3035">
        <f>'Part VI-Pro Forma'!J86</f>
        <v>-63311</v>
      </c>
      <c r="K981" s="3035">
        <f>'Part VI-Pro Forma'!K86</f>
        <v>-64577</v>
      </c>
      <c r="N981" s="2846"/>
      <c r="O981" s="2846"/>
      <c r="Z981" s="2751" t="s">
        <v>6470</v>
      </c>
      <c r="AA981" s="2671">
        <v>86</v>
      </c>
    </row>
    <row r="982" spans="1:27" s="652" customFormat="1" ht="13.35" customHeight="1">
      <c r="A982" s="652" t="s">
        <v>1129</v>
      </c>
      <c r="B982" s="3035">
        <f>'Part VI-Pro Forma'!B87</f>
        <v>-28897.779754710613</v>
      </c>
      <c r="C982" s="3035">
        <f>'Part VI-Pro Forma'!C87</f>
        <v>-29764.713147351926</v>
      </c>
      <c r="D982" s="3035">
        <f>'Part VI-Pro Forma'!D87</f>
        <v>-30657.654541772488</v>
      </c>
      <c r="E982" s="3035">
        <f>'Part VI-Pro Forma'!E87</f>
        <v>-31577.384178025663</v>
      </c>
      <c r="F982" s="3035">
        <f>'Part VI-Pro Forma'!F87</f>
        <v>-32524.705703366428</v>
      </c>
      <c r="G982" s="3035">
        <f>'Part VI-Pro Forma'!G87</f>
        <v>-33500.446874467423</v>
      </c>
      <c r="H982" s="3035">
        <f>'Part VI-Pro Forma'!H87</f>
        <v>-34505.460280701453</v>
      </c>
      <c r="I982" s="3035">
        <f>'Part VI-Pro Forma'!I87</f>
        <v>-35540.624089122488</v>
      </c>
      <c r="J982" s="3035">
        <f>'Part VI-Pro Forma'!J87</f>
        <v>-36606.842811796167</v>
      </c>
      <c r="K982" s="3035">
        <f>'Part VI-Pro Forma'!K87</f>
        <v>-37705.048096150043</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465746.84614700032</v>
      </c>
      <c r="C984" s="3035">
        <f t="shared" ref="C984" si="425">SUM(C979:C983)</f>
        <v>469452.24340842763</v>
      </c>
      <c r="D984" s="3035">
        <f t="shared" ref="D984" si="426">SUM(D979:D983)</f>
        <v>473064.091425238</v>
      </c>
      <c r="E984" s="3035">
        <f t="shared" ref="E984" si="427">SUM(E979:E983)</f>
        <v>476573.89089684351</v>
      </c>
      <c r="F984" s="3035">
        <f t="shared" ref="F984" si="428">SUM(F979:F983)</f>
        <v>479975.86108717485</v>
      </c>
      <c r="G984" s="3035">
        <f t="shared" ref="G984" si="429">SUM(G979:G983)</f>
        <v>483262.92965248413</v>
      </c>
      <c r="H984" s="3035">
        <f t="shared" ref="H984" si="430">SUM(H979:H983)</f>
        <v>486424.72212940681</v>
      </c>
      <c r="I984" s="3035">
        <f t="shared" ref="I984" si="431">SUM(I979:I983)</f>
        <v>489455.551072384</v>
      </c>
      <c r="J984" s="3035">
        <f t="shared" ref="J984" si="432">SUM(J979:J983)</f>
        <v>492346.40482923278</v>
      </c>
      <c r="K984" s="3035">
        <f t="shared" ref="K984" si="433">SUM(K979:K983)</f>
        <v>495087.93594328011</v>
      </c>
      <c r="N984" s="2846"/>
      <c r="O984" s="2846"/>
      <c r="Z984" s="2751" t="s">
        <v>6470</v>
      </c>
      <c r="AA984" s="2671">
        <v>89</v>
      </c>
    </row>
    <row r="985" spans="1:27" s="652" customFormat="1" ht="13.35" customHeight="1">
      <c r="A985" s="652" t="str">
        <f>$A953</f>
        <v>Mortgage A</v>
      </c>
      <c r="B985" s="3036">
        <f>'Part VI-Pro Forma'!B90</f>
        <v>-317282.13791083649</v>
      </c>
      <c r="C985" s="3036">
        <f>'Part VI-Pro Forma'!C90</f>
        <v>-317282.13791083649</v>
      </c>
      <c r="D985" s="3036">
        <f>'Part VI-Pro Forma'!D90</f>
        <v>-317282.13791083649</v>
      </c>
      <c r="E985" s="3036">
        <f>'Part VI-Pro Forma'!E90</f>
        <v>-317282.13791083649</v>
      </c>
      <c r="F985" s="3036">
        <f>'Part VI-Pro Forma'!F90</f>
        <v>-317282.13791083649</v>
      </c>
      <c r="G985" s="3036">
        <f>'Part VI-Pro Forma'!G90</f>
        <v>-317282.13791083649</v>
      </c>
      <c r="H985" s="3036">
        <f>'Part VI-Pro Forma'!H90</f>
        <v>-317282.13791083649</v>
      </c>
      <c r="I985" s="3036">
        <f>'Part VI-Pro Forma'!I90</f>
        <v>-317282.13791083649</v>
      </c>
      <c r="J985" s="3036">
        <f>'Part VI-Pro Forma'!J90</f>
        <v>-317282.13791083649</v>
      </c>
      <c r="K985" s="3036">
        <f>'Part VI-Pro Forma'!K90</f>
        <v>-317282.13791083649</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6470</v>
      </c>
      <c r="AA990" s="2671">
        <v>95</v>
      </c>
    </row>
    <row r="991" spans="1:27" s="652" customFormat="1" ht="13.35" customHeight="1">
      <c r="A991" s="652" t="s">
        <v>1097</v>
      </c>
      <c r="B991" s="3035">
        <f t="shared" ref="B991:K991" si="434">SUM(B984:B990)</f>
        <v>143464.70823616383</v>
      </c>
      <c r="C991" s="3035">
        <f t="shared" si="434"/>
        <v>147170.10549759114</v>
      </c>
      <c r="D991" s="3035">
        <f t="shared" si="434"/>
        <v>150781.95351440151</v>
      </c>
      <c r="E991" s="3035">
        <f t="shared" si="434"/>
        <v>154291.75298600702</v>
      </c>
      <c r="F991" s="3035">
        <f t="shared" si="434"/>
        <v>157693.72317633836</v>
      </c>
      <c r="G991" s="3035">
        <f t="shared" si="434"/>
        <v>160980.79174164764</v>
      </c>
      <c r="H991" s="3035">
        <f t="shared" si="434"/>
        <v>164142.58421857032</v>
      </c>
      <c r="I991" s="3035">
        <f t="shared" si="434"/>
        <v>167173.41316154751</v>
      </c>
      <c r="J991" s="3035">
        <f t="shared" si="434"/>
        <v>170064.26691839629</v>
      </c>
      <c r="K991" s="3035">
        <f t="shared" si="434"/>
        <v>172805.79803244362</v>
      </c>
      <c r="N991" s="2846"/>
      <c r="O991" s="2846"/>
      <c r="Z991" s="2751" t="s">
        <v>6470</v>
      </c>
      <c r="AA991" s="2857">
        <v>96</v>
      </c>
    </row>
    <row r="992" spans="1:27" s="652" customFormat="1" ht="13.35" customHeight="1">
      <c r="A992" s="652" t="str">
        <f>$A961</f>
        <v>DCR Mortgage A</v>
      </c>
      <c r="B992" s="3037">
        <f t="shared" ref="B992:K992" si="435">IF(B985=0,"",-B984/B985)</f>
        <v>1.467926461961391</v>
      </c>
      <c r="C992" s="3037">
        <f t="shared" si="435"/>
        <v>1.4796050181064855</v>
      </c>
      <c r="D992" s="3037">
        <f t="shared" si="435"/>
        <v>1.4909887286443455</v>
      </c>
      <c r="E992" s="3037">
        <f t="shared" si="435"/>
        <v>1.5020508057430313</v>
      </c>
      <c r="F992" s="3037">
        <f t="shared" si="435"/>
        <v>1.5127730298579209</v>
      </c>
      <c r="G992" s="3037">
        <f t="shared" si="435"/>
        <v>1.523133110595378</v>
      </c>
      <c r="H992" s="3037">
        <f t="shared" si="435"/>
        <v>1.533098350043592</v>
      </c>
      <c r="I992" s="3037">
        <f t="shared" si="435"/>
        <v>1.5426508226880775</v>
      </c>
      <c r="J992" s="3037">
        <f t="shared" si="435"/>
        <v>1.5517621258830314</v>
      </c>
      <c r="K992" s="3037">
        <f t="shared" si="435"/>
        <v>1.5604027986044746</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1.467926461961391</v>
      </c>
      <c r="C996" s="3037">
        <f t="shared" si="439"/>
        <v>1.4796050181064855</v>
      </c>
      <c r="D996" s="3037">
        <f t="shared" si="439"/>
        <v>1.4909887286443455</v>
      </c>
      <c r="E996" s="3037">
        <f t="shared" si="439"/>
        <v>1.5020508057430313</v>
      </c>
      <c r="F996" s="3037">
        <f t="shared" si="439"/>
        <v>1.5127730298579209</v>
      </c>
      <c r="G996" s="3037">
        <f t="shared" si="439"/>
        <v>1.523133110595378</v>
      </c>
      <c r="H996" s="3037">
        <f t="shared" si="439"/>
        <v>1.533098350043592</v>
      </c>
      <c r="I996" s="3037">
        <f t="shared" si="439"/>
        <v>1.5426508226880775</v>
      </c>
      <c r="J996" s="3037">
        <f t="shared" si="439"/>
        <v>1.5517621258830314</v>
      </c>
      <c r="K996" s="3037">
        <f t="shared" si="439"/>
        <v>1.5604027986044746</v>
      </c>
      <c r="N996" s="2846"/>
      <c r="O996" s="2846"/>
      <c r="Z996" s="2751" t="s">
        <v>6470</v>
      </c>
      <c r="AA996" s="2671">
        <v>101</v>
      </c>
    </row>
    <row r="997" spans="1:27" s="652" customFormat="1" ht="13.35" customHeight="1">
      <c r="A997" s="652" t="s">
        <v>718</v>
      </c>
      <c r="B997" s="3038">
        <f>IF(OR(B981="Choose mgt fee",B981="Choose One!"),"",(B974+B975+B976+B977+B978) / -(B980+B981+B982))</f>
        <v>1.757362477470451</v>
      </c>
      <c r="C997" s="3038">
        <f t="shared" ref="C997:K997" si="440">IF(OR(C981="Choose mgt fee",C981="Choose One!"),"",(C974+C975+C976+C977+C978) / -(C980+C981+C982))</f>
        <v>1.7417857704453334</v>
      </c>
      <c r="D997" s="3038">
        <f t="shared" si="440"/>
        <v>1.7263357401562494</v>
      </c>
      <c r="E997" s="3038">
        <f t="shared" si="440"/>
        <v>1.7110074290980291</v>
      </c>
      <c r="F997" s="3038">
        <f t="shared" si="440"/>
        <v>1.6958038815813135</v>
      </c>
      <c r="G997" s="3038">
        <f t="shared" si="440"/>
        <v>1.6807252523333773</v>
      </c>
      <c r="H997" s="3038">
        <f t="shared" si="440"/>
        <v>1.6657647301758218</v>
      </c>
      <c r="I997" s="3038">
        <f t="shared" si="440"/>
        <v>1.6509273782969682</v>
      </c>
      <c r="J997" s="3038">
        <f t="shared" si="440"/>
        <v>1.6362111054443902</v>
      </c>
      <c r="K997" s="3038">
        <f t="shared" si="440"/>
        <v>1.621614020317572</v>
      </c>
      <c r="N997" s="2846"/>
      <c r="O997" s="2846"/>
      <c r="Z997" s="2751" t="s">
        <v>6470</v>
      </c>
      <c r="AA997" s="2671">
        <v>102</v>
      </c>
    </row>
    <row r="998" spans="1:27" s="652" customFormat="1" ht="13.35" customHeight="1">
      <c r="A998" s="652" t="s">
        <v>2406</v>
      </c>
      <c r="B998" s="3036">
        <f>'Part VI-Pro Forma'!B103</f>
        <v>2202292.9822833082</v>
      </c>
      <c r="C998" s="3036">
        <f>'Part VI-Pro Forma'!C103</f>
        <v>2011971.1276812456</v>
      </c>
      <c r="D998" s="3036">
        <f>'Part VI-Pro Forma'!D103</f>
        <v>1809910.6375373346</v>
      </c>
      <c r="E998" s="3036">
        <f>'Part VI-Pro Forma'!E103</f>
        <v>1595387.4984970794</v>
      </c>
      <c r="F998" s="3036">
        <f>'Part VI-Pro Forma'!F103</f>
        <v>1367633.0416465178</v>
      </c>
      <c r="G998" s="3036">
        <f>'Part VI-Pro Forma'!G103</f>
        <v>1125831.1882550265</v>
      </c>
      <c r="H998" s="3036">
        <f>'Part VI-Pro Forma'!H103</f>
        <v>869115.52564156777</v>
      </c>
      <c r="I998" s="3036">
        <f>'Part VI-Pro Forma'!I103</f>
        <v>596566.2026867664</v>
      </c>
      <c r="J998" s="3036">
        <f>'Part VI-Pro Forma'!J103</f>
        <v>307206.63386696263</v>
      </c>
      <c r="K998" s="3036">
        <f>'Part VI-Pro Forma'!K103</f>
        <v>2.9883813112974167E-7</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1388756.4356393684</v>
      </c>
      <c r="C1004" s="3035">
        <f>'Part VI-Pro Forma'!C109</f>
        <v>1416531.5643521554</v>
      </c>
      <c r="D1004" s="3035">
        <f>'Part VI-Pro Forma'!D109</f>
        <v>1444862.1956391986</v>
      </c>
      <c r="E1004" s="3035">
        <f>'Part VI-Pro Forma'!E109</f>
        <v>1473759.4395519828</v>
      </c>
      <c r="F1004" s="3035">
        <f>'Part VI-Pro Forma'!F109</f>
        <v>1503234.6283430222</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27775.128712787366</v>
      </c>
      <c r="C1005" s="3035">
        <f>'Part VI-Pro Forma'!C110</f>
        <v>28330.631287043107</v>
      </c>
      <c r="D1005" s="3035">
        <f>'Part VI-Pro Forma'!D110</f>
        <v>28897.243912783975</v>
      </c>
      <c r="E1005" s="3035">
        <f>'Part VI-Pro Forma'!E110</f>
        <v>29475.188791039654</v>
      </c>
      <c r="F1005" s="3035">
        <f>'Part VI-Pro Forma'!F110</f>
        <v>30064.692566860445</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-99157.209504650906</v>
      </c>
      <c r="C1006" s="3035">
        <f>'Part VI-Pro Forma'!C111</f>
        <v>-101140.35369474391</v>
      </c>
      <c r="D1006" s="3035">
        <f>'Part VI-Pro Forma'!D111</f>
        <v>-103163.16076863879</v>
      </c>
      <c r="E1006" s="3035">
        <f>'Part VI-Pro Forma'!E111</f>
        <v>-105226.42398401158</v>
      </c>
      <c r="F1006" s="3035">
        <f>'Part VI-Pro Forma'!F111</f>
        <v>-107330.95246369179</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1317374.3548475048</v>
      </c>
      <c r="C1009" s="3035">
        <f t="shared" ref="C1009" si="441">SUM(C1004:C1008)</f>
        <v>1343721.8419444547</v>
      </c>
      <c r="D1009" s="3035">
        <f t="shared" ref="D1009" si="442">SUM(D1004:D1008)</f>
        <v>1370596.2787833437</v>
      </c>
      <c r="E1009" s="3035">
        <f t="shared" ref="E1009" si="443">SUM(E1004:E1008)</f>
        <v>1398008.2043590108</v>
      </c>
      <c r="F1009" s="3035">
        <f t="shared" ref="F1009" si="444">SUM(F1004:F1008)</f>
        <v>1425968.3684461908</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-714998.70613833785</v>
      </c>
      <c r="C1010" s="3035">
        <f>'Part VI-Pro Forma'!C115</f>
        <v>-736448.66732248815</v>
      </c>
      <c r="D1010" s="3035">
        <f>'Part VI-Pro Forma'!D115</f>
        <v>-758542.12734216265</v>
      </c>
      <c r="E1010" s="3035">
        <f>'Part VI-Pro Forma'!E115</f>
        <v>-781298.39116242749</v>
      </c>
      <c r="F1010" s="3035">
        <f>'Part VI-Pro Forma'!F115</f>
        <v>-804737.34289730026</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-65869</v>
      </c>
      <c r="C1011" s="3035">
        <f>'Part VI-Pro Forma'!C116</f>
        <v>-67186</v>
      </c>
      <c r="D1011" s="3035">
        <f>'Part VI-Pro Forma'!D116</f>
        <v>-68530</v>
      </c>
      <c r="E1011" s="3035">
        <f>'Part VI-Pro Forma'!E116</f>
        <v>-69900</v>
      </c>
      <c r="F1011" s="3035">
        <f>'Part VI-Pro Forma'!F116</f>
        <v>-71298</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-38836.199539034547</v>
      </c>
      <c r="C1012" s="3035">
        <f>'Part VI-Pro Forma'!C117</f>
        <v>-40001.285525205589</v>
      </c>
      <c r="D1012" s="3035">
        <f>'Part VI-Pro Forma'!D117</f>
        <v>-41201.324090961745</v>
      </c>
      <c r="E1012" s="3035">
        <f>'Part VI-Pro Forma'!E117</f>
        <v>-42437.363813690601</v>
      </c>
      <c r="F1012" s="3035">
        <f>'Part VI-Pro Forma'!F117</f>
        <v>-43710.484728101314</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497670.44917013234</v>
      </c>
      <c r="C1014" s="3035">
        <f t="shared" ref="C1014" si="445">SUM(C1009:C1013)</f>
        <v>500085.88909676095</v>
      </c>
      <c r="D1014" s="3035">
        <f t="shared" ref="D1014" si="446">SUM(D1009:D1013)</f>
        <v>502322.82735021936</v>
      </c>
      <c r="E1014" s="3035">
        <f t="shared" ref="E1014" si="447">SUM(E1009:E1013)</f>
        <v>504372.44938289269</v>
      </c>
      <c r="F1014" s="3035">
        <f t="shared" ref="F1014" si="448">SUM(F1009:F1013)</f>
        <v>506222.54082078929</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-317282.13791083649</v>
      </c>
      <c r="C1015" s="3036">
        <f>'Part VI-Pro Forma'!C120</f>
        <v>-317282.13791083649</v>
      </c>
      <c r="D1015" s="3036">
        <f>'Part VI-Pro Forma'!D120</f>
        <v>-317282.13791083649</v>
      </c>
      <c r="E1015" s="3036">
        <f>'Part VI-Pro Forma'!E120</f>
        <v>-317282.13791083649</v>
      </c>
      <c r="F1015" s="3036">
        <f>'Part VI-Pro Forma'!F120</f>
        <v>-317282.13791083649</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175388.31125929585</v>
      </c>
      <c r="C1021" s="3035">
        <f t="shared" si="449"/>
        <v>177803.75118592446</v>
      </c>
      <c r="D1021" s="3035">
        <f t="shared" si="449"/>
        <v>180040.68943938287</v>
      </c>
      <c r="E1021" s="3035">
        <f t="shared" si="449"/>
        <v>182090.3114720562</v>
      </c>
      <c r="F1021" s="3035">
        <f t="shared" si="449"/>
        <v>183940.4029099528</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1.568542283681879</v>
      </c>
      <c r="C1022" s="3037">
        <f t="shared" si="450"/>
        <v>1.5761551923143449</v>
      </c>
      <c r="D1022" s="3037">
        <f t="shared" si="450"/>
        <v>1.5832055049105334</v>
      </c>
      <c r="E1022" s="3037">
        <f t="shared" si="450"/>
        <v>1.5896654400527042</v>
      </c>
      <c r="F1022" s="3037">
        <f t="shared" si="450"/>
        <v>1.5954965008558073</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f t="shared" ref="B1026:F1026" si="454">IF(AND(B1015=0,B1016=0,B1017=0,B1018=0),"",-B1014/(B1015+B1016+B1017+B1018))</f>
        <v>1.568542283681879</v>
      </c>
      <c r="C1026" s="3037">
        <f t="shared" si="454"/>
        <v>1.5761551923143449</v>
      </c>
      <c r="D1026" s="3037">
        <f t="shared" si="454"/>
        <v>1.5832055049105334</v>
      </c>
      <c r="E1026" s="3037">
        <f t="shared" si="454"/>
        <v>1.5896654400527042</v>
      </c>
      <c r="F1026" s="3037">
        <f t="shared" si="454"/>
        <v>1.5954965008558073</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1.6071344124667508</v>
      </c>
      <c r="C1027" s="3038">
        <f t="shared" ref="C1027:F1027" si="455">IF(OR(C1011="Choose mgt fee",C1011="Choose One!"),"",(C1004+C1005+C1006+C1007+C1008) / -(C1010+C1011+C1012))</f>
        <v>1.59277451062715</v>
      </c>
      <c r="D1027" s="3038">
        <f t="shared" si="455"/>
        <v>1.5785306766216483</v>
      </c>
      <c r="E1027" s="3038">
        <f t="shared" si="455"/>
        <v>1.5644049564650329</v>
      </c>
      <c r="F1027" s="3038">
        <f t="shared" si="455"/>
        <v>1.5503939519114254</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-326154.46683351864</v>
      </c>
      <c r="C1028" s="3036">
        <f>'Part VI-Pro Forma'!C133</f>
        <v>-672425.42751147784</v>
      </c>
      <c r="D1028" s="3036">
        <f>'Part VI-Pro Forma'!D133</f>
        <v>-1040053.6233562711</v>
      </c>
      <c r="E1028" s="3036">
        <f>'Part VI-Pro Forma'!E133</f>
        <v>-1430356.3219004641</v>
      </c>
      <c r="F1028" s="3036">
        <f>'Part VI-Pro Forma'!F133</f>
        <v>-1844732.0368556718</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f>'Part VI-Pro Forma'!A140</f>
        <v>0</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Arbours at Town Branch,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6642</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146.25">
      <c r="A1068" s="3049" t="str">
        <f>'Part VII-Threshold Criteria'!A30</f>
        <v xml:space="preserve">The Arbours at Town Branch project is financially sustainable based  on the requirments stated in the 2022 QAP.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6649</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 xml:space="preserve">The proposed project is a rental apartment community with Senior tenancy. </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4</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identify the needs of the community and provide the required services for seniors.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Rural</v>
      </c>
      <c r="J1094" s="2802" t="s">
        <v>6643</v>
      </c>
      <c r="K1094" s="2692" t="str">
        <f>'Part VIII Scoring Criteria'!$M$59</f>
        <v>Rural</v>
      </c>
      <c r="L1094" s="2802" t="s">
        <v>3825</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Value Tech Realty Services, Inc.</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4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0.93</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0.23</v>
      </c>
      <c r="L1099" s="3073"/>
      <c r="N1099" s="3074"/>
      <c r="O1099" s="3075" t="s">
        <v>3392</v>
      </c>
      <c r="P1099" s="3072">
        <f>'Part VII-Threshold Criteria'!P61</f>
        <v>0</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2010-066</v>
      </c>
      <c r="E1102" s="2913" t="str">
        <f>'Part VII-Threshold Criteria'!E64</f>
        <v>Conner Senior</v>
      </c>
      <c r="F1102" s="2913"/>
      <c r="G1102" s="2913"/>
      <c r="H1102" s="3064" t="s">
        <v>2183</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2012-012</v>
      </c>
      <c r="E1103" s="2913" t="str">
        <f>'Part VII-Threshold Criteria'!E65</f>
        <v>Conner Senior Village Ph II</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2019-025</v>
      </c>
      <c r="E1104" s="2913" t="str">
        <f>'Part VII-Threshold Criteria'!E66</f>
        <v>Legacy Walton Trail</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258.75">
      <c r="A1109" s="3049" t="str">
        <f>'Part VII-Threshold Criteria'!A71</f>
        <v xml:space="preserve">The market in Villa Rica is ideal for for an HFOP project with the increase in the aging population within Carroll County. The proposed project meets all market feasiblity factors as specified in the 2022 QAP.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Value Tech Realty Services, Inc.</v>
      </c>
      <c r="N1115" s="2913"/>
      <c r="O1115" s="2913"/>
      <c r="P1115" s="2757"/>
      <c r="Q1115" s="2976"/>
    </row>
    <row r="1116" spans="1:31" s="2550" customFormat="1" ht="12.75" customHeight="1">
      <c r="B1116" s="2923" t="s">
        <v>1616</v>
      </c>
      <c r="C1116" s="474" t="s">
        <v>3840</v>
      </c>
      <c r="O1116" s="3064" t="s">
        <v>1616</v>
      </c>
      <c r="P1116" s="3066" t="str">
        <f>'Part VII-Threshold Criteria'!P78</f>
        <v>Yes</v>
      </c>
      <c r="Q1116" s="2976"/>
    </row>
    <row r="1117" spans="1:31" s="2550" customFormat="1" ht="12.75" customHeight="1">
      <c r="B1117" s="3061" t="s">
        <v>1617</v>
      </c>
      <c r="C1117" s="474" t="s">
        <v>4058</v>
      </c>
      <c r="O1117" s="3058" t="s">
        <v>1617</v>
      </c>
      <c r="P1117" s="3076">
        <f>'Part VII-Threshold Criteria'!P79</f>
        <v>44697</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Yes</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Yes</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t="str">
        <f>'Part VII-Threshold Criteria'!P86</f>
        <v>Yes</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01.25">
      <c r="A1127" s="3049" t="str">
        <f>'Part VII-Threshold Criteria'!A89</f>
        <v xml:space="preserve">The project meets all of DCA's appraisal requirments as specified in the 2022 QAP.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Geotechnical and Environmental Consultants, Inc</v>
      </c>
      <c r="M1132" s="3000"/>
      <c r="N1132" s="3000"/>
      <c r="O1132" s="3000"/>
      <c r="P1132" s="3000"/>
      <c r="Q1132" s="2976"/>
    </row>
    <row r="1133" spans="1:31" s="652" customFormat="1" ht="12" customHeight="1">
      <c r="B1133" s="1024" t="s">
        <v>6633</v>
      </c>
      <c r="O1133" s="3064" t="s">
        <v>1616</v>
      </c>
      <c r="P1133" s="3066" t="str">
        <f>'Part VII-Threshold Criteria'!P95</f>
        <v>No</v>
      </c>
      <c r="Q1133" s="2976"/>
    </row>
    <row r="1134" spans="1:31" s="652" customFormat="1" ht="12" customHeight="1">
      <c r="B1134" s="1024" t="s">
        <v>6528</v>
      </c>
      <c r="I1134" s="1024" t="s">
        <v>6530</v>
      </c>
      <c r="K1134" s="3076">
        <f>'Part VII-Threshold Criteria'!K96</f>
        <v>44686</v>
      </c>
      <c r="L1134" s="3077"/>
      <c r="N1134" s="1024" t="s">
        <v>6529</v>
      </c>
      <c r="P1134" s="3076">
        <f>'Part VII-Threshold Criteria'!P96</f>
        <v>44713</v>
      </c>
      <c r="Q1134" s="3077"/>
    </row>
    <row r="1135" spans="1:31" s="652" customFormat="1" ht="12" customHeight="1">
      <c r="A1135" s="3064" t="s">
        <v>1844</v>
      </c>
      <c r="B1135" s="474" t="s">
        <v>6640</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Geotechincal and Enviromental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59</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6626</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6627</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6628</v>
      </c>
      <c r="E1143" s="3079" t="s">
        <v>2241</v>
      </c>
      <c r="F1143" s="2971" t="s">
        <v>6629</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6630</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6628</v>
      </c>
      <c r="E1146" s="3079" t="s">
        <v>2241</v>
      </c>
      <c r="F1146" s="2971" t="s">
        <v>6631</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6632</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No</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6634</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67.5">
      <c r="A1163" s="3049" t="str">
        <f>'Part VII-Threshold Criteria'!A125</f>
        <v xml:space="preserve">No HOME funds are being used for the proposed project.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6806</v>
      </c>
      <c r="D1169" s="474"/>
      <c r="E1169" s="474"/>
      <c r="F1169" s="474"/>
      <c r="G1169" s="474"/>
      <c r="K1169" s="474" t="s">
        <v>2461</v>
      </c>
      <c r="M1169" s="3086">
        <f>'Part VII-Threshold Criteria'!M131</f>
        <v>45046</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Arbours at Town Branch, LLC</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 xml:space="preserve">The contract includes options to extend site control until April 30, 2023.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This site has adequate frontage for access off Anderson Road.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6540</v>
      </c>
      <c r="O1189" s="3047" t="s">
        <v>1731</v>
      </c>
      <c r="P1189" s="2135"/>
      <c r="Q1189" s="2135"/>
      <c r="R1189" s="2833" t="s">
        <v>6527</v>
      </c>
    </row>
    <row r="1190" spans="1:44" s="652" customFormat="1" ht="11.45" customHeight="1">
      <c r="B1190" s="1024" t="s">
        <v>6664</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 xml:space="preserve">The site plan has been developed in accordance with the requirments of zoning. The site zoning allows for multifamily.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6664</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The property will be all electric with electricity provided by Georgia Power. An availablity of service letter is included under tab 11.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6664</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Villa Rica</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Villa Rica</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Yes</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The City of Villa Rica has sufficient public water &amp; sewer capacity to serve the development.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3154</v>
      </c>
      <c r="O1235" s="3092">
        <f>'Part V-Revenues &amp; Expenses'!$P$67</f>
        <v>64</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6866</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Covered pavilion with picnic/BBQ facilities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Equipped Computer Center and WiFi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f>'Part VII-Threshold Criteria'!C201</f>
        <v>0</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f>'Part VII-Threshold Criteria'!C202</f>
        <v>0</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All amenities, including those requirded for an HFOP, will be provided as outlined by the DCA amenitites Guidebook.  Mangement is aware of all services and amenites offered at this project.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6746</v>
      </c>
      <c r="L1255" s="3069" t="str">
        <f>'Part I-Project Identification'!$P$29</f>
        <v>Yes</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 xml:space="preserve">Not Applicable. </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 xml:space="preserve">Not Applicable - New Construction </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The Conceptual Site Plan has been provided in accordance with DCA required amenities. To the best of our knowledge we have listed everything required by DCA.     Satellite map images  have been included with site bounaries.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326.25">
      <c r="A1315" s="3049" t="str">
        <f>'Part VII-Threshold Criteria'!A277</f>
        <v xml:space="preserve">This project will be built according the all required standards outlined in the QAP and Architectual manual. The development team will ensure the the property is built to DCA's energy standards as well as those required by an EarthCraft Multi-family community.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6665</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6666</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3248</v>
      </c>
      <c r="J1336" s="3046"/>
      <c r="K1336" s="3046"/>
      <c r="L1336" s="3060" t="str">
        <f>'Part VII-Threshold Criteria'!L298</f>
        <v>Terracon</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6667</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47.5">
      <c r="A1342" s="3049" t="str">
        <f>'Part VII-Threshold Criteria'!A304</f>
        <v xml:space="preserve">This project will meet all acessaqbility requirments as outlined by DCA and the current Architectual and Acessability manuals. A DCA approved acessability consultant will be retained by the applicant.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6678</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6677</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 xml:space="preserve">This project will be in compliance with all DCA architectual requirments in order to build a project that will be financially stable. The highest construction quality materials will be used as permitted by the budget.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6541</v>
      </c>
      <c r="C1364" s="2906"/>
      <c r="D1364" s="3052"/>
      <c r="E1364" s="3052"/>
      <c r="F1364" s="3052"/>
      <c r="G1364" s="3052"/>
      <c r="H1364" s="3052"/>
      <c r="N1364" s="2833" t="s">
        <v>6540</v>
      </c>
      <c r="O1364" s="3047" t="s">
        <v>1731</v>
      </c>
      <c r="P1364" s="2135"/>
      <c r="Q1364" s="2135"/>
      <c r="R1364" s="2833" t="s">
        <v>6527</v>
      </c>
    </row>
    <row r="1365" spans="1:44" s="652" customFormat="1" ht="11.45" customHeight="1">
      <c r="A1365" s="3064" t="s">
        <v>1842</v>
      </c>
      <c r="B1365" s="1024" t="s">
        <v>6536</v>
      </c>
      <c r="O1365" s="3058" t="s">
        <v>1842</v>
      </c>
      <c r="P1365" s="3066" t="str">
        <f>'Part VII-Threshold Criteria'!P327</f>
        <v>Yes</v>
      </c>
      <c r="Q1365" s="2976"/>
    </row>
    <row r="1366" spans="1:44" s="652" customFormat="1" ht="11.45" customHeight="1">
      <c r="A1366" s="3058" t="s">
        <v>1844</v>
      </c>
      <c r="B1366" s="1024" t="s">
        <v>6543</v>
      </c>
      <c r="O1366" s="3058" t="s">
        <v>1844</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1963</v>
      </c>
      <c r="B1368" s="1024" t="s">
        <v>6545</v>
      </c>
      <c r="O1368" s="3064" t="s">
        <v>1963</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 xml:space="preserve">The deveopment received its qualification letter from DCA on 4/22/22. </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64</v>
      </c>
      <c r="F1381" s="474" t="s">
        <v>3898</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64</v>
      </c>
      <c r="F1383" s="474" t="s">
        <v>6698</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64</v>
      </c>
      <c r="F1386" s="474" t="s">
        <v>3898</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Not applicable.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22.5">
      <c r="A1404" s="3049" t="str">
        <f>'Part VII-Threshold Criteria'!A366</f>
        <v>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Not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t="str">
        <f>'Part VII-Threshold Criteria'!P392</f>
        <v>No</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t="str">
        <f>'Part VII-Threshold Criteria'!P395</f>
        <v>No</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No</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t="str">
        <f>'Part VII-Threshold Criteria'!P398</f>
        <v>No</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No</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t="str">
        <f>'Part VII-Threshold Criteria'!P405</f>
        <v>No</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t="str">
        <f>'Part VII-Threshold Criteria'!P408</f>
        <v>No</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t="str">
        <f>'Part VII-Threshold Criteria'!P411</f>
        <v>No</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3242</v>
      </c>
      <c r="D1461" s="2984"/>
      <c r="E1461" s="2984"/>
      <c r="F1461" s="2984"/>
      <c r="G1461" s="2984"/>
      <c r="H1461" s="2923"/>
      <c r="I1461" s="2976"/>
      <c r="J1461" s="2976"/>
      <c r="K1461" s="2976"/>
    </row>
    <row r="1462" spans="1:31" s="652" customFormat="1" ht="90">
      <c r="A1462" s="3049" t="str">
        <f>'Part VII-Threshold Criteria'!A424</f>
        <v xml:space="preserve">Not Applicable. This is a new construction development.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 xml:space="preserve">Applicant agrees to affirmatively furthering Fair Housing. </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Applicant agrees to optimal utilization of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Arbours at Town Branch, ,  County</v>
      </c>
      <c r="B1492" s="2550"/>
      <c r="C1492" s="2550"/>
      <c r="D1492" s="2550"/>
      <c r="E1492" s="2550"/>
      <c r="F1492" s="2550"/>
      <c r="G1492" s="2550"/>
      <c r="H1492" s="2550"/>
      <c r="I1492" s="2550"/>
      <c r="J1492" s="2550"/>
      <c r="K1492" s="2550"/>
      <c r="L1492" s="2550"/>
      <c r="M1492" s="2550"/>
      <c r="N1492" s="2550"/>
      <c r="O1492" s="2550"/>
      <c r="P1492" s="2550"/>
      <c r="Q1492" s="3127" t="s">
        <v>6654</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65</v>
      </c>
      <c r="P1497" s="3132">
        <f>P1932</f>
        <v>25</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6501</v>
      </c>
      <c r="G1503" s="3020"/>
      <c r="H1503" s="3020"/>
      <c r="I1503" s="3020"/>
      <c r="J1503" s="3020"/>
      <c r="K1503" s="3020"/>
      <c r="L1503" s="3020"/>
      <c r="M1503" s="3020"/>
      <c r="N1503" s="3020"/>
      <c r="O1503" s="3137" t="s">
        <v>3814</v>
      </c>
      <c r="P1503" s="2976">
        <f>SUM(P1504:P1522)</f>
        <v>0</v>
      </c>
      <c r="Q1503" s="3053" t="s">
        <v>6874</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6646</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6648</v>
      </c>
      <c r="B1514" s="2749" t="s">
        <v>6647</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6645</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3341</v>
      </c>
      <c r="T1530" s="2692"/>
      <c r="U1530" s="474"/>
      <c r="V1530" s="474"/>
      <c r="W1530" s="474"/>
      <c r="X1530" s="3146">
        <f>O1642</f>
        <v>0</v>
      </c>
      <c r="Y1530" s="3146">
        <f>O1642</f>
        <v>0</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Yes</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3</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3372</v>
      </c>
      <c r="S1537" s="2883" t="s">
        <v>4047</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3372</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3373</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f>'Part II-Sources of Funds'!$L$14</f>
        <v>0</v>
      </c>
      <c r="R1540" s="2802" t="s">
        <v>3373</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6700</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6563</v>
      </c>
      <c r="C1541" s="2833"/>
      <c r="D1541" s="1024"/>
      <c r="E1541" s="1024"/>
      <c r="F1541" s="1024"/>
      <c r="G1541" s="3146">
        <v>2</v>
      </c>
      <c r="H1541" s="3146"/>
      <c r="I1541" s="3146"/>
      <c r="J1541" s="3146">
        <v>2</v>
      </c>
      <c r="K1541" s="3146">
        <v>2</v>
      </c>
      <c r="L1541" s="3146">
        <v>2</v>
      </c>
      <c r="Q1541" s="2753"/>
      <c r="R1541" s="2802" t="s">
        <v>3371</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6559</v>
      </c>
      <c r="C1547" s="2833"/>
      <c r="D1547" s="1024"/>
      <c r="E1547" s="1024"/>
      <c r="F1547" s="1024"/>
      <c r="G1547" s="3146">
        <v>3</v>
      </c>
      <c r="H1547" s="3146">
        <v>3</v>
      </c>
      <c r="I1547" s="3146">
        <v>3</v>
      </c>
      <c r="J1547" s="3146">
        <v>3</v>
      </c>
      <c r="K1547" s="3146">
        <v>3</v>
      </c>
      <c r="L1547" s="3146">
        <v>3</v>
      </c>
      <c r="R1547" s="2802" t="s">
        <v>3381</v>
      </c>
      <c r="S1547" s="2883" t="s">
        <v>6559</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65</v>
      </c>
      <c r="Y1553" s="3153">
        <f t="shared" ref="Y1553" si="462">SUM(Y1526:Y1551)</f>
        <v>59</v>
      </c>
      <c r="Z1553" s="3153">
        <f>SUM(Z1526:Z1551)</f>
        <v>30</v>
      </c>
      <c r="AA1553" s="3153">
        <f>SUM(AA1526:AA1551)</f>
        <v>30</v>
      </c>
      <c r="AB1553" s="3153">
        <f>SUM(AB1526:AB1551)</f>
        <v>32</v>
      </c>
      <c r="AC1553" s="3153">
        <f>SUM(AC1526:AC1551)</f>
        <v>32</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6877</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6878</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3393</v>
      </c>
      <c r="G1564" s="3011" t="s">
        <v>6780</v>
      </c>
      <c r="H1564" s="3011"/>
      <c r="I1564" s="3011"/>
      <c r="J1564" s="2822" t="s">
        <v>3393</v>
      </c>
      <c r="K1564" s="3006" t="s">
        <v>6781</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6655</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0</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3282</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371.25">
      <c r="A1599" s="3049" t="str">
        <f>'Part VIII Scoring Criteria'!A108</f>
        <v xml:space="preserve">Please see the Desireable/Undesireable Certification form along with supplamentary maps and photos in Tab 27. As detailed in the Revitalization Plan, Tab 30, this neighboorhood is within the Target Area for the City of Villa Rica's CRP with roadway, utilities, and infrastructure improvments already underway.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f>'Part VIII Scoring Criteria'!O114</f>
        <v>0</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f>'Part VIII Scoring Criteria'!O115</f>
        <v>0</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6576</v>
      </c>
      <c r="D1609" s="3183"/>
      <c r="E1609" s="3106"/>
      <c r="F1609" s="3106"/>
      <c r="G1609" s="3106"/>
      <c r="H1609" s="2967"/>
      <c r="I1609" s="2967"/>
      <c r="J1609" s="2135"/>
      <c r="K1609" s="2135"/>
      <c r="L1609" s="3106"/>
      <c r="M1609" s="3106"/>
      <c r="N1609" s="3064"/>
      <c r="O1609" s="3066">
        <f>'Part VIII Scoring Criteria'!O118</f>
        <v>0</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6579</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6689</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6887</v>
      </c>
      <c r="M1621" s="2910">
        <v>6</v>
      </c>
      <c r="N1621" s="3156" t="s">
        <v>1842</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f>'Part VIII Scoring Criteria'!O131</f>
        <v>0</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0</v>
      </c>
      <c r="P1624" s="3132"/>
      <c r="Q1624" s="2802" t="s">
        <v>6680</v>
      </c>
      <c r="R1624" s="2822" t="s">
        <v>6271</v>
      </c>
      <c r="S1624" s="2822" t="s">
        <v>6151</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6892</v>
      </c>
      <c r="J1628" s="2744" t="str">
        <f>'Part VIII Scoring Criteria'!J137</f>
        <v>&lt;&lt; Enter transit agency/service name here &gt;&gt;</v>
      </c>
      <c r="K1628" s="2744"/>
      <c r="L1628" s="3204" t="s">
        <v>3239</v>
      </c>
      <c r="M1628" s="2917">
        <v>3</v>
      </c>
      <c r="N1628" s="3064" t="s">
        <v>1844</v>
      </c>
      <c r="O1628" s="3012">
        <f>'Part VIII Scoring Criteria'!O137</f>
        <v>2</v>
      </c>
      <c r="P1628" s="3012">
        <f>'Part VIII Scoring Criteria'!P137</f>
        <v>3</v>
      </c>
      <c r="Q1628" s="2802" t="s">
        <v>6681</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6699</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&lt;&lt; Enter specific URL/webpage(s) showing established schedule from transit agency website here &gt;&gt;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https://www.carrollcountymd.gov/government/directory/public-works/carroll-transit-system/</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56.25">
      <c r="A1637" s="3049" t="str">
        <f>'Part VIII Scoring Criteria'!A146</f>
        <v>On-call transportation is available to the site.</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HFOP</v>
      </c>
      <c r="M1642" s="2910">
        <v>3</v>
      </c>
      <c r="N1642" s="3141"/>
      <c r="O1642" s="2912">
        <f>'Part VIII Scoring Criteria'!O151</f>
        <v>0</v>
      </c>
      <c r="P1642" s="2910">
        <f>'Part VIII Scoring Criteria'!P151</f>
        <v>0</v>
      </c>
      <c r="Q1642" s="3104" t="str">
        <f>IF(OR($O1642&lt;=$M1642,$O1642=0,$O1642=""),"","*CHECK!*")</f>
        <v/>
      </c>
      <c r="R1642" s="2906" t="s">
        <v>416</v>
      </c>
      <c r="S1642" s="2694" t="s">
        <v>4063</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
      </c>
    </row>
    <row r="1644" spans="1:19" ht="11.25" customHeight="1">
      <c r="C1644" s="2752" t="s">
        <v>6726</v>
      </c>
      <c r="F1644" s="2752"/>
      <c r="G1644" s="2752"/>
      <c r="H1644" s="2752"/>
      <c r="I1644" s="3210"/>
      <c r="J1644" s="3080" t="s">
        <v>6635</v>
      </c>
      <c r="K1644" s="3080"/>
      <c r="L1644" s="3080"/>
      <c r="M1644" s="3080"/>
    </row>
    <row r="1645" spans="1:19" ht="12.75" customHeight="1">
      <c r="B1645" s="2883"/>
      <c r="C1645" s="2883"/>
      <c r="D1645" s="2883"/>
      <c r="F1645" s="3211" t="s">
        <v>6784</v>
      </c>
      <c r="G1645" s="3211"/>
      <c r="H1645" s="3211" t="s">
        <v>6785</v>
      </c>
      <c r="I1645" s="3211"/>
      <c r="J1645" s="3211" t="s">
        <v>6637</v>
      </c>
      <c r="K1645" s="3211"/>
      <c r="L1645" s="3211" t="s">
        <v>6638</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6639</v>
      </c>
      <c r="C1647" s="3081"/>
      <c r="D1647" s="3212"/>
      <c r="F1647" s="3211"/>
      <c r="G1647" s="3211"/>
      <c r="H1647" s="3211"/>
      <c r="I1647" s="3211"/>
      <c r="J1647" s="3211"/>
      <c r="K1647" s="3211"/>
      <c r="L1647" s="3211"/>
      <c r="M1647" s="3211"/>
      <c r="N1647" s="2851"/>
      <c r="O1647" s="2709"/>
      <c r="P1647" s="2857"/>
    </row>
    <row r="1648" spans="1:19">
      <c r="B1648" s="2875">
        <f>'Part VIII Scoring Criteria'!B157</f>
        <v>0</v>
      </c>
      <c r="C1648" s="2875"/>
      <c r="D1648" s="2875"/>
      <c r="E1648" s="2875"/>
      <c r="F1648" s="2875">
        <f>'Part VIII Scoring Criteria'!F157</f>
        <v>0</v>
      </c>
      <c r="G1648" s="2875"/>
      <c r="H1648" s="2875">
        <f>'Part VIII Scoring Criteria'!H157</f>
        <v>0</v>
      </c>
      <c r="I1648" s="2875"/>
      <c r="J1648" s="2913">
        <f>'Part VIII Scoring Criteria'!J157</f>
        <v>0</v>
      </c>
      <c r="K1648" s="2913"/>
      <c r="L1648" s="2913">
        <f>'Part VIII Scoring Criteria'!L157</f>
        <v>0</v>
      </c>
      <c r="M1648" s="2913"/>
      <c r="N1648" s="2971"/>
      <c r="O1648" s="2971"/>
      <c r="P1648" s="2857"/>
    </row>
    <row r="1649" spans="1:21">
      <c r="B1649" s="2875">
        <f>'Part VIII Scoring Criteria'!B158</f>
        <v>0</v>
      </c>
      <c r="C1649" s="2875"/>
      <c r="D1649" s="2875"/>
      <c r="E1649" s="2875"/>
      <c r="F1649" s="2875">
        <f>'Part VIII Scoring Criteria'!F158</f>
        <v>0</v>
      </c>
      <c r="G1649" s="2875"/>
      <c r="H1649" s="2875">
        <f>'Part VIII Scoring Criteria'!H158</f>
        <v>0</v>
      </c>
      <c r="I1649" s="2875"/>
      <c r="J1649" s="2913">
        <f>'Part VIII Scoring Criteria'!J158</f>
        <v>0</v>
      </c>
      <c r="K1649" s="2913"/>
      <c r="L1649" s="2913">
        <f>'Part VIII Scoring Criteria'!L158</f>
        <v>0</v>
      </c>
      <c r="M1649" s="2913"/>
      <c r="N1649" s="2971"/>
      <c r="O1649" s="2971"/>
      <c r="P1649" s="2857"/>
    </row>
    <row r="1650" spans="1:21">
      <c r="B1650" s="2875">
        <f>'Part VIII Scoring Criteria'!B159</f>
        <v>0</v>
      </c>
      <c r="C1650" s="2875"/>
      <c r="D1650" s="2875"/>
      <c r="E1650" s="2875"/>
      <c r="F1650" s="2875">
        <f>'Part VIII Scoring Criteria'!F159</f>
        <v>0</v>
      </c>
      <c r="G1650" s="2875"/>
      <c r="H1650" s="2875">
        <f>'Part VIII Scoring Criteria'!H159</f>
        <v>0</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67.5">
      <c r="A1655" s="3049" t="str">
        <f>'Part VIII Scoring Criteria'!A164</f>
        <v>Applicant is not seeking scoring points in this section.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4063</v>
      </c>
      <c r="S1662" s="2679"/>
      <c r="T1662" s="2679"/>
      <c r="U1662" s="2679"/>
    </row>
    <row r="1663" spans="1:21" s="2980" customFormat="1" ht="12" customHeight="1">
      <c r="B1663" s="3058" t="s">
        <v>2241</v>
      </c>
      <c r="C1663" s="3046" t="s">
        <v>6690</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 xml:space="preserve">6,  8,  25 </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20,   24 - 26,  28- 29</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 xml:space="preserve">9, 12, 25, 27, 32 - 33 </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36 - 39</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4081</v>
      </c>
      <c r="O1670" s="3218">
        <f>'Part VIII Scoring Criteria'!O179</f>
        <v>1</v>
      </c>
      <c r="P1670" s="3160"/>
      <c r="Q1670" s="3104" t="str">
        <f>IF(OR($O1670=$M1670,$O1670=0,$O1670=""),"","*CHECK!*")</f>
        <v/>
      </c>
      <c r="R1670" s="2694" t="s">
        <v>4063</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6268</v>
      </c>
      <c r="O1671" s="3222">
        <f>'Part VIII Scoring Criteria'!O180</f>
        <v>1</v>
      </c>
      <c r="P1671" s="3223"/>
      <c r="Q1671" s="3104" t="str">
        <f>IF(OR($O1671=$M1671,$O1671=0,$O1671=""),"","*CHECK!*")</f>
        <v/>
      </c>
      <c r="R1671" s="2694" t="s">
        <v>4063</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6269</v>
      </c>
      <c r="O1672" s="3218">
        <f>'Part VIII Scoring Criteria'!O181</f>
        <v>1</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The City of Villa Rica Community Revitalization Plan 2018- 2038 sets forth an outline of current infrastruction, action items, and time frames to accomplish goals within the Target Area, in which the project is located. The plan specifically includes data indicating a need for additional affordable senior housing and outlines goals for updating and redeveloping the Target Area to meet this need. The City of Villa Rica hosted multiple public meetings, generated and promoted an online questionnaire for community input, and hosted an Open House at the Public Libarary before completion of the CRP.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6217</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63.75">
      <c r="A1691" s="2744" t="str">
        <f>'Part VIII Scoring Criteria'!A200</f>
        <v>Applicant is not seeking scoring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0</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0</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67.5">
      <c r="A1710" s="3049" t="str">
        <f>'Part VIII Scoring Criteria'!A219</f>
        <v xml:space="preserve">Applicant is not seeking scoring points in this section.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67.5">
      <c r="A1728" s="3049" t="str">
        <f>'Part VIII Scoring Criteria'!A237</f>
        <v>Applicant is not seeking scoring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Ineligible to score in this section, not New Supply!</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3</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t="str">
        <f>'Part VIII Scoring Criteria'!O242</f>
        <v>Yes</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t="str">
        <f>'Part VIII Scoring Criteria'!G243</f>
        <v>2018-553</v>
      </c>
      <c r="H1734" s="3064" t="s">
        <v>574</v>
      </c>
      <c r="I1734" s="2913" t="str">
        <f>'Part VIII Scoring Criteria'!I243</f>
        <v>Arbours at Villa Rica</v>
      </c>
      <c r="J1734" s="2913"/>
      <c r="L1734" s="3257" t="s">
        <v>6267</v>
      </c>
      <c r="M1734" s="3258">
        <f>'Part VIII Scoring Criteria'!M243</f>
        <v>44623</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15">
      <c r="A1738" s="3049">
        <f>'Part VIII Scoring Criteria'!A247</f>
        <v>0</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135">
      <c r="A1747" s="3049" t="str">
        <f>'Part VIII Scoring Criteria'!A256</f>
        <v>The most recent 9% award in the city of Villa Rica was in 2019, 2019-052 Legacy Walton Trail (90 units).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6620</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6621</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6622</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6623</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6580</v>
      </c>
      <c r="D1764" s="2967"/>
      <c r="E1764" s="2967"/>
      <c r="G1764" s="3256"/>
      <c r="H1764" s="2692"/>
      <c r="I1764" s="2847" t="s">
        <v>6146</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6581</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6582</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5">
      <c r="A1771" s="3049" t="str">
        <f>'Part VIII Scoring Criteria'!A280</f>
        <v xml:space="preserve">Not seeking points in this section. </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6585</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6702</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6701</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6703</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6589</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6588</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6590</v>
      </c>
      <c r="D1783" s="3183"/>
      <c r="E1783" s="3106"/>
      <c r="F1783" s="3106"/>
      <c r="G1783" s="3106"/>
      <c r="H1783" s="2967"/>
      <c r="I1783" s="2967"/>
      <c r="J1783" s="2135"/>
      <c r="K1783" s="2135"/>
      <c r="L1783" s="3106"/>
      <c r="M1783" s="3106"/>
      <c r="N1783" s="474" t="s">
        <v>2243</v>
      </c>
      <c r="O1783" s="2913" t="str">
        <f>'Part VIII Scoring Criteria'!O292</f>
        <v>Yes</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6586</v>
      </c>
      <c r="C1785" s="2755"/>
      <c r="D1785" s="3046"/>
      <c r="E1785" s="3046"/>
      <c r="F1785" s="2755"/>
      <c r="G1785" s="3046" t="s">
        <v>6594</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6595</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6596</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6587</v>
      </c>
      <c r="C1788" s="2755"/>
      <c r="D1788" s="3061"/>
      <c r="G1788" s="1024" t="s">
        <v>6597</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6598</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6599</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6600</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6601</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5">
      <c r="A1796" s="3049">
        <f>'Part VIII Scoring Criteria'!A305</f>
        <v>0</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6591</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6592</v>
      </c>
      <c r="D1801" s="3061"/>
      <c r="E1801" s="3061" t="s">
        <v>6603</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6593</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13.75">
      <c r="A1804" s="3049" t="str">
        <f>'Part VIII Scoring Criteria'!A313</f>
        <v>Applicant commits to accept resident services coordination from an entity certified as a 3rd party Resident Services Coordinator Contractor by CORES or other DCA-approved program.</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6583</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6584</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 xml:space="preserve">Applicant is not seeking points in this section.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1.25">
      <c r="B1837" s="3058" t="s">
        <v>2244</v>
      </c>
      <c r="C1837" s="3046" t="s">
        <v>6604</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6721</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6903</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64</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6609</v>
      </c>
      <c r="D1860" s="3053"/>
      <c r="E1860" s="3053"/>
      <c r="F1860" s="3053"/>
      <c r="G1860" s="3053"/>
      <c r="H1860" s="3053"/>
      <c r="I1860" s="3053"/>
      <c r="J1860" s="3053"/>
      <c r="K1860" s="3053"/>
      <c r="L1860" s="3053"/>
      <c r="M1860" s="3053"/>
      <c r="N1860" s="3196" t="s">
        <v>1845</v>
      </c>
      <c r="O1860" s="3078" t="str">
        <f>'Part VIII Scoring Criteria'!O369</f>
        <v>N/a</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t="str">
        <f>'Part VIII Scoring Criteria'!O370</f>
        <v>N/a</v>
      </c>
      <c r="P1861" s="2976"/>
      <c r="V1861" s="3260"/>
    </row>
    <row r="1862" spans="1:22" s="652" customFormat="1" ht="12.75" customHeight="1">
      <c r="B1862" s="3187" t="s">
        <v>2333</v>
      </c>
      <c r="C1862" s="1024" t="s">
        <v>3831</v>
      </c>
      <c r="N1862" s="3187" t="s">
        <v>2333</v>
      </c>
      <c r="O1862" s="3066" t="str">
        <f>'Part VIII Scoring Criteria'!O371</f>
        <v>N/a</v>
      </c>
      <c r="P1862" s="2976"/>
    </row>
    <row r="1863" spans="1:22" s="652" customFormat="1" ht="12" customHeight="1">
      <c r="B1863" s="2967" t="s">
        <v>3243</v>
      </c>
      <c r="N1863" s="2671"/>
      <c r="O1863" s="2671"/>
      <c r="P1863" s="2671"/>
    </row>
    <row r="1864" spans="1:22" s="3093" customFormat="1" ht="56.25">
      <c r="A1864" s="3049" t="str">
        <f>'Part VIII Scoring Criteria'!A373</f>
        <v xml:space="preserve">Applicant is not seeking points in this section.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6904</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64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64</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67.5">
      <c r="A1883" s="3049" t="str">
        <f>'Part VIII Scoring Criteria'!A392</f>
        <v xml:space="preserve">Applicant is not seeking scoring points in this section. </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6612</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6613</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6614</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6615</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6616</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56.25">
      <c r="A1904" s="3049" t="str">
        <f>'Part VIII Scoring Criteria'!A413</f>
        <v xml:space="preserve">Applicant is not seeking scoring in this section.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15">
      <c r="A1910" s="3049">
        <f>'Part VIII Scoring Criteria'!A419</f>
        <v>0</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6617</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6618</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15">
      <c r="A1920" s="3049">
        <f>'Part VIII Scoring Criteria'!A429</f>
        <v>0</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6619</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15">
      <c r="A1928" s="3049">
        <f>'Part VIII Scoring Criteria'!A437</f>
        <v>0</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65</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2:Q2"/>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Arbours at Town Branch, Villa Rica, Carroll County</v>
      </c>
      <c r="B2" s="3409"/>
      <c r="C2" s="3409"/>
      <c r="D2" s="3409"/>
      <c r="E2" s="3409"/>
      <c r="F2" s="3409"/>
      <c r="G2" s="3409"/>
      <c r="H2" s="3409"/>
      <c r="I2" s="3409"/>
      <c r="J2" s="3409"/>
      <c r="K2" s="3409"/>
      <c r="L2" s="3409"/>
      <c r="M2" s="3409"/>
      <c r="N2" s="3409"/>
      <c r="O2" s="3409"/>
      <c r="P2" s="3409"/>
      <c r="Q2" s="3410"/>
      <c r="S2" s="3498" t="str">
        <f>$A$2</f>
        <v>PART TWO - SOURCES OF FUNDS (Proposed)  -  2022-0 Arbours at Town Branch, Villa Rica, Carroll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6084</v>
      </c>
      <c r="G6" s="315"/>
      <c r="I6" s="3509"/>
      <c r="J6" s="3510"/>
      <c r="L6" s="1559"/>
      <c r="M6" s="292" t="s">
        <v>1438</v>
      </c>
      <c r="Q6" s="2108"/>
      <c r="S6" s="3500"/>
      <c r="T6" s="3501"/>
      <c r="Y6" s="2290"/>
      <c r="Z6" s="2246">
        <v>6</v>
      </c>
      <c r="AZ6" s="2212"/>
    </row>
    <row r="7" spans="1:52" s="291" customFormat="1" ht="16.5" customHeight="1">
      <c r="A7" s="495"/>
      <c r="B7" s="1543" t="s">
        <v>2654</v>
      </c>
      <c r="C7" s="292" t="s">
        <v>3881</v>
      </c>
      <c r="D7" s="315"/>
      <c r="E7" s="1542" t="s">
        <v>2654</v>
      </c>
      <c r="F7" s="292" t="s">
        <v>6085</v>
      </c>
      <c r="I7" s="3511"/>
      <c r="J7" s="3512"/>
      <c r="L7" s="1543" t="s">
        <v>2654</v>
      </c>
      <c r="M7" s="292" t="s">
        <v>514</v>
      </c>
      <c r="P7" s="2108"/>
      <c r="Q7" s="2108"/>
      <c r="S7" s="3502"/>
      <c r="T7" s="3503"/>
      <c r="Y7" s="2290"/>
      <c r="Z7" s="2246">
        <v>7</v>
      </c>
      <c r="AZ7" s="2212"/>
    </row>
    <row r="8" spans="1:52" s="291" customFormat="1" ht="16.5" customHeight="1">
      <c r="A8" s="315"/>
      <c r="B8" s="1543" t="s">
        <v>2654</v>
      </c>
      <c r="C8" s="292" t="s">
        <v>6670</v>
      </c>
      <c r="F8" s="291" t="s">
        <v>6673</v>
      </c>
      <c r="H8" s="3523" t="s">
        <v>3068</v>
      </c>
      <c r="I8" s="3524"/>
      <c r="J8" s="3525"/>
      <c r="L8" s="1543"/>
      <c r="M8" s="310" t="s">
        <v>6675</v>
      </c>
      <c r="P8" s="2108"/>
      <c r="Q8" s="2108"/>
      <c r="S8" s="3502"/>
      <c r="T8" s="3503"/>
      <c r="Y8" s="2290"/>
      <c r="Z8" s="2246">
        <v>8</v>
      </c>
      <c r="AZ8" s="2212"/>
    </row>
    <row r="9" spans="1:52" s="291" customFormat="1" ht="16.5" customHeight="1">
      <c r="A9" s="495"/>
      <c r="B9" s="1543" t="s">
        <v>2654</v>
      </c>
      <c r="C9" s="291" t="s">
        <v>3303</v>
      </c>
      <c r="E9" s="1563" t="s">
        <v>2654</v>
      </c>
      <c r="F9" s="3515" t="s">
        <v>6669</v>
      </c>
      <c r="G9" s="3516"/>
      <c r="H9" s="3513"/>
      <c r="I9" s="3513"/>
      <c r="J9" s="3514"/>
      <c r="L9" s="1543"/>
      <c r="M9" s="310" t="s">
        <v>3882</v>
      </c>
      <c r="Q9" s="2108"/>
      <c r="S9" s="3504"/>
      <c r="T9" s="3505"/>
      <c r="Y9" s="2290"/>
      <c r="Z9" s="2246">
        <v>9</v>
      </c>
      <c r="AZ9" s="2212"/>
    </row>
    <row r="10" spans="1:52" s="291" customFormat="1" ht="16.5" customHeight="1">
      <c r="A10" s="495"/>
      <c r="B10" s="1543" t="s">
        <v>2654</v>
      </c>
      <c r="C10" s="292" t="s">
        <v>2395</v>
      </c>
      <c r="F10" s="3517" t="s">
        <v>3772</v>
      </c>
      <c r="G10" s="3518"/>
      <c r="H10" s="3518"/>
      <c r="I10" s="3518"/>
      <c r="J10" s="3519"/>
      <c r="L10" s="1543"/>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6671</v>
      </c>
      <c r="G11" s="3513"/>
      <c r="H11" s="3513"/>
      <c r="I11" s="3513"/>
      <c r="J11" s="3514"/>
      <c r="L11" s="1543"/>
      <c r="M11" s="291" t="s">
        <v>2399</v>
      </c>
      <c r="S11" s="3502"/>
      <c r="T11" s="3503"/>
      <c r="Y11" s="2290"/>
      <c r="Z11" s="2246">
        <v>11</v>
      </c>
      <c r="AZ11" s="2212"/>
    </row>
    <row r="12" spans="1:52" s="291" customFormat="1" ht="16.5" customHeight="1">
      <c r="A12" s="495"/>
      <c r="B12" s="2097" t="s">
        <v>2654</v>
      </c>
      <c r="C12" s="310" t="s">
        <v>3196</v>
      </c>
      <c r="F12" s="3506" t="s">
        <v>3773</v>
      </c>
      <c r="G12" s="3507"/>
      <c r="H12" s="3526"/>
      <c r="I12" s="3526"/>
      <c r="J12" s="3527"/>
      <c r="L12" s="1543"/>
      <c r="M12" s="291" t="s">
        <v>3222</v>
      </c>
      <c r="S12" s="3502"/>
      <c r="T12" s="3503"/>
      <c r="Y12" s="2290"/>
      <c r="Z12" s="2246">
        <v>12</v>
      </c>
      <c r="AZ12" s="2212"/>
    </row>
    <row r="13" spans="1:52" s="291" customFormat="1" ht="16.5" customHeight="1">
      <c r="A13" s="495"/>
      <c r="B13" s="2097" t="s">
        <v>2654</v>
      </c>
      <c r="C13" s="310" t="s">
        <v>6672</v>
      </c>
      <c r="E13" s="1559" t="s">
        <v>2654</v>
      </c>
      <c r="F13" s="310" t="s">
        <v>6674</v>
      </c>
      <c r="H13" s="3506" t="s">
        <v>3294</v>
      </c>
      <c r="I13" s="3507"/>
      <c r="J13" s="3508"/>
      <c r="L13" s="2097"/>
      <c r="M13" s="291" t="s">
        <v>6083</v>
      </c>
      <c r="S13" s="3502"/>
      <c r="T13" s="3503"/>
      <c r="Y13" s="2290"/>
      <c r="Z13" s="2246">
        <v>13</v>
      </c>
      <c r="AZ13" s="2212"/>
    </row>
    <row r="14" spans="1:52" s="291" customFormat="1" ht="16.5" customHeight="1">
      <c r="A14" s="495"/>
      <c r="B14" s="1543" t="s">
        <v>2654</v>
      </c>
      <c r="C14" s="291" t="s">
        <v>2398</v>
      </c>
      <c r="E14" s="2097" t="s">
        <v>2654</v>
      </c>
      <c r="F14" s="310" t="s">
        <v>3302</v>
      </c>
      <c r="L14" s="2097"/>
      <c r="M14" s="291" t="s">
        <v>6719</v>
      </c>
      <c r="S14" s="3504"/>
      <c r="T14" s="3505"/>
      <c r="Y14" s="2290"/>
      <c r="Z14" s="2246">
        <v>14</v>
      </c>
      <c r="AZ14" s="2212"/>
    </row>
    <row r="15" spans="1:52" s="291" customFormat="1" ht="16.5" customHeight="1">
      <c r="A15" s="495"/>
      <c r="B15" s="1543" t="s">
        <v>2654</v>
      </c>
      <c r="C15" s="291" t="s">
        <v>3221</v>
      </c>
      <c r="E15" s="2097" t="s">
        <v>2654</v>
      </c>
      <c r="F15" s="310" t="s">
        <v>6086</v>
      </c>
      <c r="L15" s="2097"/>
      <c r="M15" s="2109" t="s">
        <v>6087</v>
      </c>
      <c r="Y15" s="2290"/>
      <c r="Z15" s="2246">
        <v>15</v>
      </c>
      <c r="AZ15" s="2212"/>
    </row>
    <row r="16" spans="1:52" s="291" customFormat="1" ht="16.5" customHeight="1">
      <c r="A16" s="495"/>
      <c r="B16" s="1542" t="s">
        <v>2654</v>
      </c>
      <c r="C16" s="292" t="s">
        <v>1674</v>
      </c>
      <c r="E16" s="2098" t="s">
        <v>2654</v>
      </c>
      <c r="F16" s="292" t="s">
        <v>6505</v>
      </c>
      <c r="I16" s="3484"/>
      <c r="J16" s="3485"/>
      <c r="L16" s="2098"/>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3849</v>
      </c>
      <c r="M21" s="3488"/>
      <c r="N21" s="3488" t="s">
        <v>1411</v>
      </c>
      <c r="O21" s="3488"/>
      <c r="P21" s="3488" t="s">
        <v>1524</v>
      </c>
      <c r="Q21" s="3488"/>
      <c r="S21" s="3499" t="s">
        <v>2449</v>
      </c>
      <c r="T21" s="3499"/>
      <c r="Y21" s="2290"/>
      <c r="Z21" s="2246">
        <v>21</v>
      </c>
      <c r="AZ21" s="2212" t="s">
        <v>6348</v>
      </c>
    </row>
    <row r="22" spans="1:52" s="291" customFormat="1" ht="15.75" customHeight="1">
      <c r="A22" s="315"/>
      <c r="B22" s="3528" t="s">
        <v>1487</v>
      </c>
      <c r="C22" s="3529"/>
      <c r="D22" s="3529"/>
      <c r="E22" s="1042"/>
      <c r="F22" s="1042"/>
      <c r="G22" s="1042"/>
      <c r="H22" s="3530" t="s">
        <v>6939</v>
      </c>
      <c r="I22" s="3531"/>
      <c r="J22" s="3531"/>
      <c r="K22" s="3532"/>
      <c r="L22" s="3533">
        <v>12000000</v>
      </c>
      <c r="M22" s="3534"/>
      <c r="N22" s="3535">
        <v>5.1499999999999997E-2</v>
      </c>
      <c r="O22" s="3536"/>
      <c r="P22" s="3537">
        <v>24</v>
      </c>
      <c r="Q22" s="3538"/>
      <c r="S22" s="3500"/>
      <c r="T22" s="3501"/>
      <c r="Y22" s="2290" t="s">
        <v>6348</v>
      </c>
      <c r="Z22" s="2246">
        <v>22</v>
      </c>
      <c r="AZ22" s="2212" t="s">
        <v>6349</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6349</v>
      </c>
      <c r="Z23" s="2246">
        <v>23</v>
      </c>
      <c r="AZ23" s="2212" t="s">
        <v>6350</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6350</v>
      </c>
      <c r="Z24" s="2246">
        <v>24</v>
      </c>
      <c r="AZ24" s="2212" t="s">
        <v>6351</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6351</v>
      </c>
      <c r="Z25" s="2246">
        <v>25</v>
      </c>
      <c r="AZ25" s="2212" t="s">
        <v>6352</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6352</v>
      </c>
      <c r="Z26" s="2245">
        <v>26</v>
      </c>
      <c r="AZ26" s="2212" t="s">
        <v>6353</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6353</v>
      </c>
      <c r="Z27" s="2246">
        <v>27</v>
      </c>
      <c r="AZ27" s="2212" t="s">
        <v>6354</v>
      </c>
    </row>
    <row r="28" spans="1:52" s="291" customFormat="1" ht="15.75" customHeight="1">
      <c r="A28" s="315"/>
      <c r="B28" s="3539" t="s">
        <v>746</v>
      </c>
      <c r="C28" s="3540"/>
      <c r="D28" s="3540"/>
      <c r="E28" s="1041"/>
      <c r="H28" s="3541" t="s">
        <v>6940</v>
      </c>
      <c r="I28" s="3542"/>
      <c r="J28" s="3542"/>
      <c r="K28" s="3543"/>
      <c r="L28" s="3544">
        <v>3663533</v>
      </c>
      <c r="M28" s="3545"/>
      <c r="N28" s="315"/>
      <c r="Q28" s="315"/>
      <c r="S28" s="3504"/>
      <c r="T28" s="3505"/>
      <c r="Y28" s="2290" t="s">
        <v>6354</v>
      </c>
      <c r="Z28" s="2246">
        <v>28</v>
      </c>
      <c r="AZ28" s="2212" t="s">
        <v>6355</v>
      </c>
    </row>
    <row r="29" spans="1:52" s="291" customFormat="1" ht="15.75" customHeight="1">
      <c r="A29" s="315"/>
      <c r="B29" s="3539" t="s">
        <v>747</v>
      </c>
      <c r="C29" s="3540"/>
      <c r="D29" s="3540"/>
      <c r="E29" s="1041"/>
      <c r="H29" s="3541" t="s">
        <v>6940</v>
      </c>
      <c r="I29" s="3542"/>
      <c r="J29" s="3542"/>
      <c r="K29" s="3543"/>
      <c r="L29" s="3544">
        <v>2256300</v>
      </c>
      <c r="M29" s="3545"/>
      <c r="N29" s="315"/>
      <c r="Q29" s="315"/>
      <c r="S29" s="3500"/>
      <c r="T29" s="3501"/>
      <c r="Y29" s="2290" t="s">
        <v>6355</v>
      </c>
      <c r="Z29" s="2246">
        <v>29</v>
      </c>
      <c r="AZ29" s="2212" t="s">
        <v>6356</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6356</v>
      </c>
      <c r="Z30" s="2246">
        <v>30</v>
      </c>
      <c r="AZ30" s="2212" t="s">
        <v>6357</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6357</v>
      </c>
      <c r="Z31" s="2246">
        <v>31</v>
      </c>
      <c r="AZ31" s="2212" t="s">
        <v>6358</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6358</v>
      </c>
      <c r="Z32" s="2246">
        <v>32</v>
      </c>
      <c r="AZ32" s="2212"/>
    </row>
    <row r="33" spans="1:52" s="291" customFormat="1" ht="16.5" customHeight="1">
      <c r="A33" s="315"/>
      <c r="B33" s="290" t="s">
        <v>1222</v>
      </c>
      <c r="C33" s="315"/>
      <c r="D33" s="315"/>
      <c r="E33" s="315"/>
      <c r="F33" s="315"/>
      <c r="G33" s="315"/>
      <c r="H33" s="315"/>
      <c r="I33" s="315"/>
      <c r="L33" s="3563">
        <f>SUM(L22:L32)</f>
        <v>17919833</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17871425</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48408</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3848</v>
      </c>
      <c r="J39" s="3488"/>
      <c r="K39" s="1035" t="s">
        <v>1676</v>
      </c>
      <c r="L39" s="1035" t="s">
        <v>2047</v>
      </c>
      <c r="M39" s="1035" t="s">
        <v>2047</v>
      </c>
      <c r="N39" s="3488" t="s">
        <v>69</v>
      </c>
      <c r="O39" s="3488"/>
      <c r="P39" s="3570"/>
      <c r="Q39" s="3570"/>
      <c r="S39" s="3499" t="s">
        <v>2449</v>
      </c>
      <c r="T39" s="3499"/>
      <c r="Y39" s="2290"/>
      <c r="Z39" s="2246">
        <v>39</v>
      </c>
      <c r="AZ39" s="2212" t="s">
        <v>6359</v>
      </c>
    </row>
    <row r="40" spans="1:52" s="291" customFormat="1" ht="15" customHeight="1">
      <c r="A40" s="315"/>
      <c r="B40" s="3528" t="s">
        <v>2403</v>
      </c>
      <c r="C40" s="3529"/>
      <c r="D40" s="3529"/>
      <c r="E40" s="3530" t="s">
        <v>6939</v>
      </c>
      <c r="F40" s="3531"/>
      <c r="G40" s="3531"/>
      <c r="H40" s="3532"/>
      <c r="I40" s="3591">
        <v>4410000</v>
      </c>
      <c r="J40" s="3592"/>
      <c r="K40" s="836">
        <v>0.06</v>
      </c>
      <c r="L40" s="1043">
        <v>20</v>
      </c>
      <c r="M40" s="1043">
        <v>30</v>
      </c>
      <c r="N40" s="3576" t="s">
        <v>6941</v>
      </c>
      <c r="O40" s="3576"/>
      <c r="P40" s="3590">
        <f>IF(OR(I40&lt;=0,I40=""),"",IF(N40="Cash Flow",0,IF(N40="Amortizing",-PMT(K40/12,M40*12,I40,0,0)*12,"")))</f>
        <v>317282.13791083649</v>
      </c>
      <c r="Q40" s="3590"/>
      <c r="S40" s="3500"/>
      <c r="T40" s="3501"/>
      <c r="Y40" s="2290" t="s">
        <v>6359</v>
      </c>
      <c r="Z40" s="2246">
        <v>40</v>
      </c>
      <c r="AZ40" s="2212" t="s">
        <v>6360</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6360</v>
      </c>
      <c r="Z41" s="2246">
        <v>41</v>
      </c>
      <c r="AZ41" s="2212" t="s">
        <v>6361</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6361</v>
      </c>
      <c r="Z42" s="2246">
        <v>42</v>
      </c>
      <c r="AZ42" s="2212" t="s">
        <v>6362</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6362</v>
      </c>
      <c r="Z43" s="2246">
        <v>43</v>
      </c>
      <c r="AZ43" s="2212" t="s">
        <v>6363</v>
      </c>
    </row>
    <row r="44" spans="1:52" s="291" customFormat="1" ht="15" customHeight="1">
      <c r="A44" s="315"/>
      <c r="B44" s="1040" t="s">
        <v>3948</v>
      </c>
      <c r="C44" s="1041"/>
      <c r="D44" s="1045"/>
      <c r="E44" s="3541"/>
      <c r="F44" s="3542"/>
      <c r="G44" s="3542"/>
      <c r="H44" s="3543"/>
      <c r="I44" s="3573"/>
      <c r="J44" s="3574"/>
      <c r="K44" s="476"/>
      <c r="L44" s="1039"/>
      <c r="M44" s="1039"/>
      <c r="N44" s="3605"/>
      <c r="O44" s="3605"/>
      <c r="P44" s="3604"/>
      <c r="Q44" s="3604"/>
      <c r="S44" s="3502"/>
      <c r="T44" s="3503"/>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0.41926381461675577</v>
      </c>
      <c r="E45" s="3489" t="s">
        <v>6942</v>
      </c>
      <c r="F45" s="3490"/>
      <c r="G45" s="3490"/>
      <c r="H45" s="3491"/>
      <c r="I45" s="3577">
        <v>705621</v>
      </c>
      <c r="J45" s="3578"/>
      <c r="K45" s="835">
        <v>0</v>
      </c>
      <c r="L45" s="834">
        <v>15</v>
      </c>
      <c r="M45" s="834">
        <v>15</v>
      </c>
      <c r="N45" s="3321"/>
      <c r="O45" s="3322"/>
      <c r="P45" s="3579" t="str">
        <f>IF(OR(I45&lt;=0,I45=""),"",IF(N45="Cash Flow",0,IF(N45="Amortizing",-PMT(K45/12,M45*12,I45,0,0)*12,"")))</f>
        <v/>
      </c>
      <c r="Q45" s="3580"/>
      <c r="S45" s="3502"/>
      <c r="T45" s="3503"/>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3408</v>
      </c>
      <c r="C47" s="1217"/>
      <c r="E47" s="291" t="s">
        <v>3366</v>
      </c>
      <c r="F47" s="3588">
        <f>IF(OR($I$45="",$I$45=0,'Part VI-Pro Forma'!$S$35=0,'Part VI-Pro Forma'!$S$35=""),"",VLOOKUP($L$45,'Part VI-Pro Forma'!$Q$21:$S$40,3))</f>
        <v>1337868.2135883919</v>
      </c>
      <c r="G47" s="3589"/>
      <c r="H47" s="628" t="s">
        <v>3407</v>
      </c>
      <c r="I47" s="3588">
        <f>IF(OR($I$45="",$I$45=0,'Part VI-Pro Forma'!$R$35=0,'Part VI-Pro Forma'!$R$35=""),"",VLOOKUP($L$45,'Part VI-Pro Forma'!$Q$21:$S$35,2))</f>
        <v>705620.65698070067</v>
      </c>
      <c r="J47" s="3589"/>
      <c r="K47" s="628" t="s">
        <v>3409</v>
      </c>
      <c r="L47" s="3586">
        <f>IF(OR($F$47 = 0,$F$47 =""),"",$I$47/$F$47)</f>
        <v>0.52742164722495732</v>
      </c>
      <c r="M47" s="3587"/>
      <c r="N47" s="3611" t="s">
        <v>3852</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6365</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6365</v>
      </c>
      <c r="Z49" s="2246">
        <v>49</v>
      </c>
      <c r="AZ49" s="2212" t="s">
        <v>6366</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6366</v>
      </c>
      <c r="Z50" s="2246">
        <v>50</v>
      </c>
      <c r="AZ50" s="2212" t="s">
        <v>6367</v>
      </c>
    </row>
    <row r="51" spans="1:52" s="291" customFormat="1" ht="15" customHeight="1">
      <c r="A51" s="315"/>
      <c r="B51" s="3539" t="s">
        <v>746</v>
      </c>
      <c r="C51" s="3540"/>
      <c r="D51" s="3581"/>
      <c r="E51" s="3541" t="s">
        <v>6940</v>
      </c>
      <c r="F51" s="3542"/>
      <c r="G51" s="3542"/>
      <c r="H51" s="3543"/>
      <c r="I51" s="3573">
        <v>9158834</v>
      </c>
      <c r="J51" s="3573"/>
      <c r="L51" s="3584">
        <f>'Part III-A-Uses of Funds'!$J$191*10*'Part III-A-Uses of Funds'!$N$182</f>
        <v>9159750</v>
      </c>
      <c r="M51" s="3584"/>
      <c r="N51" s="3585">
        <f>I51-L51</f>
        <v>-916</v>
      </c>
      <c r="O51" s="3585"/>
      <c r="P51" s="425">
        <f>I51/I61</f>
        <v>0.45989152509351522</v>
      </c>
      <c r="Q51" s="392"/>
      <c r="S51" s="3502"/>
      <c r="T51" s="3503"/>
      <c r="Y51" s="2290" t="s">
        <v>6367</v>
      </c>
      <c r="Z51" s="2245">
        <v>51</v>
      </c>
      <c r="AZ51" s="2212" t="s">
        <v>6368</v>
      </c>
    </row>
    <row r="52" spans="1:52" s="291" customFormat="1" ht="15" customHeight="1">
      <c r="A52" s="315"/>
      <c r="B52" s="3539" t="s">
        <v>747</v>
      </c>
      <c r="C52" s="3540"/>
      <c r="D52" s="3581"/>
      <c r="E52" s="3541" t="s">
        <v>6940</v>
      </c>
      <c r="F52" s="3542"/>
      <c r="G52" s="3542"/>
      <c r="H52" s="3543"/>
      <c r="I52" s="3573">
        <v>5640750</v>
      </c>
      <c r="J52" s="3573"/>
      <c r="L52" s="3584">
        <f>'Part III-A-Uses of Funds'!$J$191*10*'Part III-A-Uses of Funds'!$Q$182</f>
        <v>5640750</v>
      </c>
      <c r="M52" s="3584"/>
      <c r="N52" s="3585">
        <f>I52-L52</f>
        <v>0</v>
      </c>
      <c r="O52" s="3585"/>
      <c r="P52" s="425">
        <f>I52/I61</f>
        <v>0.28323835983611517</v>
      </c>
      <c r="Q52" s="392"/>
      <c r="S52" s="3502"/>
      <c r="T52" s="3503"/>
      <c r="Y52" s="2290" t="s">
        <v>6368</v>
      </c>
      <c r="Z52" s="2246">
        <v>52</v>
      </c>
      <c r="AZ52" s="2212" t="s">
        <v>6369</v>
      </c>
    </row>
    <row r="53" spans="1:52" s="291" customFormat="1" ht="15" customHeight="1">
      <c r="A53" s="315"/>
      <c r="B53" s="3539" t="s">
        <v>1332</v>
      </c>
      <c r="C53" s="3540"/>
      <c r="D53" s="3581"/>
      <c r="E53" s="3541"/>
      <c r="F53" s="3542"/>
      <c r="G53" s="3542"/>
      <c r="H53" s="3543"/>
      <c r="I53" s="3573"/>
      <c r="J53" s="3573"/>
      <c r="P53" s="426">
        <f>SUM(P51:P52)</f>
        <v>0.74312988492963039</v>
      </c>
      <c r="Q53" s="392"/>
      <c r="S53" s="3504"/>
      <c r="T53" s="3505"/>
      <c r="Y53" s="2290" t="s">
        <v>6369</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6370</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6370</v>
      </c>
      <c r="Z57" s="2246">
        <v>57</v>
      </c>
      <c r="AZ57" s="2212" t="s">
        <v>6371</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6371</v>
      </c>
      <c r="Z58" s="2246">
        <v>58</v>
      </c>
      <c r="AZ58" s="2212" t="s">
        <v>6372</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6372</v>
      </c>
      <c r="Z59" s="2246">
        <v>59</v>
      </c>
      <c r="AZ59" s="2212"/>
    </row>
    <row r="60" spans="1:52" s="291" customFormat="1" ht="14.25" customHeight="1">
      <c r="A60" s="315"/>
      <c r="B60" s="1034" t="s">
        <v>2049</v>
      </c>
      <c r="C60" s="315"/>
      <c r="D60" s="315"/>
      <c r="E60" s="315"/>
      <c r="F60" s="315"/>
      <c r="G60" s="315"/>
      <c r="I60" s="3614">
        <f>SUM(I40:J45)+SUM(I49:J59)</f>
        <v>19915205</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19915205</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6987</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2" sqref="A2:T2"/>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Arbours at Town Branch, Villa Rica, Carroll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Arbours at Town Branch, Villa Rica, Carroll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10000</v>
      </c>
      <c r="H9" s="3534"/>
      <c r="J9" s="3533">
        <f>+G9</f>
        <v>10000</v>
      </c>
      <c r="K9" s="3534"/>
      <c r="L9" s="1050"/>
      <c r="M9" s="3533"/>
      <c r="N9" s="3534"/>
      <c r="P9" s="3533"/>
      <c r="Q9" s="3534"/>
      <c r="S9" s="3533"/>
      <c r="T9" s="3534"/>
      <c r="V9" s="1082"/>
      <c r="W9" s="3649"/>
      <c r="X9" s="3650"/>
      <c r="AZ9" s="2661"/>
      <c r="BA9" s="2246">
        <v>9</v>
      </c>
    </row>
    <row r="10" spans="1:53" s="315" customFormat="1" ht="11.25" customHeight="1">
      <c r="B10" s="315" t="s">
        <v>431</v>
      </c>
      <c r="G10" s="3544">
        <v>8000</v>
      </c>
      <c r="H10" s="3545"/>
      <c r="J10" s="3533">
        <f t="shared" ref="J10:J13" si="0">+G10</f>
        <v>8000</v>
      </c>
      <c r="K10" s="3534"/>
      <c r="L10" s="1050"/>
      <c r="M10" s="3544"/>
      <c r="N10" s="3545"/>
      <c r="P10" s="3544"/>
      <c r="Q10" s="3545"/>
      <c r="S10" s="3544"/>
      <c r="T10" s="3545"/>
      <c r="V10" s="1082"/>
      <c r="W10" s="3649"/>
      <c r="X10" s="3650"/>
      <c r="AZ10" s="2661"/>
      <c r="BA10" s="2245">
        <v>10</v>
      </c>
    </row>
    <row r="11" spans="1:53" s="315" customFormat="1" ht="11.25" customHeight="1">
      <c r="B11" s="315" t="s">
        <v>458</v>
      </c>
      <c r="G11" s="3544">
        <v>12000</v>
      </c>
      <c r="H11" s="3545"/>
      <c r="J11" s="3533">
        <f t="shared" si="0"/>
        <v>12000</v>
      </c>
      <c r="K11" s="3534"/>
      <c r="L11" s="1050"/>
      <c r="M11" s="3544"/>
      <c r="N11" s="3545"/>
      <c r="P11" s="3544"/>
      <c r="Q11" s="3545"/>
      <c r="S11" s="3544"/>
      <c r="T11" s="3545"/>
      <c r="V11" s="1082"/>
      <c r="W11" s="3649"/>
      <c r="X11" s="3650"/>
      <c r="AZ11" s="2661"/>
      <c r="BA11" s="2246">
        <v>11</v>
      </c>
    </row>
    <row r="12" spans="1:53" s="315" customFormat="1" ht="11.25" customHeight="1">
      <c r="B12" s="315" t="s">
        <v>459</v>
      </c>
      <c r="G12" s="3544">
        <v>20000</v>
      </c>
      <c r="H12" s="3545"/>
      <c r="J12" s="3533">
        <f t="shared" si="0"/>
        <v>20000</v>
      </c>
      <c r="K12" s="3534"/>
      <c r="L12" s="1050"/>
      <c r="M12" s="3544"/>
      <c r="N12" s="3545"/>
      <c r="P12" s="3544"/>
      <c r="Q12" s="3545"/>
      <c r="S12" s="3544"/>
      <c r="T12" s="3545"/>
      <c r="V12" s="1082"/>
      <c r="W12" s="3649"/>
      <c r="X12" s="3650"/>
      <c r="AZ12" s="2661"/>
      <c r="BA12" s="2246">
        <v>12</v>
      </c>
    </row>
    <row r="13" spans="1:53" s="315" customFormat="1" ht="11.25" customHeight="1">
      <c r="B13" s="315" t="s">
        <v>2302</v>
      </c>
      <c r="G13" s="3544">
        <v>10000</v>
      </c>
      <c r="H13" s="3545"/>
      <c r="J13" s="3533">
        <f t="shared" si="0"/>
        <v>10000</v>
      </c>
      <c r="K13" s="3534"/>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6279</v>
      </c>
      <c r="C15" s="3685" t="s">
        <v>6728</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6373</v>
      </c>
      <c r="BA15" s="2246">
        <v>15</v>
      </c>
    </row>
    <row r="16" spans="1:53" s="315" customFormat="1" ht="11.25" customHeight="1">
      <c r="A16" s="396" t="str">
        <f>IF(AND(G16&gt;0,OR(C16="",C16="&lt;Enter detailed description here; use Comments section if needed&gt;")),"X","")</f>
        <v/>
      </c>
      <c r="B16" s="185" t="s">
        <v>6280</v>
      </c>
      <c r="C16" s="3685" t="s">
        <v>6728</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6374</v>
      </c>
      <c r="BA16" s="2246">
        <v>16</v>
      </c>
    </row>
    <row r="17" spans="1:53" s="315" customFormat="1" ht="11.25" customHeight="1" thickBot="1">
      <c r="A17" s="396" t="str">
        <f>IF(AND(G17&gt;0,OR(C17="",C17="&lt;Enter detailed description here; use Comments section if needed&gt;")),"X","")</f>
        <v/>
      </c>
      <c r="B17" s="185" t="s">
        <v>6281</v>
      </c>
      <c r="C17" s="3685" t="s">
        <v>6728</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6375</v>
      </c>
      <c r="BA17" s="2246">
        <v>17</v>
      </c>
    </row>
    <row r="18" spans="1:53" s="315" customFormat="1" ht="12.6" customHeight="1" thickTop="1">
      <c r="F18" s="371" t="s">
        <v>184</v>
      </c>
      <c r="G18" s="3645">
        <f>SUM(G9:G17)</f>
        <v>60000</v>
      </c>
      <c r="H18" s="3646"/>
      <c r="J18" s="3645">
        <f>SUM(J9:J17)</f>
        <v>60000</v>
      </c>
      <c r="K18" s="3646"/>
      <c r="L18" s="1050"/>
      <c r="M18" s="3645">
        <f>SUM(M9:M17)</f>
        <v>0</v>
      </c>
      <c r="N18" s="3646"/>
      <c r="P18" s="3645">
        <f>SUM(P9:P17)</f>
        <v>0</v>
      </c>
      <c r="Q18" s="3646"/>
      <c r="S18" s="3645">
        <f>SUM(S9:S17)</f>
        <v>0</v>
      </c>
      <c r="T18" s="3646"/>
      <c r="V18" s="1084">
        <f>SUM(V9:V17)</f>
        <v>0</v>
      </c>
      <c r="W18" s="3658"/>
      <c r="X18" s="3659"/>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80346.106304079105</v>
      </c>
      <c r="G20" s="3533">
        <v>650000</v>
      </c>
      <c r="H20" s="3534"/>
      <c r="J20" s="373"/>
      <c r="K20" s="370"/>
      <c r="L20" s="373"/>
      <c r="M20" s="373"/>
      <c r="N20" s="370"/>
      <c r="P20" s="373"/>
      <c r="Q20" s="370"/>
      <c r="S20" s="3533">
        <f>G20</f>
        <v>650000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650000</v>
      </c>
      <c r="H24" s="3646"/>
      <c r="J24" s="373"/>
      <c r="K24" s="370"/>
      <c r="L24" s="373"/>
      <c r="M24" s="3645">
        <f>SUM(M22:M23)</f>
        <v>0</v>
      </c>
      <c r="N24" s="3646"/>
      <c r="P24" s="373"/>
      <c r="Q24" s="370"/>
      <c r="S24" s="3645">
        <f>SUM(S20:S23)</f>
        <v>650000</v>
      </c>
      <c r="T24" s="3646"/>
      <c r="V24" s="1084">
        <f>SUM(V20:V23)</f>
        <v>0</v>
      </c>
      <c r="W24" s="3658"/>
      <c r="X24" s="3659"/>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334285.29048207664</v>
      </c>
      <c r="G26" s="3533">
        <v>2704368</v>
      </c>
      <c r="H26" s="3534"/>
      <c r="J26" s="3533">
        <f>+G26</f>
        <v>2704368</v>
      </c>
      <c r="K26" s="3534"/>
      <c r="L26" s="1050"/>
      <c r="M26" s="3687"/>
      <c r="N26" s="3688"/>
      <c r="P26" s="3687"/>
      <c r="Q26" s="3688"/>
      <c r="S26" s="3533"/>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2704368</v>
      </c>
      <c r="H28" s="3646"/>
      <c r="J28" s="3645">
        <f>SUM(J26:J27)</f>
        <v>2704368</v>
      </c>
      <c r="K28" s="3646"/>
      <c r="L28" s="373"/>
      <c r="M28" s="3645">
        <f>M26</f>
        <v>0</v>
      </c>
      <c r="N28" s="3646"/>
      <c r="P28" s="3645">
        <f>P26</f>
        <v>0</v>
      </c>
      <c r="Q28" s="3646"/>
      <c r="S28" s="3645">
        <f>SUM(S26:S27)</f>
        <v>0</v>
      </c>
      <c r="T28" s="3646"/>
      <c r="V28" s="1084">
        <f>SUM(V26:V27)</f>
        <v>0</v>
      </c>
      <c r="W28" s="3658"/>
      <c r="X28" s="3659"/>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9364098</v>
      </c>
      <c r="H30" s="3534"/>
      <c r="J30" s="3533">
        <f>+G30</f>
        <v>9364098</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6093</v>
      </c>
      <c r="G32" s="3544">
        <v>191703</v>
      </c>
      <c r="H32" s="3545"/>
      <c r="J32" s="3544">
        <f>+G32</f>
        <v>191703</v>
      </c>
      <c r="K32" s="3545"/>
      <c r="L32" s="1050"/>
      <c r="M32" s="3544"/>
      <c r="N32" s="3545"/>
      <c r="P32" s="3544"/>
      <c r="Q32" s="3545"/>
      <c r="S32" s="3544"/>
      <c r="T32" s="3545"/>
      <c r="V32" s="1082"/>
      <c r="W32" s="3649"/>
      <c r="X32" s="3650"/>
      <c r="AZ32" s="2661"/>
      <c r="BA32" s="2246">
        <v>32</v>
      </c>
    </row>
    <row r="33" spans="1:53" s="315" customFormat="1" ht="11.25" customHeight="1">
      <c r="B33" s="315" t="s">
        <v>6091</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6092</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9555801</v>
      </c>
      <c r="H36" s="3646"/>
      <c r="J36" s="3645">
        <f>SUM(J30:J35)</f>
        <v>9555801</v>
      </c>
      <c r="K36" s="3646"/>
      <c r="L36" s="1050"/>
      <c r="M36" s="3645">
        <f>SUM(M30:M35)</f>
        <v>0</v>
      </c>
      <c r="N36" s="3646"/>
      <c r="P36" s="3645">
        <f>SUM(P30:P35)</f>
        <v>0</v>
      </c>
      <c r="Q36" s="3646"/>
      <c r="S36" s="3645">
        <f>SUM(S30:S35)</f>
        <v>0</v>
      </c>
      <c r="T36" s="3646"/>
      <c r="V36" s="1084">
        <f>SUM(V30:V35)</f>
        <v>0</v>
      </c>
      <c r="W36" s="3658"/>
      <c r="X36" s="3659"/>
      <c r="AZ36" s="2661" t="s">
        <v>6379</v>
      </c>
      <c r="BA36" s="2246">
        <v>36</v>
      </c>
    </row>
    <row r="37" spans="1:53" s="315" customFormat="1" ht="12" customHeight="1">
      <c r="B37" s="317" t="s">
        <v>2164</v>
      </c>
      <c r="D37" s="3692" t="s">
        <v>3227</v>
      </c>
      <c r="E37" s="3692"/>
      <c r="F37" s="964">
        <f>SUM(F38:F40)</f>
        <v>0.13999994616713685</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735610</v>
      </c>
      <c r="F38" s="2633">
        <f>IF(($G$28+$G$36)=0,0,G38/($G$28+$G$36))</f>
        <v>5.9999988580907819E-2</v>
      </c>
      <c r="G38" s="3533">
        <v>735610</v>
      </c>
      <c r="H38" s="3534"/>
      <c r="I38" s="332"/>
      <c r="J38" s="3533">
        <f>+G38</f>
        <v>735610</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245203</v>
      </c>
      <c r="F39" s="2633">
        <f>IF(($G$28+$G$36)=0,0,G39/($G$28+$G$36))</f>
        <v>1.9999969005321215E-2</v>
      </c>
      <c r="G39" s="3544">
        <v>245203</v>
      </c>
      <c r="H39" s="3545"/>
      <c r="I39" s="332"/>
      <c r="J39" s="3533">
        <f t="shared" ref="J39:J40" si="1">+G39</f>
        <v>245203</v>
      </c>
      <c r="K39" s="3534"/>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735610</v>
      </c>
      <c r="F40" s="2637">
        <f>IF(($G$28+$G$36)=0,0,G40/($G$28+$G$36))</f>
        <v>5.9999988580907819E-2</v>
      </c>
      <c r="G40" s="3647">
        <v>735610</v>
      </c>
      <c r="H40" s="3648"/>
      <c r="I40" s="332"/>
      <c r="J40" s="3533">
        <f t="shared" si="1"/>
        <v>735610</v>
      </c>
      <c r="K40" s="3534"/>
      <c r="L40" s="1050"/>
      <c r="M40" s="3647"/>
      <c r="N40" s="3648"/>
      <c r="P40" s="3647"/>
      <c r="Q40" s="3648"/>
      <c r="S40" s="3647"/>
      <c r="T40" s="3648"/>
      <c r="V40" s="1082"/>
      <c r="W40" s="3656"/>
      <c r="X40" s="3657"/>
      <c r="AZ40" s="2661"/>
      <c r="BA40" s="2246">
        <v>40</v>
      </c>
    </row>
    <row r="41" spans="1:53" s="315" customFormat="1" ht="12.6" customHeight="1" thickTop="1">
      <c r="B41" s="185" t="s">
        <v>3228</v>
      </c>
      <c r="D41" s="965">
        <f>SUM(D38:D40)</f>
        <v>0.14000000000000001</v>
      </c>
      <c r="E41" s="966">
        <f>SUM(E38:E40)</f>
        <v>1716423</v>
      </c>
      <c r="F41" s="2630" t="s">
        <v>184</v>
      </c>
      <c r="G41" s="3645">
        <f>SUM(G38:G40)</f>
        <v>1716423</v>
      </c>
      <c r="H41" s="3646"/>
      <c r="J41" s="3645">
        <f>SUM(J38:J40)</f>
        <v>1716423</v>
      </c>
      <c r="K41" s="3646"/>
      <c r="L41" s="373"/>
      <c r="M41" s="3645">
        <f>SUM(M38:M40)</f>
        <v>0</v>
      </c>
      <c r="N41" s="3646"/>
      <c r="P41" s="3645">
        <f>SUM(P38:P40)</f>
        <v>0</v>
      </c>
      <c r="Q41" s="3646"/>
      <c r="S41" s="3645">
        <f>SUM(S38:S40)</f>
        <v>0</v>
      </c>
      <c r="T41" s="3646"/>
      <c r="V41" s="1084">
        <f>SUM(V38:V40)</f>
        <v>0</v>
      </c>
      <c r="W41" s="3658"/>
      <c r="X41" s="3659"/>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12">
        <f>G28+G36+G41</f>
        <v>13976592</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5" t="s">
        <v>6728</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6382</v>
      </c>
      <c r="BA47" s="2245">
        <v>47</v>
      </c>
    </row>
    <row r="48" spans="1:53" s="315" customFormat="1" ht="12.6" customHeight="1">
      <c r="B48" s="2201" t="s">
        <v>2481</v>
      </c>
      <c r="C48" s="2202"/>
      <c r="E48" s="3704" t="s">
        <v>2480</v>
      </c>
      <c r="F48" s="2203">
        <f>C49/'Part V-Revenues &amp; Expenses'!$P$65</f>
        <v>218384.25</v>
      </c>
      <c r="G48" s="2204" t="s">
        <v>2494</v>
      </c>
      <c r="H48" s="2205"/>
      <c r="I48" s="2205"/>
      <c r="J48" s="3706">
        <f>C49/'Part V-Revenues &amp; Expenses'!$P$67</f>
        <v>218384.25</v>
      </c>
      <c r="K48" s="3706"/>
      <c r="L48" s="2205"/>
      <c r="M48" s="3707" t="s">
        <v>6481</v>
      </c>
      <c r="N48" s="3707"/>
      <c r="O48" s="2205"/>
      <c r="P48" s="3706">
        <f>C49/'Part V-Revenues &amp; Expenses'!$K$175</f>
        <v>197.54341926729987</v>
      </c>
      <c r="Q48" s="3706"/>
      <c r="R48" s="2205"/>
      <c r="S48" s="3708" t="s">
        <v>6483</v>
      </c>
      <c r="T48" s="3709"/>
      <c r="V48" s="1085"/>
      <c r="W48" s="3700"/>
      <c r="X48" s="3701"/>
      <c r="AZ48" s="2661"/>
      <c r="BA48" s="2246">
        <v>48</v>
      </c>
    </row>
    <row r="49" spans="1:53" s="315" customFormat="1" ht="12.6" customHeight="1">
      <c r="B49" s="2254" t="s">
        <v>6494</v>
      </c>
      <c r="C49" s="2253">
        <f>G28+G36+G41+G46</f>
        <v>13976592</v>
      </c>
      <c r="E49" s="3705"/>
      <c r="F49" s="2206">
        <f>C49/'Part V-Revenues &amp; Expenses'!$P$166</f>
        <v>197.54341926729987</v>
      </c>
      <c r="G49" s="2207" t="s">
        <v>2495</v>
      </c>
      <c r="H49" s="2208"/>
      <c r="I49" s="2208"/>
      <c r="J49" s="3694">
        <f>C49/'Part V-Revenues &amp; Expenses'!$P$168</f>
        <v>197.54341926729987</v>
      </c>
      <c r="K49" s="3694"/>
      <c r="L49" s="2208"/>
      <c r="M49" s="3695" t="s">
        <v>6482</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698829.60000000009</v>
      </c>
      <c r="F55" s="2310">
        <f>G55/C49</f>
        <v>4.9999957071079987E-2</v>
      </c>
      <c r="G55" s="3696">
        <v>698829</v>
      </c>
      <c r="H55" s="3697"/>
      <c r="I55" s="315"/>
      <c r="J55" s="3696">
        <f>+G55</f>
        <v>698829</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6305</v>
      </c>
      <c r="C57" s="2202"/>
      <c r="E57" s="3789" t="s">
        <v>6306</v>
      </c>
      <c r="F57" s="2203">
        <f>B58/'Part V-Revenues &amp; Expenses'!$P$65</f>
        <v>229303.453125</v>
      </c>
      <c r="G57" s="2204" t="s">
        <v>2494</v>
      </c>
      <c r="H57" s="2205"/>
      <c r="I57" s="2205"/>
      <c r="J57" s="3706">
        <f>B58/'Part V-Revenues &amp; Expenses'!$P$67</f>
        <v>229303.453125</v>
      </c>
      <c r="K57" s="3706"/>
      <c r="L57" s="2205"/>
      <c r="M57" s="3707" t="s">
        <v>6481</v>
      </c>
      <c r="N57" s="3707"/>
      <c r="O57" s="2205"/>
      <c r="P57" s="3706">
        <f>B58/'Part V-Revenues &amp; Expenses'!$K$175</f>
        <v>207.42058175033921</v>
      </c>
      <c r="Q57" s="3706"/>
      <c r="R57" s="2205"/>
      <c r="S57" s="3708" t="s">
        <v>6483</v>
      </c>
      <c r="T57" s="3709"/>
      <c r="V57" s="1085"/>
      <c r="W57" s="3700"/>
      <c r="X57" s="3701"/>
      <c r="AZ57" s="2661"/>
      <c r="BA57" s="2246">
        <v>54</v>
      </c>
    </row>
    <row r="58" spans="1:53" s="315" customFormat="1" ht="12.6" customHeight="1">
      <c r="B58" s="3787">
        <f>C49+G55</f>
        <v>14675421</v>
      </c>
      <c r="C58" s="3788"/>
      <c r="E58" s="3790"/>
      <c r="F58" s="2206">
        <f>B58/'Part V-Revenues &amp; Expenses'!$P$166</f>
        <v>207.42058175033921</v>
      </c>
      <c r="G58" s="2207" t="s">
        <v>2495</v>
      </c>
      <c r="H58" s="2208"/>
      <c r="I58" s="2208"/>
      <c r="J58" s="3694">
        <f>B58/'Part V-Revenues &amp; Expenses'!$P$168</f>
        <v>207.42058175033921</v>
      </c>
      <c r="K58" s="3694"/>
      <c r="L58" s="2208"/>
      <c r="M58" s="3695" t="s">
        <v>6482</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120000</v>
      </c>
      <c r="H63" s="3545"/>
      <c r="J63" s="3544">
        <f>+G63</f>
        <v>120000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621845</v>
      </c>
      <c r="H64" s="3545"/>
      <c r="J64" s="3544">
        <f t="shared" ref="J64:J70" si="2">+G64</f>
        <v>621845</v>
      </c>
      <c r="K64" s="3545"/>
      <c r="L64" s="1050"/>
      <c r="M64" s="3544"/>
      <c r="N64" s="3545"/>
      <c r="P64" s="3544"/>
      <c r="Q64" s="3545"/>
      <c r="S64" s="3544"/>
      <c r="T64" s="3545"/>
      <c r="V64" s="1086"/>
      <c r="W64" s="3649"/>
      <c r="X64" s="3650"/>
      <c r="AZ64" s="2661"/>
      <c r="BA64" s="2246">
        <v>64</v>
      </c>
    </row>
    <row r="65" spans="1:53" s="315" customFormat="1" ht="12" customHeight="1">
      <c r="B65" s="315" t="s">
        <v>2169</v>
      </c>
      <c r="G65" s="3544">
        <v>20000</v>
      </c>
      <c r="H65" s="3545"/>
      <c r="J65" s="3544">
        <f t="shared" si="2"/>
        <v>20000</v>
      </c>
      <c r="K65" s="3545"/>
      <c r="L65" s="1050"/>
      <c r="M65" s="3544"/>
      <c r="N65" s="3545"/>
      <c r="P65" s="3544"/>
      <c r="Q65" s="3545"/>
      <c r="S65" s="3544"/>
      <c r="T65" s="3545"/>
      <c r="V65" s="1086"/>
      <c r="W65" s="3649"/>
      <c r="X65" s="3650"/>
      <c r="AZ65" s="2661" t="s">
        <v>6383</v>
      </c>
      <c r="BA65" s="2246">
        <v>65</v>
      </c>
    </row>
    <row r="66" spans="1:53" s="315" customFormat="1" ht="12" customHeight="1">
      <c r="B66" s="315" t="s">
        <v>2451</v>
      </c>
      <c r="G66" s="3544">
        <v>25000</v>
      </c>
      <c r="H66" s="3545"/>
      <c r="J66" s="3544">
        <f t="shared" si="2"/>
        <v>25000</v>
      </c>
      <c r="K66" s="3545"/>
      <c r="L66" s="1050"/>
      <c r="M66" s="3544"/>
      <c r="N66" s="3545"/>
      <c r="P66" s="3544"/>
      <c r="Q66" s="3545"/>
      <c r="S66" s="3544"/>
      <c r="T66" s="3545"/>
      <c r="V66" s="1086"/>
      <c r="W66" s="3649"/>
      <c r="X66" s="3650"/>
      <c r="AZ66" s="2661" t="s">
        <v>6384</v>
      </c>
      <c r="BA66" s="2246">
        <v>66</v>
      </c>
    </row>
    <row r="67" spans="1:53" s="315" customFormat="1" ht="12" customHeight="1">
      <c r="B67" s="315" t="s">
        <v>676</v>
      </c>
      <c r="G67" s="3544">
        <v>18000</v>
      </c>
      <c r="H67" s="3545"/>
      <c r="J67" s="3544">
        <f t="shared" si="2"/>
        <v>18000</v>
      </c>
      <c r="K67" s="3545"/>
      <c r="L67" s="1050"/>
      <c r="M67" s="3544"/>
      <c r="N67" s="3545"/>
      <c r="P67" s="3544"/>
      <c r="Q67" s="3545"/>
      <c r="S67" s="3544"/>
      <c r="T67" s="3545"/>
      <c r="V67" s="1086"/>
      <c r="W67" s="3649"/>
      <c r="X67" s="3650"/>
      <c r="AZ67" s="2661" t="s">
        <v>6385</v>
      </c>
      <c r="BA67" s="2246">
        <v>67</v>
      </c>
    </row>
    <row r="68" spans="1:53" s="315" customFormat="1" ht="12" customHeight="1">
      <c r="B68" s="315" t="s">
        <v>2170</v>
      </c>
      <c r="G68" s="3544">
        <v>139744</v>
      </c>
      <c r="H68" s="3545"/>
      <c r="J68" s="3544">
        <f t="shared" si="2"/>
        <v>139744</v>
      </c>
      <c r="K68" s="3545"/>
      <c r="L68" s="1050"/>
      <c r="M68" s="3544"/>
      <c r="N68" s="3545"/>
      <c r="P68" s="3544"/>
      <c r="Q68" s="3545"/>
      <c r="S68" s="3544"/>
      <c r="T68" s="3545"/>
      <c r="V68" s="1086"/>
      <c r="W68" s="3649"/>
      <c r="X68" s="3650"/>
      <c r="AZ68" s="2661"/>
      <c r="BA68" s="2246">
        <v>68</v>
      </c>
    </row>
    <row r="69" spans="1:53" s="315" customFormat="1" ht="12" customHeight="1">
      <c r="B69" s="315" t="s">
        <v>1201</v>
      </c>
      <c r="G69" s="3544">
        <v>103000</v>
      </c>
      <c r="H69" s="3545"/>
      <c r="J69" s="3544">
        <f t="shared" si="2"/>
        <v>103000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v>97836</v>
      </c>
      <c r="H70" s="3545"/>
      <c r="I70" s="332"/>
      <c r="J70" s="3544">
        <f t="shared" si="2"/>
        <v>97836</v>
      </c>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6284</v>
      </c>
      <c r="C71" s="3716" t="s">
        <v>6728</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6285</v>
      </c>
      <c r="C72" s="3714" t="s">
        <v>6728</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1145425</v>
      </c>
      <c r="H73" s="3646"/>
      <c r="J73" s="3645">
        <f>SUM(J61:J72)</f>
        <v>1145425</v>
      </c>
      <c r="K73" s="3646"/>
      <c r="L73" s="373"/>
      <c r="M73" s="3645">
        <f>SUM(M61:M72)</f>
        <v>0</v>
      </c>
      <c r="N73" s="3646"/>
      <c r="P73" s="3645">
        <f>SUM(P61:P72)</f>
        <v>0</v>
      </c>
      <c r="Q73" s="3646"/>
      <c r="S73" s="3645">
        <f>SUM(S61:S72)</f>
        <v>0</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145920</v>
      </c>
      <c r="H75" s="3534"/>
      <c r="J75" s="3533">
        <f>+G75</f>
        <v>145920</v>
      </c>
      <c r="K75" s="3534"/>
      <c r="L75" s="1050"/>
      <c r="M75" s="3533"/>
      <c r="N75" s="3534"/>
      <c r="P75" s="3533"/>
      <c r="Q75" s="3534"/>
      <c r="S75" s="3533"/>
      <c r="T75" s="3534"/>
      <c r="V75" s="1082"/>
      <c r="W75" s="3649"/>
      <c r="X75" s="3650"/>
      <c r="AZ75" s="2661"/>
      <c r="BA75" s="2245">
        <v>75</v>
      </c>
    </row>
    <row r="76" spans="1:53" s="315" customFormat="1" ht="12" customHeight="1">
      <c r="B76" s="315" t="s">
        <v>451</v>
      </c>
      <c r="G76" s="3544">
        <v>36480</v>
      </c>
      <c r="H76" s="3545"/>
      <c r="J76" s="3544">
        <f>+G76</f>
        <v>36480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f t="shared" ref="J77:J84" si="3">+G77</f>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c r="H78" s="3545"/>
      <c r="J78" s="3544">
        <f t="shared" si="3"/>
        <v>0</v>
      </c>
      <c r="K78" s="3545"/>
      <c r="L78" s="1050"/>
      <c r="M78" s="3544"/>
      <c r="N78" s="3545"/>
      <c r="P78" s="3544"/>
      <c r="Q78" s="3545"/>
      <c r="S78" s="3544"/>
      <c r="T78" s="3545"/>
      <c r="V78" s="1082"/>
      <c r="W78" s="3649"/>
      <c r="X78" s="3650"/>
      <c r="AZ78" s="2661"/>
      <c r="BA78" s="2246">
        <v>78</v>
      </c>
    </row>
    <row r="79" spans="1:53" s="315" customFormat="1" ht="12" customHeight="1">
      <c r="B79" s="315" t="s">
        <v>1064</v>
      </c>
      <c r="G79" s="3544"/>
      <c r="H79" s="3545"/>
      <c r="J79" s="3544">
        <f t="shared" si="3"/>
        <v>0</v>
      </c>
      <c r="K79" s="3545"/>
      <c r="L79" s="1050"/>
      <c r="M79" s="3544"/>
      <c r="N79" s="3545"/>
      <c r="P79" s="3544"/>
      <c r="Q79" s="3545"/>
      <c r="S79" s="3544"/>
      <c r="T79" s="3545"/>
      <c r="V79" s="1082"/>
      <c r="W79" s="3649"/>
      <c r="X79" s="3650"/>
      <c r="AZ79" s="2661" t="s">
        <v>6386</v>
      </c>
      <c r="BA79" s="2246">
        <v>79</v>
      </c>
    </row>
    <row r="80" spans="1:53" s="315" customFormat="1" ht="12" customHeight="1">
      <c r="B80" s="315" t="s">
        <v>1065</v>
      </c>
      <c r="G80" s="3544"/>
      <c r="H80" s="3545"/>
      <c r="J80" s="3544">
        <f t="shared" si="3"/>
        <v>0</v>
      </c>
      <c r="K80" s="3545"/>
      <c r="L80" s="1050"/>
      <c r="M80" s="3544"/>
      <c r="N80" s="3545"/>
      <c r="P80" s="3544"/>
      <c r="Q80" s="3545"/>
      <c r="S80" s="3544"/>
      <c r="T80" s="3545"/>
      <c r="V80" s="1082"/>
      <c r="W80" s="3649"/>
      <c r="X80" s="3650"/>
      <c r="AZ80" s="2661" t="s">
        <v>6387</v>
      </c>
      <c r="BA80" s="2246">
        <v>80</v>
      </c>
    </row>
    <row r="81" spans="1:53" s="315" customFormat="1" ht="12" customHeight="1">
      <c r="B81" s="315" t="s">
        <v>452</v>
      </c>
      <c r="G81" s="3544">
        <v>109620</v>
      </c>
      <c r="H81" s="3545"/>
      <c r="J81" s="3544">
        <f t="shared" si="3"/>
        <v>109620</v>
      </c>
      <c r="K81" s="3545"/>
      <c r="L81" s="1050"/>
      <c r="M81" s="3544"/>
      <c r="N81" s="3545"/>
      <c r="P81" s="3544"/>
      <c r="Q81" s="3545"/>
      <c r="S81" s="3544"/>
      <c r="T81" s="3545"/>
      <c r="V81" s="1082"/>
      <c r="W81" s="3649"/>
      <c r="X81" s="3650"/>
      <c r="AZ81" s="2660"/>
      <c r="BA81" s="2246">
        <v>81</v>
      </c>
    </row>
    <row r="82" spans="1:53" s="315" customFormat="1" ht="12" customHeight="1">
      <c r="B82" s="315" t="s">
        <v>453</v>
      </c>
      <c r="G82" s="3544">
        <v>70000</v>
      </c>
      <c r="H82" s="3545"/>
      <c r="J82" s="3544">
        <f t="shared" si="3"/>
        <v>70000</v>
      </c>
      <c r="K82" s="3545"/>
      <c r="L82" s="1050"/>
      <c r="M82" s="3544"/>
      <c r="N82" s="3545"/>
      <c r="P82" s="3544"/>
      <c r="Q82" s="3545"/>
      <c r="S82" s="3544"/>
      <c r="T82" s="3545"/>
      <c r="V82" s="1082"/>
      <c r="W82" s="3649"/>
      <c r="X82" s="3650"/>
      <c r="AZ82" s="2661"/>
      <c r="BA82" s="2246">
        <v>82</v>
      </c>
    </row>
    <row r="83" spans="1:53" s="315" customFormat="1" ht="12" customHeight="1">
      <c r="B83" s="315" t="s">
        <v>1900</v>
      </c>
      <c r="G83" s="3544">
        <v>30000</v>
      </c>
      <c r="H83" s="3545"/>
      <c r="J83" s="3544">
        <f t="shared" si="3"/>
        <v>30000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10000</v>
      </c>
      <c r="H84" s="3545"/>
      <c r="J84" s="3544">
        <f t="shared" si="3"/>
        <v>10000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6286</v>
      </c>
      <c r="C85" s="3685" t="s">
        <v>6728</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422020</v>
      </c>
      <c r="H86" s="3646"/>
      <c r="J86" s="3645">
        <f>SUM(J75:J85)</f>
        <v>422020</v>
      </c>
      <c r="K86" s="3646"/>
      <c r="L86" s="373"/>
      <c r="M86" s="3645">
        <f>SUM(M75:M85)</f>
        <v>0</v>
      </c>
      <c r="N86" s="3646"/>
      <c r="P86" s="3645">
        <f>SUM(P75:P85)</f>
        <v>0</v>
      </c>
      <c r="Q86" s="3646"/>
      <c r="S86" s="3645">
        <f>SUM(S75:S85)</f>
        <v>0</v>
      </c>
      <c r="T86" s="3646"/>
      <c r="V86" s="1084">
        <f>SUM(V75:V85)</f>
        <v>0</v>
      </c>
      <c r="W86" s="3658"/>
      <c r="X86" s="3659"/>
      <c r="AZ86" s="2661" t="s">
        <v>6388</v>
      </c>
      <c r="BA86" s="2246">
        <v>86</v>
      </c>
    </row>
    <row r="87" spans="1:53" ht="12" customHeight="1">
      <c r="A87" s="315"/>
      <c r="B87" s="317" t="s">
        <v>1194</v>
      </c>
      <c r="C87" s="315"/>
      <c r="D87" s="884" t="s">
        <v>3231</v>
      </c>
      <c r="E87" s="968">
        <f>G92/'Part V-Revenues &amp; Expenses'!$P$67</f>
        <v>6597.796875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65139</v>
      </c>
      <c r="H88" s="3534"/>
      <c r="J88" s="3533">
        <f>+G88</f>
        <v>65139</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c r="G90" s="3544">
        <v>101120</v>
      </c>
      <c r="H90" s="3545"/>
      <c r="I90" s="332"/>
      <c r="J90" s="3544">
        <f>+G90</f>
        <v>101120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c r="G91" s="3492">
        <v>256000</v>
      </c>
      <c r="H91" s="3493"/>
      <c r="I91" s="332"/>
      <c r="J91" s="3544">
        <f>+G91</f>
        <v>256000</v>
      </c>
      <c r="K91" s="3545"/>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422259</v>
      </c>
      <c r="H92" s="3646"/>
      <c r="J92" s="3645">
        <f>SUM(J88:J91)</f>
        <v>422259</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3">
        <v>44100</v>
      </c>
      <c r="H97" s="3534"/>
      <c r="J97" s="3718"/>
      <c r="K97" s="3718"/>
      <c r="L97" s="1050"/>
      <c r="M97" s="3718"/>
      <c r="N97" s="3718"/>
      <c r="P97" s="3718"/>
      <c r="Q97" s="3718"/>
      <c r="S97" s="3533">
        <f>G97</f>
        <v>44100</v>
      </c>
      <c r="T97" s="3534"/>
      <c r="V97" s="1082"/>
      <c r="W97" s="3649"/>
      <c r="X97" s="3650"/>
      <c r="AZ97" s="2661" t="s">
        <v>6390</v>
      </c>
      <c r="BA97" s="2246">
        <v>97</v>
      </c>
    </row>
    <row r="98" spans="1:53" s="315" customFormat="1" ht="12" customHeight="1">
      <c r="B98" s="315" t="s">
        <v>1200</v>
      </c>
      <c r="G98" s="3544">
        <v>30000</v>
      </c>
      <c r="H98" s="3545"/>
      <c r="J98" s="3718"/>
      <c r="K98" s="3718"/>
      <c r="L98" s="1050"/>
      <c r="M98" s="3718"/>
      <c r="N98" s="3718"/>
      <c r="P98" s="3718"/>
      <c r="Q98" s="3718"/>
      <c r="S98" s="3533">
        <f>G98</f>
        <v>30000</v>
      </c>
      <c r="T98" s="3534"/>
      <c r="V98" s="1082"/>
      <c r="W98" s="3649"/>
      <c r="X98" s="3650"/>
      <c r="AZ98" s="2661"/>
      <c r="BA98" s="2246">
        <v>98</v>
      </c>
    </row>
    <row r="99" spans="1:53" s="315" customFormat="1" ht="12" customHeight="1">
      <c r="B99" s="315" t="s">
        <v>1201</v>
      </c>
      <c r="G99" s="3544"/>
      <c r="H99" s="3545"/>
      <c r="J99" s="3718"/>
      <c r="K99" s="3718"/>
      <c r="L99" s="1050"/>
      <c r="M99" s="3718"/>
      <c r="N99" s="3718"/>
      <c r="P99" s="3718"/>
      <c r="Q99" s="3718"/>
      <c r="S99" s="3544"/>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6287</v>
      </c>
      <c r="C102" s="3685" t="s">
        <v>6728</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74100</v>
      </c>
      <c r="H103" s="3646"/>
      <c r="J103" s="3718"/>
      <c r="K103" s="3718"/>
      <c r="L103" s="373"/>
      <c r="M103" s="3718"/>
      <c r="N103" s="3718"/>
      <c r="P103" s="3718"/>
      <c r="Q103" s="3718"/>
      <c r="S103" s="3645">
        <f>SUM(S97:S102)</f>
        <v>74100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6712</v>
      </c>
      <c r="AA105" s="414" t="s">
        <v>6655</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f>G106</f>
        <v>6500</v>
      </c>
      <c r="T106" s="3545"/>
      <c r="V106" s="1082"/>
      <c r="W106" s="3649"/>
      <c r="X106" s="3650"/>
      <c r="Y106" s="3636"/>
      <c r="AA106" s="2606" t="s">
        <v>3154</v>
      </c>
      <c r="AB106" s="2606"/>
      <c r="AC106" s="2606"/>
      <c r="AD106" s="2607">
        <f>'Part V-Revenues &amp; Expenses'!$P$67</f>
        <v>64</v>
      </c>
      <c r="AZ106" s="2661" t="s">
        <v>6391</v>
      </c>
      <c r="BA106" s="2246">
        <v>106</v>
      </c>
    </row>
    <row r="107" spans="1:53" s="315" customFormat="1" ht="12.6" customHeight="1">
      <c r="B107" s="315" t="s">
        <v>3321</v>
      </c>
      <c r="G107" s="3544">
        <v>1000</v>
      </c>
      <c r="H107" s="3545"/>
      <c r="J107" s="373"/>
      <c r="K107" s="373"/>
      <c r="L107" s="380"/>
      <c r="M107" s="373"/>
      <c r="N107" s="373"/>
      <c r="O107" s="1041"/>
      <c r="P107" s="373"/>
      <c r="Q107" s="373"/>
      <c r="S107" s="3544">
        <f t="shared" ref="S107:S109" si="4">G107</f>
        <v>1000</v>
      </c>
      <c r="T107" s="3545"/>
      <c r="V107" s="1082"/>
      <c r="W107" s="3649"/>
      <c r="X107" s="3650"/>
      <c r="Y107" s="3636"/>
      <c r="Z107" s="2603"/>
      <c r="AA107" s="2608" t="s">
        <v>6717</v>
      </c>
      <c r="AB107" s="185"/>
      <c r="AC107" s="185"/>
      <c r="AD107" s="185"/>
      <c r="AF107" s="2613" t="s">
        <v>6718</v>
      </c>
      <c r="AZ107" s="2661" t="s">
        <v>6392</v>
      </c>
      <c r="BA107" s="2246">
        <v>107</v>
      </c>
    </row>
    <row r="108" spans="1:53" s="315" customFormat="1" ht="12.6" customHeight="1">
      <c r="B108" s="315" t="s">
        <v>486</v>
      </c>
      <c r="E108" s="3719">
        <f>ROUNDUP('DCA Underwriting Assumptions'!$Q$53*J191,0)</f>
        <v>82800</v>
      </c>
      <c r="F108" s="3720"/>
      <c r="G108" s="3544">
        <v>82800</v>
      </c>
      <c r="H108" s="3545"/>
      <c r="J108" s="969" t="str">
        <f>IF(E108&gt;G108,"WARNING!  LIHTC Allocation Fee proposed is below minimum required.","")</f>
        <v/>
      </c>
      <c r="K108" s="373"/>
      <c r="L108" s="1050"/>
      <c r="M108" s="373"/>
      <c r="N108" s="373"/>
      <c r="O108" s="1041"/>
      <c r="P108" s="373"/>
      <c r="Q108" s="373"/>
      <c r="S108" s="3544">
        <f t="shared" si="4"/>
        <v>82800</v>
      </c>
      <c r="T108" s="3545"/>
      <c r="V108" s="1082"/>
      <c r="W108" s="3649"/>
      <c r="X108" s="3650"/>
      <c r="Y108" s="3636"/>
      <c r="Z108" s="2603"/>
      <c r="AA108" s="185" t="s">
        <v>6713</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19">
        <f>AF111+AF115</f>
        <v>64000</v>
      </c>
      <c r="F109" s="3720"/>
      <c r="G109" s="3544">
        <v>64000</v>
      </c>
      <c r="H109" s="3545"/>
      <c r="I109" s="3653" t="str">
        <f>IF(E109&gt;G109,"WARNING!  LIHTC Compliance Fee proposed is below minimum required.","")</f>
        <v/>
      </c>
      <c r="J109" s="3654"/>
      <c r="K109" s="3654"/>
      <c r="L109" s="3654"/>
      <c r="M109" s="3654"/>
      <c r="N109" s="3654"/>
      <c r="O109" s="3654"/>
      <c r="P109" s="3654"/>
      <c r="Q109" s="3654"/>
      <c r="R109" s="3655"/>
      <c r="S109" s="3544">
        <f t="shared" si="4"/>
        <v>64000</v>
      </c>
      <c r="T109" s="3545"/>
      <c r="V109" s="1082"/>
      <c r="W109" s="3649"/>
      <c r="X109" s="3650"/>
      <c r="Y109" s="363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4"/>
      <c r="H110" s="3545"/>
      <c r="I110" s="3653"/>
      <c r="J110" s="3654"/>
      <c r="K110" s="3654"/>
      <c r="L110" s="3654"/>
      <c r="M110" s="3654"/>
      <c r="N110" s="3654"/>
      <c r="O110" s="3654"/>
      <c r="P110" s="3654"/>
      <c r="Q110" s="3654"/>
      <c r="R110" s="3655"/>
      <c r="S110" s="3544"/>
      <c r="T110" s="3545"/>
      <c r="V110" s="1082"/>
      <c r="W110" s="3649"/>
      <c r="X110" s="3650"/>
      <c r="Y110" s="3636"/>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4"/>
      <c r="H111" s="3545"/>
      <c r="J111" s="181"/>
      <c r="K111" s="181"/>
      <c r="L111" s="181"/>
      <c r="M111" s="181"/>
      <c r="N111" s="181"/>
      <c r="O111" s="181"/>
      <c r="P111" s="181"/>
      <c r="Q111" s="181"/>
      <c r="S111" s="3544"/>
      <c r="T111" s="3545"/>
      <c r="V111" s="1082"/>
      <c r="W111" s="3649"/>
      <c r="X111" s="365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6" t="s">
        <v>6728</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4" t="s">
        <v>6728</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64</v>
      </c>
      <c r="AF113" s="2611">
        <f>IF($AD$105="Income Averaging",AD113*'DCA Underwriting Assumptions'!$Q$58,AD113*'DCA Underwriting Assumptions'!$Q$57)</f>
        <v>64000</v>
      </c>
      <c r="AZ113" s="2661" t="s">
        <v>6394</v>
      </c>
      <c r="BA113" s="2246">
        <v>113</v>
      </c>
    </row>
    <row r="114" spans="1:53" s="315" customFormat="1" ht="12.6" customHeight="1" thickTop="1">
      <c r="F114" s="371" t="s">
        <v>184</v>
      </c>
      <c r="G114" s="3645">
        <f>SUM(G105:G113)</f>
        <v>154300</v>
      </c>
      <c r="H114" s="3646"/>
      <c r="J114" s="373"/>
      <c r="K114" s="373"/>
      <c r="L114" s="1050"/>
      <c r="M114" s="373"/>
      <c r="N114" s="373"/>
      <c r="P114" s="373"/>
      <c r="Q114" s="373"/>
      <c r="S114" s="3645">
        <f>SUM(S105:S113)</f>
        <v>154300</v>
      </c>
      <c r="T114" s="3646"/>
      <c r="V114" s="1084">
        <f>SUM(V105:V113)</f>
        <v>0</v>
      </c>
      <c r="W114" s="3773"/>
      <c r="X114" s="3774"/>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64</v>
      </c>
      <c r="AF115" s="2612">
        <f>SUM(AF113:AF114)</f>
        <v>64000</v>
      </c>
      <c r="AZ115" s="2646"/>
      <c r="BA115" s="2246">
        <v>115</v>
      </c>
    </row>
    <row r="116" spans="1:53" s="315" customFormat="1" ht="12.6" customHeight="1">
      <c r="B116" s="315" t="s">
        <v>267</v>
      </c>
      <c r="G116" s="3533">
        <v>25000</v>
      </c>
      <c r="H116" s="3534"/>
      <c r="J116" s="3718"/>
      <c r="K116" s="3718"/>
      <c r="L116" s="1050"/>
      <c r="M116" s="3718"/>
      <c r="N116" s="3718"/>
      <c r="O116" s="1041"/>
      <c r="P116" s="3718"/>
      <c r="Q116" s="3718"/>
      <c r="S116" s="3533">
        <f>G116</f>
        <v>25000</v>
      </c>
      <c r="T116" s="3534"/>
      <c r="V116" s="1082"/>
      <c r="W116" s="3649"/>
      <c r="X116" s="3650"/>
      <c r="AZ116" s="2646"/>
      <c r="BA116" s="2246">
        <v>116</v>
      </c>
    </row>
    <row r="117" spans="1:53" s="315" customFormat="1" ht="12.6" customHeight="1">
      <c r="B117" s="315" t="s">
        <v>268</v>
      </c>
      <c r="G117" s="3544">
        <v>5000</v>
      </c>
      <c r="H117" s="3545"/>
      <c r="J117" s="3718"/>
      <c r="K117" s="3718"/>
      <c r="L117" s="1050"/>
      <c r="M117" s="3718"/>
      <c r="N117" s="3718"/>
      <c r="O117" s="1041"/>
      <c r="P117" s="3718"/>
      <c r="Q117" s="3718"/>
      <c r="S117" s="3533">
        <f t="shared" ref="S117:S118" si="5">G117</f>
        <v>5000</v>
      </c>
      <c r="T117" s="3534"/>
      <c r="V117" s="1082"/>
      <c r="W117" s="3649"/>
      <c r="X117" s="3650"/>
      <c r="AZ117" s="2646"/>
      <c r="BA117" s="2246">
        <v>117</v>
      </c>
    </row>
    <row r="118" spans="1:53" s="315" customFormat="1" ht="12.6" customHeight="1">
      <c r="B118" s="315" t="s">
        <v>2201</v>
      </c>
      <c r="G118" s="3544">
        <v>40000</v>
      </c>
      <c r="H118" s="3545"/>
      <c r="J118" s="3718"/>
      <c r="K118" s="3718"/>
      <c r="L118" s="1050"/>
      <c r="M118" s="3718"/>
      <c r="N118" s="3718"/>
      <c r="O118" s="1041"/>
      <c r="P118" s="3718"/>
      <c r="Q118" s="3718"/>
      <c r="S118" s="3533">
        <f t="shared" si="5"/>
        <v>40000</v>
      </c>
      <c r="T118" s="3534"/>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6283</v>
      </c>
      <c r="C119" s="3685" t="s">
        <v>6728</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70000</v>
      </c>
      <c r="H120" s="3646"/>
      <c r="J120" s="3718"/>
      <c r="K120" s="3718"/>
      <c r="L120" s="1050"/>
      <c r="M120" s="3718"/>
      <c r="N120" s="3718"/>
      <c r="O120" s="1041"/>
      <c r="P120" s="3718"/>
      <c r="Q120" s="3718"/>
      <c r="S120" s="3645">
        <f>SUM(S116:S119)</f>
        <v>70000</v>
      </c>
      <c r="T120" s="3646"/>
      <c r="V120" s="1084">
        <f>SUM(V116:V119)</f>
        <v>0</v>
      </c>
      <c r="W120" s="3658"/>
      <c r="X120" s="3659"/>
      <c r="AC120" s="3669" t="s">
        <v>3927</v>
      </c>
      <c r="AD120" s="3669" t="s">
        <v>3928</v>
      </c>
      <c r="AE120" s="3683" t="s">
        <v>3931</v>
      </c>
      <c r="AF120" s="3675" t="s">
        <v>3929</v>
      </c>
      <c r="AG120" s="3805" t="s">
        <v>3920</v>
      </c>
      <c r="AH120" s="3796" t="s">
        <v>6749</v>
      </c>
      <c r="AI120" s="379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0"/>
      <c r="AD121" s="3670"/>
      <c r="AE121" s="3684"/>
      <c r="AF121" s="3676"/>
      <c r="AG121" s="3805"/>
      <c r="AH121" s="3796"/>
      <c r="AI121" s="3796"/>
      <c r="AK121" s="1641"/>
      <c r="AZ121" s="2646" t="s">
        <v>6396</v>
      </c>
      <c r="BA121" s="2245">
        <v>121</v>
      </c>
    </row>
    <row r="122" spans="1:53" s="315" customFormat="1" ht="12.6" customHeight="1">
      <c r="B122" s="315" t="s">
        <v>1724</v>
      </c>
      <c r="F122" s="422">
        <f>IF($G$127=0,0,G122/$G$127)</f>
        <v>0</v>
      </c>
      <c r="G122" s="3721"/>
      <c r="H122" s="3721"/>
      <c r="J122" s="3722"/>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1683000</v>
      </c>
      <c r="AG122" s="3806">
        <f>'DCA Underwriting Assumptions'!$Q$72</f>
        <v>2000000</v>
      </c>
      <c r="AH122" s="3797">
        <f>MIN(AF122,AG122)</f>
        <v>1683000</v>
      </c>
      <c r="AI122" s="3798"/>
      <c r="AZ122" s="2646"/>
      <c r="BA122" s="2246">
        <v>122</v>
      </c>
    </row>
    <row r="123" spans="1:53" s="315" customFormat="1" ht="12.6" customHeight="1">
      <c r="B123" s="315" t="s">
        <v>3414</v>
      </c>
      <c r="F123" s="1216">
        <v>196000</v>
      </c>
      <c r="G123" s="2594" t="s">
        <v>6729</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1683000</v>
      </c>
      <c r="AG125" s="3677">
        <f>'DCA Underwriting Assumptions'!$Q$73</f>
        <v>3500000</v>
      </c>
      <c r="AH125" s="3797">
        <f>MIN(AF125,AG125)</f>
        <v>1683000</v>
      </c>
      <c r="AI125" s="3798"/>
      <c r="AZ125" s="2646"/>
      <c r="BA125" s="2246">
        <v>125</v>
      </c>
    </row>
    <row r="126" spans="1:53" s="315" customFormat="1" ht="12.6" customHeight="1" thickBot="1">
      <c r="B126" s="315" t="s">
        <v>1717</v>
      </c>
      <c r="F126" s="422">
        <f>IF($G$127=0,0,G126/$G$127)</f>
        <v>1</v>
      </c>
      <c r="G126" s="3492">
        <v>1683000</v>
      </c>
      <c r="H126" s="3493"/>
      <c r="J126" s="3492">
        <f>+G126</f>
        <v>1683000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678"/>
      <c r="AG126" s="3678"/>
      <c r="AH126" s="3799"/>
      <c r="AI126" s="3800"/>
      <c r="AZ126" s="2661"/>
      <c r="BA126" s="2246">
        <v>126</v>
      </c>
    </row>
    <row r="127" spans="1:53" s="315" customFormat="1" ht="12.6" customHeight="1" thickTop="1">
      <c r="A127" s="1656" t="str">
        <f>IF(G127&gt;E127,"DF over limit!  Round down/Enter nbr.","")</f>
        <v/>
      </c>
      <c r="B127" s="2638"/>
      <c r="D127" s="628" t="s">
        <v>3926</v>
      </c>
      <c r="E127" s="2639">
        <f>IF(E121="9%",AH122,IF(E121="4%",AH125,"Select App Type!"))</f>
        <v>1683000</v>
      </c>
      <c r="F127" s="371" t="s">
        <v>184</v>
      </c>
      <c r="G127" s="3645">
        <f>SUM(G122:G126)</f>
        <v>1683000</v>
      </c>
      <c r="H127" s="3724"/>
      <c r="J127" s="3645">
        <f>SUM(J122:J126)</f>
        <v>1683000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3">
        <v>25000</v>
      </c>
      <c r="H129" s="3534"/>
      <c r="J129" s="381"/>
      <c r="K129" s="381"/>
      <c r="L129" s="381"/>
      <c r="M129" s="381"/>
      <c r="N129" s="381"/>
      <c r="P129" s="381"/>
      <c r="Q129" s="381"/>
      <c r="S129" s="3533">
        <f>G129</f>
        <v>25000</v>
      </c>
      <c r="T129" s="3534"/>
      <c r="V129" s="1082"/>
      <c r="W129" s="3649"/>
      <c r="X129" s="365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82733.5</v>
      </c>
      <c r="G130" s="3544">
        <v>86734</v>
      </c>
      <c r="H130" s="3545"/>
      <c r="J130" s="971" t="str">
        <f>IF(E130&gt;G130,"WARNING! Rent-Up Reserves proposed is below minimum - add comment.","")</f>
        <v/>
      </c>
      <c r="K130" s="971"/>
      <c r="L130" s="1050"/>
      <c r="M130" s="951"/>
      <c r="N130" s="951"/>
      <c r="O130" s="1041"/>
      <c r="P130" s="951"/>
      <c r="Q130" s="951"/>
      <c r="R130" s="1041"/>
      <c r="S130" s="3533">
        <f t="shared" ref="S130:S131" si="6">G130</f>
        <v>86734</v>
      </c>
      <c r="T130" s="3534"/>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324108.06895541825</v>
      </c>
      <c r="G131" s="3544">
        <v>331946</v>
      </c>
      <c r="H131" s="3545"/>
      <c r="J131" s="971" t="str">
        <f>IF(E131&gt;G131,"WARNING! ODR proposed is below minimum - add comment.","")</f>
        <v/>
      </c>
      <c r="K131" s="380"/>
      <c r="L131" s="380"/>
      <c r="M131" s="380"/>
      <c r="N131" s="380"/>
      <c r="O131" s="1041"/>
      <c r="P131" s="380"/>
      <c r="Q131" s="380"/>
      <c r="R131" s="1041"/>
      <c r="S131" s="3533">
        <f t="shared" si="6"/>
        <v>331946</v>
      </c>
      <c r="T131" s="3534"/>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6399</v>
      </c>
      <c r="BA132" s="2246">
        <v>132</v>
      </c>
    </row>
    <row r="133" spans="1:53" s="315" customFormat="1" ht="12.6" customHeight="1">
      <c r="B133" s="315" t="s">
        <v>1172</v>
      </c>
      <c r="E133" s="840" t="s">
        <v>3140</v>
      </c>
      <c r="F133" s="477">
        <f>IF('Part V-Revenues &amp; Expenses'!$P$67=0,0,G133/'Part V-Revenues &amp; Expenses'!$P$67)</f>
        <v>1796.875</v>
      </c>
      <c r="G133" s="3544">
        <v>115000</v>
      </c>
      <c r="H133" s="3545"/>
      <c r="J133" s="3533">
        <v>115000</v>
      </c>
      <c r="K133" s="3534"/>
      <c r="L133" s="1050"/>
      <c r="M133" s="3533"/>
      <c r="N133" s="3534"/>
      <c r="P133" s="3533"/>
      <c r="Q133" s="3534"/>
      <c r="S133" s="3544"/>
      <c r="T133" s="3545"/>
      <c r="V133" s="1082"/>
      <c r="W133" s="3649"/>
      <c r="X133" s="3650"/>
      <c r="AZ133" s="2661" t="s">
        <v>6400</v>
      </c>
      <c r="BA133" s="2246">
        <v>133</v>
      </c>
    </row>
    <row r="134" spans="1:53" s="315" customFormat="1" ht="12.6" customHeight="1" thickBot="1">
      <c r="A134" s="396" t="str">
        <f>IF(AND(G134&gt;0,OR(C134="",C134="&lt;Enter detailed description here; use Comments section if needed&gt;")),"X","")</f>
        <v/>
      </c>
      <c r="B134" s="185" t="s">
        <v>6283</v>
      </c>
      <c r="C134" s="3685" t="s">
        <v>6728</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558680</v>
      </c>
      <c r="H135" s="3646"/>
      <c r="J135" s="3645">
        <f>SUM(J133:J134)</f>
        <v>115000</v>
      </c>
      <c r="K135" s="3646"/>
      <c r="L135" s="1050"/>
      <c r="M135" s="3645">
        <f>SUM(M133:M134)</f>
        <v>0</v>
      </c>
      <c r="N135" s="3646"/>
      <c r="P135" s="3645">
        <f>SUM(P133:P134)</f>
        <v>0</v>
      </c>
      <c r="Q135" s="3646"/>
      <c r="S135" s="3645">
        <f>SUM(S129:S134)</f>
        <v>443680</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6283</v>
      </c>
      <c r="C143" s="3685" t="s">
        <v>6728</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794">
        <f>G18+G24+G28+G36+G41+G46+G55+G73+G86+G92+G103+G114+G120+G127+G135+G144</f>
        <v>19915205</v>
      </c>
      <c r="H146" s="3795"/>
      <c r="J146" s="3794">
        <f>J18+J24+J28+J36+J41+J46+J55+J73+J86+J92+J103+J114+J120+J127+J135+J144</f>
        <v>18523125</v>
      </c>
      <c r="K146" s="3795"/>
      <c r="M146" s="3794">
        <f>M18+M24+M28+M36+M41+M46+M55+M73+M86+M92+M103+M114+M120+M127+M135+M144</f>
        <v>0</v>
      </c>
      <c r="N146" s="3795"/>
      <c r="P146" s="3794">
        <f>P18+P24+P28+P36+P41+P46+P55+P73+P86+P92+P103+P114+P120+P127+P135+P144</f>
        <v>0</v>
      </c>
      <c r="Q146" s="3795"/>
      <c r="S146" s="3794">
        <f>S18+S24+S28+S36+S41+S46+S55+S73+S86+S92+S103+S114+S120+S127+S135+S144</f>
        <v>1392080</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311175.078125</v>
      </c>
      <c r="E148" s="3791"/>
      <c r="F148" s="513" t="s">
        <v>2489</v>
      </c>
      <c r="G148" s="3792">
        <f>IF('Part V-Revenues &amp; Expenses'!$K$175=0,0,G146/'Part V-Revenues &amp; Expenses'!$K$175)</f>
        <v>281.47903946178201</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v>0</v>
      </c>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v>0</v>
      </c>
      <c r="K154" s="3812"/>
      <c r="P154" s="3811"/>
      <c r="Q154" s="3812"/>
      <c r="V154" s="1082"/>
      <c r="W154" s="3649"/>
      <c r="X154" s="3650"/>
      <c r="AZ154" s="2661"/>
      <c r="BA154" s="2246">
        <v>154</v>
      </c>
    </row>
    <row r="155" spans="1:53" s="315" customFormat="1" ht="14.1" customHeight="1">
      <c r="B155" s="1041" t="s">
        <v>1727</v>
      </c>
      <c r="D155" s="1041"/>
      <c r="E155" s="1041"/>
      <c r="I155" s="385"/>
      <c r="J155" s="3811">
        <v>0</v>
      </c>
      <c r="K155" s="3812"/>
      <c r="P155" s="3811"/>
      <c r="Q155" s="3812"/>
      <c r="V155" s="1082"/>
      <c r="W155" s="3649"/>
      <c r="X155" s="3650"/>
      <c r="AZ155" s="2661"/>
      <c r="BA155" s="2246">
        <v>155</v>
      </c>
    </row>
    <row r="156" spans="1:53" s="315" customFormat="1" ht="14.1" customHeight="1">
      <c r="B156" s="1041" t="s">
        <v>1728</v>
      </c>
      <c r="D156" s="1041"/>
      <c r="E156" s="1041"/>
      <c r="I156" s="385"/>
      <c r="J156" s="3811">
        <v>0</v>
      </c>
      <c r="K156" s="3812"/>
      <c r="P156" s="3811"/>
      <c r="Q156" s="3812"/>
      <c r="V156" s="1082"/>
      <c r="W156" s="3649"/>
      <c r="X156" s="3650"/>
      <c r="AZ156" s="2661"/>
      <c r="BA156" s="2246">
        <v>156</v>
      </c>
    </row>
    <row r="157" spans="1:53" s="315" customFormat="1" ht="14.1" customHeight="1">
      <c r="B157" s="1041" t="s">
        <v>243</v>
      </c>
      <c r="D157" s="1041"/>
      <c r="E157" s="1041"/>
      <c r="I157" s="385"/>
      <c r="J157" s="3811">
        <v>0</v>
      </c>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v>0</v>
      </c>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18523125</v>
      </c>
      <c r="K162" s="3642"/>
      <c r="M162" s="3643">
        <f>M146</f>
        <v>0</v>
      </c>
      <c r="N162" s="3644"/>
      <c r="P162" s="3641">
        <f>P146</f>
        <v>0</v>
      </c>
      <c r="Q162" s="3642"/>
      <c r="R162" s="3777" t="s">
        <v>3776</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18523125</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6943</v>
      </c>
      <c r="I165" s="3728"/>
      <c r="J165" s="3729">
        <v>1.3</v>
      </c>
      <c r="K165" s="3730"/>
      <c r="M165" s="3731"/>
      <c r="N165" s="3731"/>
      <c r="P165" s="3729"/>
      <c r="Q165" s="3730"/>
      <c r="R165" s="3778" t="s">
        <v>3207</v>
      </c>
      <c r="S165" s="3779"/>
      <c r="T165" s="3780"/>
      <c r="U165" s="1477"/>
      <c r="V165" s="1082"/>
      <c r="W165" s="3649"/>
      <c r="X165" s="3650"/>
      <c r="AZ165" s="2661"/>
      <c r="BA165" s="2246">
        <v>165</v>
      </c>
    </row>
    <row r="166" spans="1:53" s="315" customFormat="1" ht="14.1" customHeight="1">
      <c r="B166" s="315" t="s">
        <v>1904</v>
      </c>
      <c r="J166" s="3662">
        <f>J164*J165</f>
        <v>24080062.5</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61"/>
      <c r="BA167" s="2246">
        <v>167</v>
      </c>
    </row>
    <row r="168" spans="1:53" s="315" customFormat="1" ht="14.1" customHeight="1">
      <c r="B168" s="315" t="s">
        <v>1896</v>
      </c>
      <c r="J168" s="3662">
        <f>J166*J167</f>
        <v>24080062.5</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2167205.625</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2167205</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1">
        <f>G146</f>
        <v>19915205</v>
      </c>
      <c r="K176" s="3760"/>
      <c r="L176" s="3642"/>
      <c r="N176" s="3739" t="s">
        <v>6723</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4410000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15505205</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61"/>
      <c r="BA179" s="2246">
        <v>179</v>
      </c>
    </row>
    <row r="180" spans="1:53" s="315" customFormat="1" ht="14.1" customHeight="1">
      <c r="B180" s="315" t="s">
        <v>1211</v>
      </c>
      <c r="J180" s="3660">
        <f>J178/10</f>
        <v>1550520.5</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1.4300000000000002</v>
      </c>
      <c r="K182" s="3749"/>
      <c r="L182" s="3750"/>
      <c r="M182" s="1036" t="s">
        <v>1213</v>
      </c>
      <c r="N182" s="3751">
        <v>0.88500000000000001</v>
      </c>
      <c r="O182" s="3752"/>
      <c r="P182" s="1036" t="s">
        <v>570</v>
      </c>
      <c r="Q182" s="3751">
        <v>0.54500000000000004</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1084280</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53"/>
      <c r="K187" s="3754"/>
      <c r="L187" s="3755"/>
      <c r="Q187" s="2172" t="s">
        <v>6255</v>
      </c>
      <c r="R187" s="185"/>
      <c r="S187" s="3639" t="str">
        <f>'Part VIII Scoring Criteria'!$M$59</f>
        <v>Rural</v>
      </c>
      <c r="T187" s="3640"/>
      <c r="U187" s="2111" t="e">
        <f>IF(OR(S187="Atlanta Metro", "Other Metro"), "Metro", IF(S187="Rural","Rural",""))</f>
        <v>#VALUE!</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3">
        <v>1035000</v>
      </c>
      <c r="K189" s="3754"/>
      <c r="L189" s="3755"/>
      <c r="M189" s="3738" t="str">
        <f>IF(J187=0,"",IF(J189&gt;J187,"Request can't exceed Maximum - REVISE (Try Round Down)!",""))</f>
        <v/>
      </c>
      <c r="N189" s="3738"/>
      <c r="O189" s="3738"/>
      <c r="P189" s="3738"/>
      <c r="Q189" s="313" t="s">
        <v>6552</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68">
        <f>IF(J189="",0,+MIN(J187,J189))</f>
        <v>1035000</v>
      </c>
      <c r="K191" s="3769"/>
      <c r="L191" s="3770"/>
      <c r="M191" s="3738"/>
      <c r="N191" s="3738"/>
      <c r="O191" s="3738"/>
      <c r="P191" s="3738"/>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6988</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M38:N38 P38:Q38 J38:K40">
    <cfRule type="cellIs" dxfId="160" priority="14" operator="greaterThan">
      <formula>$G$38</formula>
    </cfRule>
  </conditionalFormatting>
  <conditionalFormatting sqref="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Arbours at Town Branch  -  Villa Rica  -  Carroll,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3279</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Arbours at Town Branch, Villa Rica, Carroll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6744</v>
      </c>
      <c r="I3" s="1660" t="str">
        <f>VLOOKUP('Part I-Project Identification'!$J$30,'DCA Underwriting Assumptions'!$G$136:$H$295,2)</f>
        <v>North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245</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6944</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1492</v>
      </c>
      <c r="E12" s="3837"/>
      <c r="F12" s="272" t="s">
        <v>416</v>
      </c>
      <c r="G12" s="272"/>
      <c r="H12" s="1017"/>
      <c r="I12" s="1601"/>
      <c r="J12" s="1601">
        <v>9</v>
      </c>
      <c r="K12" s="1601">
        <v>11</v>
      </c>
      <c r="L12" s="1601"/>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8</v>
      </c>
      <c r="K13" s="1602">
        <v>10</v>
      </c>
      <c r="L13" s="1603"/>
      <c r="M13" s="1603"/>
      <c r="O13" s="3848" t="s">
        <v>3278</v>
      </c>
      <c r="P13" s="3848"/>
      <c r="Q13" s="3848"/>
    </row>
    <row r="14" spans="1:25" s="8" customFormat="1" ht="12" customHeight="1">
      <c r="B14" s="1610" t="s">
        <v>1494</v>
      </c>
      <c r="C14" s="1611"/>
      <c r="D14" s="3855" t="s">
        <v>1492</v>
      </c>
      <c r="E14" s="3856"/>
      <c r="F14" s="273" t="s">
        <v>416</v>
      </c>
      <c r="G14" s="273"/>
      <c r="H14" s="268"/>
      <c r="I14" s="1602"/>
      <c r="J14" s="1602">
        <v>14</v>
      </c>
      <c r="K14" s="1602">
        <v>19</v>
      </c>
      <c r="L14" s="1603"/>
      <c r="M14" s="1603"/>
      <c r="O14" s="3848"/>
      <c r="P14" s="3848"/>
      <c r="Q14" s="3848"/>
    </row>
    <row r="15" spans="1:25" s="8" customFormat="1" ht="12" customHeight="1">
      <c r="B15" s="1612" t="s">
        <v>440</v>
      </c>
      <c r="C15" s="1613"/>
      <c r="D15" s="1612" t="s">
        <v>1492</v>
      </c>
      <c r="E15" s="269"/>
      <c r="F15" s="273" t="s">
        <v>416</v>
      </c>
      <c r="G15" s="273"/>
      <c r="H15" s="1015"/>
      <c r="I15" s="1602"/>
      <c r="J15" s="1602">
        <v>7</v>
      </c>
      <c r="K15" s="1602">
        <v>9</v>
      </c>
      <c r="L15" s="1603"/>
      <c r="M15" s="1603"/>
      <c r="O15" s="3848"/>
      <c r="P15" s="3848"/>
      <c r="Q15" s="3848"/>
    </row>
    <row r="16" spans="1:25" s="8" customFormat="1" ht="12" customHeight="1">
      <c r="B16" s="1614" t="s">
        <v>3272</v>
      </c>
      <c r="C16" s="1609"/>
      <c r="D16" s="1608" t="s">
        <v>1492</v>
      </c>
      <c r="E16" s="1014"/>
      <c r="F16" s="273" t="s">
        <v>416</v>
      </c>
      <c r="G16" s="273"/>
      <c r="H16" s="1016"/>
      <c r="I16" s="1602"/>
      <c r="J16" s="1602"/>
      <c r="K16" s="1602"/>
      <c r="L16" s="1603"/>
      <c r="M16" s="1603"/>
      <c r="O16" s="3848"/>
      <c r="P16" s="3848"/>
      <c r="Q16" s="3848"/>
    </row>
    <row r="17" spans="1:25" s="8" customFormat="1" ht="12" customHeight="1">
      <c r="B17" s="1614" t="s">
        <v>3273</v>
      </c>
      <c r="C17" s="1609"/>
      <c r="D17" s="1608" t="s">
        <v>1492</v>
      </c>
      <c r="E17" s="1014"/>
      <c r="F17" s="273" t="s">
        <v>416</v>
      </c>
      <c r="G17" s="273"/>
      <c r="H17" s="1016"/>
      <c r="I17" s="1602"/>
      <c r="J17" s="1602"/>
      <c r="K17" s="1602"/>
      <c r="L17" s="1602"/>
      <c r="M17" s="1602"/>
      <c r="O17" s="3848"/>
      <c r="P17" s="3848"/>
      <c r="Q17" s="3848"/>
    </row>
    <row r="18" spans="1:25" s="8" customFormat="1" ht="12" customHeight="1">
      <c r="B18" s="1615" t="s">
        <v>3274</v>
      </c>
      <c r="C18" s="1611"/>
      <c r="D18" s="1610" t="s">
        <v>1492</v>
      </c>
      <c r="E18" s="1014"/>
      <c r="F18" s="273" t="s">
        <v>416</v>
      </c>
      <c r="G18" s="273"/>
      <c r="H18" s="268"/>
      <c r="I18" s="1602"/>
      <c r="J18" s="1602">
        <v>22</v>
      </c>
      <c r="K18" s="1602">
        <v>28</v>
      </c>
      <c r="L18" s="1603"/>
      <c r="M18" s="1603"/>
      <c r="O18" s="3848"/>
      <c r="P18" s="3848"/>
      <c r="Q18" s="3848"/>
    </row>
    <row r="19" spans="1:25" s="8" customFormat="1" ht="12" customHeight="1">
      <c r="B19" s="1612" t="s">
        <v>1293</v>
      </c>
      <c r="C19" s="1613"/>
      <c r="D19" s="1618" t="s">
        <v>3079</v>
      </c>
      <c r="E19" s="1600" t="s">
        <v>2651</v>
      </c>
      <c r="F19" s="273" t="s">
        <v>416</v>
      </c>
      <c r="G19" s="273"/>
      <c r="H19" s="1015"/>
      <c r="I19" s="1602"/>
      <c r="J19" s="1602">
        <f>24+24</f>
        <v>48</v>
      </c>
      <c r="K19" s="1602">
        <f>27+28</f>
        <v>55</v>
      </c>
      <c r="L19" s="1603"/>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3278</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3272</v>
      </c>
      <c r="C33" s="1609"/>
      <c r="D33" s="1608" t="s">
        <v>1492</v>
      </c>
      <c r="E33" s="1014"/>
      <c r="F33" s="273"/>
      <c r="G33" s="273"/>
      <c r="H33" s="1016"/>
      <c r="I33" s="1602"/>
      <c r="J33" s="1602"/>
      <c r="K33" s="1602"/>
      <c r="L33" s="1603"/>
      <c r="M33" s="1603"/>
      <c r="O33" s="3848"/>
      <c r="P33" s="3848"/>
      <c r="Q33" s="3848"/>
    </row>
    <row r="34" spans="1:19" s="8" customFormat="1" ht="12" customHeight="1">
      <c r="B34" s="1614" t="s">
        <v>3273</v>
      </c>
      <c r="C34" s="1609"/>
      <c r="D34" s="1608" t="s">
        <v>1492</v>
      </c>
      <c r="E34" s="1014"/>
      <c r="F34" s="273"/>
      <c r="G34" s="273"/>
      <c r="H34" s="1016"/>
      <c r="I34" s="1602"/>
      <c r="J34" s="1602"/>
      <c r="K34" s="1602"/>
      <c r="L34" s="1603"/>
      <c r="M34" s="1603"/>
      <c r="O34" s="3848"/>
      <c r="P34" s="3848"/>
      <c r="Q34" s="3848"/>
    </row>
    <row r="35" spans="1:19" s="8" customFormat="1" ht="12" customHeight="1">
      <c r="B35" s="1615" t="s">
        <v>3274</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6989</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Emory Berry</cp:lastModifiedBy>
  <cp:lastPrinted>2022-06-01T20:21:36Z</cp:lastPrinted>
  <dcterms:created xsi:type="dcterms:W3CDTF">2005-09-15T20:51:37Z</dcterms:created>
  <dcterms:modified xsi:type="dcterms:W3CDTF">2022-06-02T14:49:01Z</dcterms:modified>
</cp:coreProperties>
</file>